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4.xml" ContentType="application/vnd.openxmlformats-officedocument.spreadsheetml.pivotTable+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Tables/pivotTable1.xml" ContentType="application/vnd.openxmlformats-officedocument.spreadsheetml.pivotTable+xml"/>
  <Override PartName="/xl/comments6.xml" ContentType="application/vnd.openxmlformats-officedocument.spreadsheetml.comments+xml"/>
  <Override PartName="/xl/pivotTables/pivotTable2.xml" ContentType="application/vnd.openxmlformats-officedocument.spreadsheetml.pivotTable+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pivotCache/pivotCacheDefinition4.xml" ContentType="application/vnd.openxmlformats-officedocument.spreadsheetml.pivotCacheDefinition+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pivotTables/pivotTable3.xml" ContentType="application/vnd.openxmlformats-officedocument.spreadsheetml.pivot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90" yWindow="1260" windowWidth="20730" windowHeight="11100" activeTab="1"/>
  </bookViews>
  <sheets>
    <sheet name="7PSourceSummary" sheetId="14" r:id="rId1"/>
    <sheet name="forRPM" sheetId="27" r:id="rId2"/>
    <sheet name="SC-Retro" sheetId="6" r:id="rId3"/>
    <sheet name="M_Input_Out" sheetId="26" r:id="rId4"/>
    <sheet name="M_Input" sheetId="4" r:id="rId5"/>
    <sheet name="Segmented" sheetId="2" r:id="rId6"/>
    <sheet name="Weighting" sheetId="5" r:id="rId7"/>
    <sheet name="Composite" sheetId="3" r:id="rId8"/>
    <sheet name="Raw RTF" sheetId="1" r:id="rId9"/>
    <sheet name="Attic" sheetId="9" r:id="rId10"/>
    <sheet name="Window" sheetId="10" r:id="rId11"/>
    <sheet name="FlCrawl" sheetId="11" r:id="rId12"/>
    <sheet name="MFMaster" sheetId="7" r:id="rId13"/>
    <sheet name="Achievements" sheetId="16" r:id="rId14"/>
    <sheet name="SEEMsavings" sheetId="18" r:id="rId15"/>
    <sheet name="Results" sheetId="22" r:id="rId16"/>
    <sheet name="MeasureInputsANDResults" sheetId="21" r:id="rId17"/>
    <sheet name="inputWeightings" sheetId="20" r:id="rId18"/>
    <sheet name="Costs" sheetId="19" r:id="rId19"/>
    <sheet name="ETO MF Insulation Cost" sheetId="17" r:id="rId20"/>
    <sheet name="ETO MF Window Cost" sheetId="23" r:id="rId21"/>
  </sheets>
  <externalReferences>
    <externalReference r:id="rId22"/>
    <externalReference r:id="rId23"/>
    <externalReference r:id="rId24"/>
    <externalReference r:id="rId25"/>
  </externalReferences>
  <definedNames>
    <definedName name="_xlnm._FilterDatabase" localSheetId="7" hidden="1">Composite!$A$4:$DB$301</definedName>
    <definedName name="_xlnm._FilterDatabase" localSheetId="11" hidden="1">FlCrawl!$A$1:$O$961</definedName>
    <definedName name="_xlnm._FilterDatabase" localSheetId="12" hidden="1">MFMaster!$A$2:$CI$232</definedName>
    <definedName name="_xlnm._FilterDatabase" localSheetId="8" hidden="1">'Raw RTF'!$A$7:$DB$463</definedName>
    <definedName name="_xlnm._FilterDatabase" localSheetId="10" hidden="1">Window!$A$1:$J$1800</definedName>
    <definedName name="_Key1" localSheetId="0" hidden="1">#REF!</definedName>
    <definedName name="_Key1" localSheetId="1" hidden="1">#REF!</definedName>
    <definedName name="_Key1" hidden="1">#REF!</definedName>
    <definedName name="_Order1" hidden="1">255</definedName>
    <definedName name="_Sort" localSheetId="0" hidden="1">#REF!</definedName>
    <definedName name="_Sort" localSheetId="1" hidden="1">#REF!</definedName>
    <definedName name="_Sort" hidden="1">#REF!</definedName>
    <definedName name="anscount" hidden="1">1</definedName>
    <definedName name="Areas">MeasureInputsANDResults!$C$108:$L$110</definedName>
    <definedName name="AtticCost" localSheetId="1">'[1]ETO SF Insulation Cost Data'!$F$3963</definedName>
    <definedName name="AtticCost">'ETO MF Insulation Cost'!$J$118</definedName>
    <definedName name="CBWorkbookPriority" hidden="1">-738590518</definedName>
    <definedName name="Deflator" localSheetId="1">'[1]ETO SF Insulation Cost Data'!$F$3982</definedName>
    <definedName name="Deflator">'ETO MF Insulation Cost'!$K$132</definedName>
    <definedName name="FloorCost" localSheetId="1">'[1]ETO SF Insulation Cost Data'!$F$3969</definedName>
    <definedName name="FloorCost">'ETO MF Insulation Cost'!$J$124</definedName>
    <definedName name="Heating">MeasureInputsANDResults!$I$116:$BA$162</definedName>
    <definedName name="limcount" hidden="1">1</definedName>
    <definedName name="MeasureOutput">M_Input_Out!$A$4:$AM$100</definedName>
    <definedName name="ResBase">'[2]Res Forecast (Base Case)'!$C$14:$BD$61</definedName>
    <definedName name="sencount" hidden="1">1</definedName>
    <definedName name="sort" hidden="1">#REF!</definedName>
    <definedName name="WallCost" localSheetId="1">'[1]ETO SF Insulation Cost Data'!$F$3975</definedName>
    <definedName name="WallCost">'ETO MF Insulation Cost'!$J$129</definedName>
  </definedNames>
  <calcPr calcId="125725"/>
  <pivotCaches>
    <pivotCache cacheId="15" r:id="rId26"/>
    <pivotCache cacheId="16" r:id="rId27"/>
    <pivotCache cacheId="17" r:id="rId28"/>
    <pivotCache cacheId="18" r:id="rId29"/>
  </pivotCaches>
</workbook>
</file>

<file path=xl/calcChain.xml><?xml version="1.0" encoding="utf-8"?>
<calcChain xmlns="http://schemas.openxmlformats.org/spreadsheetml/2006/main">
  <c r="B13" i="20"/>
  <c r="F13" i="5"/>
  <c r="H9"/>
  <c r="G9"/>
  <c r="F9"/>
  <c r="E9"/>
  <c r="H8"/>
  <c r="G8"/>
  <c r="F8"/>
  <c r="E8"/>
  <c r="H7"/>
  <c r="G7"/>
  <c r="F7"/>
  <c r="E7"/>
  <c r="H6"/>
  <c r="G6"/>
  <c r="F6"/>
  <c r="E6"/>
  <c r="BD41" i="27"/>
  <c r="BB41"/>
  <c r="BA41"/>
  <c r="AZ41"/>
  <c r="AX41"/>
  <c r="AW41"/>
  <c r="AV41"/>
  <c r="AT41"/>
  <c r="AS41"/>
  <c r="AQ41"/>
  <c r="AO41"/>
  <c r="AN41"/>
  <c r="AM41"/>
  <c r="AK41"/>
  <c r="AJ41"/>
  <c r="AI41"/>
  <c r="AG41"/>
  <c r="AF41"/>
  <c r="J41"/>
  <c r="BC41" s="1"/>
  <c r="I41"/>
  <c r="H41"/>
  <c r="G41"/>
  <c r="F41"/>
  <c r="C41"/>
  <c r="B41"/>
  <c r="A41" s="1"/>
  <c r="BB40"/>
  <c r="BA40"/>
  <c r="AX40"/>
  <c r="AW40"/>
  <c r="AT40"/>
  <c r="AS40"/>
  <c r="AO40"/>
  <c r="AN40"/>
  <c r="AK40"/>
  <c r="AJ40"/>
  <c r="AG40"/>
  <c r="AF40"/>
  <c r="J40"/>
  <c r="BC40" s="1"/>
  <c r="I40"/>
  <c r="H40"/>
  <c r="G40"/>
  <c r="F40"/>
  <c r="C40"/>
  <c r="A40" s="1"/>
  <c r="B40"/>
  <c r="J39"/>
  <c r="BD39" s="1"/>
  <c r="I39"/>
  <c r="H39"/>
  <c r="G39"/>
  <c r="F39"/>
  <c r="C39"/>
  <c r="A39" s="1"/>
  <c r="B39"/>
  <c r="BD38"/>
  <c r="AZ38"/>
  <c r="AV38"/>
  <c r="AQ38"/>
  <c r="AM38"/>
  <c r="AI38"/>
  <c r="J38"/>
  <c r="BA38" s="1"/>
  <c r="I38"/>
  <c r="H38"/>
  <c r="G38"/>
  <c r="F38"/>
  <c r="C38"/>
  <c r="B38"/>
  <c r="A38"/>
  <c r="BD37"/>
  <c r="BB37"/>
  <c r="BA37"/>
  <c r="AZ37"/>
  <c r="AX37"/>
  <c r="AW37"/>
  <c r="AV37"/>
  <c r="AT37"/>
  <c r="AS37"/>
  <c r="AQ37"/>
  <c r="AO37"/>
  <c r="AN37"/>
  <c r="AM37"/>
  <c r="AK37"/>
  <c r="AJ37"/>
  <c r="AI37"/>
  <c r="AG37"/>
  <c r="AF37"/>
  <c r="J37"/>
  <c r="BC37" s="1"/>
  <c r="I37"/>
  <c r="H37"/>
  <c r="G37"/>
  <c r="F37"/>
  <c r="C37"/>
  <c r="B37"/>
  <c r="A37" s="1"/>
  <c r="BB36"/>
  <c r="BA36"/>
  <c r="AX36"/>
  <c r="AW36"/>
  <c r="AT36"/>
  <c r="AS36"/>
  <c r="AO36"/>
  <c r="AN36"/>
  <c r="AK36"/>
  <c r="AJ36"/>
  <c r="AG36"/>
  <c r="AF36"/>
  <c r="J36"/>
  <c r="BC36" s="1"/>
  <c r="I36"/>
  <c r="H36"/>
  <c r="G36"/>
  <c r="F36"/>
  <c r="C36"/>
  <c r="A36" s="1"/>
  <c r="B36"/>
  <c r="J35"/>
  <c r="BD35" s="1"/>
  <c r="I35"/>
  <c r="H35"/>
  <c r="G35"/>
  <c r="F35"/>
  <c r="C35"/>
  <c r="A35" s="1"/>
  <c r="B35"/>
  <c r="BD34"/>
  <c r="AZ34"/>
  <c r="AV34"/>
  <c r="AQ34"/>
  <c r="AM34"/>
  <c r="AI34"/>
  <c r="J34"/>
  <c r="BA34" s="1"/>
  <c r="I34"/>
  <c r="H34"/>
  <c r="G34"/>
  <c r="F34"/>
  <c r="C34"/>
  <c r="B34"/>
  <c r="A34"/>
  <c r="BD33"/>
  <c r="BB33"/>
  <c r="BA33"/>
  <c r="AZ33"/>
  <c r="AX33"/>
  <c r="AW33"/>
  <c r="AV33"/>
  <c r="AT33"/>
  <c r="AS33"/>
  <c r="AQ33"/>
  <c r="AO33"/>
  <c r="AN33"/>
  <c r="AM33"/>
  <c r="AK33"/>
  <c r="AJ33"/>
  <c r="AI33"/>
  <c r="AG33"/>
  <c r="AF33"/>
  <c r="J33"/>
  <c r="BC33" s="1"/>
  <c r="I33"/>
  <c r="H33"/>
  <c r="G33"/>
  <c r="F33"/>
  <c r="C33"/>
  <c r="B33"/>
  <c r="A33" s="1"/>
  <c r="BB32"/>
  <c r="BA32"/>
  <c r="AX32"/>
  <c r="AW32"/>
  <c r="AT32"/>
  <c r="AS32"/>
  <c r="AO32"/>
  <c r="AN32"/>
  <c r="AK32"/>
  <c r="AJ32"/>
  <c r="AG32"/>
  <c r="AF32"/>
  <c r="J32"/>
  <c r="BC32" s="1"/>
  <c r="I32"/>
  <c r="H32"/>
  <c r="G32"/>
  <c r="F32"/>
  <c r="C32"/>
  <c r="A32" s="1"/>
  <c r="B32"/>
  <c r="J31"/>
  <c r="BD31" s="1"/>
  <c r="I31"/>
  <c r="H31"/>
  <c r="G31"/>
  <c r="F31"/>
  <c r="C31"/>
  <c r="A31" s="1"/>
  <c r="B31"/>
  <c r="BD30"/>
  <c r="AZ30"/>
  <c r="AV30"/>
  <c r="AQ30"/>
  <c r="AM30"/>
  <c r="AI30"/>
  <c r="J30"/>
  <c r="BA30" s="1"/>
  <c r="I30"/>
  <c r="H30"/>
  <c r="G30"/>
  <c r="C30"/>
  <c r="B30"/>
  <c r="A30"/>
  <c r="BD29"/>
  <c r="BB29"/>
  <c r="BA29"/>
  <c r="AZ29"/>
  <c r="AX29"/>
  <c r="AW29"/>
  <c r="AV29"/>
  <c r="AT29"/>
  <c r="AS29"/>
  <c r="AQ29"/>
  <c r="AO29"/>
  <c r="AN29"/>
  <c r="AM29"/>
  <c r="AK29"/>
  <c r="AJ29"/>
  <c r="AI29"/>
  <c r="AG29"/>
  <c r="AF29"/>
  <c r="J29"/>
  <c r="BC29" s="1"/>
  <c r="I29"/>
  <c r="H29"/>
  <c r="G29"/>
  <c r="F29"/>
  <c r="C29"/>
  <c r="B29"/>
  <c r="A29" s="1"/>
  <c r="BB28"/>
  <c r="BA28"/>
  <c r="AX28"/>
  <c r="AW28"/>
  <c r="AT28"/>
  <c r="AS28"/>
  <c r="AO28"/>
  <c r="AN28"/>
  <c r="AK28"/>
  <c r="AJ28"/>
  <c r="AG28"/>
  <c r="AF28"/>
  <c r="J28"/>
  <c r="BC28" s="1"/>
  <c r="I28"/>
  <c r="H28"/>
  <c r="G28"/>
  <c r="F28"/>
  <c r="C28"/>
  <c r="A28" s="1"/>
  <c r="B28"/>
  <c r="J27"/>
  <c r="BD27" s="1"/>
  <c r="I27"/>
  <c r="H27"/>
  <c r="G27"/>
  <c r="C27"/>
  <c r="A27" s="1"/>
  <c r="B27"/>
  <c r="BD26"/>
  <c r="AZ26"/>
  <c r="AV26"/>
  <c r="AQ26"/>
  <c r="AM26"/>
  <c r="AI26"/>
  <c r="J26"/>
  <c r="BA26" s="1"/>
  <c r="I26"/>
  <c r="H26"/>
  <c r="G26"/>
  <c r="C26"/>
  <c r="B26"/>
  <c r="A26"/>
  <c r="BD25"/>
  <c r="BB25"/>
  <c r="BA25"/>
  <c r="AZ25"/>
  <c r="AX25"/>
  <c r="AW25"/>
  <c r="AV25"/>
  <c r="AT25"/>
  <c r="AS25"/>
  <c r="AQ25"/>
  <c r="AO25"/>
  <c r="AN25"/>
  <c r="AM25"/>
  <c r="AK25"/>
  <c r="AJ25"/>
  <c r="AI25"/>
  <c r="AG25"/>
  <c r="AF25"/>
  <c r="J25"/>
  <c r="BC25" s="1"/>
  <c r="I25"/>
  <c r="H25"/>
  <c r="G25"/>
  <c r="F25"/>
  <c r="C25"/>
  <c r="B25"/>
  <c r="A25" s="1"/>
  <c r="BB24"/>
  <c r="BA24"/>
  <c r="AX24"/>
  <c r="AW24"/>
  <c r="AT24"/>
  <c r="AS24"/>
  <c r="AO24"/>
  <c r="AN24"/>
  <c r="AK24"/>
  <c r="AJ24"/>
  <c r="AG24"/>
  <c r="AF24"/>
  <c r="J24"/>
  <c r="BC24" s="1"/>
  <c r="I24"/>
  <c r="H24"/>
  <c r="G24"/>
  <c r="F24"/>
  <c r="C24"/>
  <c r="A24" s="1"/>
  <c r="B24"/>
  <c r="J23"/>
  <c r="BD23" s="1"/>
  <c r="I23"/>
  <c r="H23"/>
  <c r="G23"/>
  <c r="C23"/>
  <c r="A23" s="1"/>
  <c r="B23"/>
  <c r="I4"/>
  <c r="J4"/>
  <c r="I5"/>
  <c r="J5"/>
  <c r="BA5" s="1"/>
  <c r="I6"/>
  <c r="J6"/>
  <c r="AQ6" s="1"/>
  <c r="I7"/>
  <c r="J7"/>
  <c r="I8"/>
  <c r="J8"/>
  <c r="I9"/>
  <c r="J9"/>
  <c r="AW9" s="1"/>
  <c r="I10"/>
  <c r="J10"/>
  <c r="BA10" s="1"/>
  <c r="I11"/>
  <c r="J11"/>
  <c r="I12"/>
  <c r="J12"/>
  <c r="I13"/>
  <c r="J13"/>
  <c r="BA13" s="1"/>
  <c r="I14"/>
  <c r="J14"/>
  <c r="AQ14" s="1"/>
  <c r="I15"/>
  <c r="J15"/>
  <c r="I16"/>
  <c r="J16"/>
  <c r="I17"/>
  <c r="J17"/>
  <c r="AI17" s="1"/>
  <c r="I18"/>
  <c r="J18"/>
  <c r="AQ18" s="1"/>
  <c r="I19"/>
  <c r="J19"/>
  <c r="I20"/>
  <c r="J20"/>
  <c r="I21"/>
  <c r="J21"/>
  <c r="BD21" s="1"/>
  <c r="I22"/>
  <c r="J22"/>
  <c r="BA22" s="1"/>
  <c r="X87" i="6"/>
  <c r="W87"/>
  <c r="V87"/>
  <c r="U87"/>
  <c r="T87"/>
  <c r="S87"/>
  <c r="R87"/>
  <c r="Q87"/>
  <c r="P87"/>
  <c r="O87"/>
  <c r="N87"/>
  <c r="M87"/>
  <c r="L87"/>
  <c r="K87"/>
  <c r="J87"/>
  <c r="I87"/>
  <c r="H87"/>
  <c r="G87"/>
  <c r="F87"/>
  <c r="E87"/>
  <c r="J3" i="27"/>
  <c r="BD3" s="1"/>
  <c r="I3"/>
  <c r="AW22"/>
  <c r="C22"/>
  <c r="A22" s="1"/>
  <c r="B22"/>
  <c r="C21"/>
  <c r="A21" s="1"/>
  <c r="B21"/>
  <c r="C20"/>
  <c r="B20"/>
  <c r="C19"/>
  <c r="B19"/>
  <c r="C18"/>
  <c r="B18"/>
  <c r="C17"/>
  <c r="A17" s="1"/>
  <c r="B17"/>
  <c r="C16"/>
  <c r="B16"/>
  <c r="C15"/>
  <c r="B15"/>
  <c r="BA14"/>
  <c r="C14"/>
  <c r="B14"/>
  <c r="C13"/>
  <c r="A13" s="1"/>
  <c r="B13"/>
  <c r="C12"/>
  <c r="B12"/>
  <c r="A12" s="1"/>
  <c r="C11"/>
  <c r="B11"/>
  <c r="C10"/>
  <c r="A10" s="1"/>
  <c r="B10"/>
  <c r="C9"/>
  <c r="A9" s="1"/>
  <c r="B9"/>
  <c r="C8"/>
  <c r="B8"/>
  <c r="C7"/>
  <c r="B7"/>
  <c r="BA6"/>
  <c r="C6"/>
  <c r="B6"/>
  <c r="C5"/>
  <c r="A5" s="1"/>
  <c r="B5"/>
  <c r="C4"/>
  <c r="B4"/>
  <c r="A4" s="1"/>
  <c r="C3"/>
  <c r="B3"/>
  <c r="AV22"/>
  <c r="AS22"/>
  <c r="BB22"/>
  <c r="F22"/>
  <c r="AQ21"/>
  <c r="AY20"/>
  <c r="AU20"/>
  <c r="AH20"/>
  <c r="F20"/>
  <c r="A20"/>
  <c r="BD19"/>
  <c r="AZ19"/>
  <c r="AV19"/>
  <c r="AQ19"/>
  <c r="AM19"/>
  <c r="AI19"/>
  <c r="BA19"/>
  <c r="F19"/>
  <c r="A19"/>
  <c r="AZ18"/>
  <c r="AN18"/>
  <c r="AI18"/>
  <c r="A18"/>
  <c r="AZ17"/>
  <c r="F17"/>
  <c r="AU16"/>
  <c r="F16"/>
  <c r="A16"/>
  <c r="BD15"/>
  <c r="AZ15"/>
  <c r="AV15"/>
  <c r="AQ15"/>
  <c r="AM15"/>
  <c r="AI15"/>
  <c r="BA15"/>
  <c r="F15"/>
  <c r="A15"/>
  <c r="AZ14"/>
  <c r="AN14"/>
  <c r="AI14"/>
  <c r="A14"/>
  <c r="AZ13"/>
  <c r="F13"/>
  <c r="F12"/>
  <c r="AZ11"/>
  <c r="AM11"/>
  <c r="F11"/>
  <c r="A11"/>
  <c r="AV10"/>
  <c r="AS10"/>
  <c r="BB10"/>
  <c r="F10"/>
  <c r="AQ9"/>
  <c r="BC8"/>
  <c r="AU8"/>
  <c r="AL8"/>
  <c r="F8"/>
  <c r="A8"/>
  <c r="BD7"/>
  <c r="AV7"/>
  <c r="AM7"/>
  <c r="F7"/>
  <c r="A7"/>
  <c r="AZ6"/>
  <c r="AN6"/>
  <c r="AI6"/>
  <c r="A6"/>
  <c r="AZ5"/>
  <c r="F5"/>
  <c r="BC4"/>
  <c r="AU4"/>
  <c r="AL4"/>
  <c r="F4"/>
  <c r="AV3"/>
  <c r="AM3"/>
  <c r="A3"/>
  <c r="AD2"/>
  <c r="AC2"/>
  <c r="AB2"/>
  <c r="AA2"/>
  <c r="Z2"/>
  <c r="Y2"/>
  <c r="X2"/>
  <c r="W2"/>
  <c r="V2"/>
  <c r="U2"/>
  <c r="T2"/>
  <c r="S2"/>
  <c r="R2"/>
  <c r="Q2"/>
  <c r="P2"/>
  <c r="O2"/>
  <c r="N2"/>
  <c r="M2"/>
  <c r="L2"/>
  <c r="K2"/>
  <c r="AL23" l="1"/>
  <c r="AY23"/>
  <c r="AP27"/>
  <c r="AH35"/>
  <c r="AL35"/>
  <c r="AP35"/>
  <c r="AU35"/>
  <c r="AY35"/>
  <c r="BC35"/>
  <c r="AH39"/>
  <c r="AL39"/>
  <c r="AP39"/>
  <c r="AU39"/>
  <c r="AY39"/>
  <c r="BC39"/>
  <c r="AG23"/>
  <c r="AT23"/>
  <c r="F26"/>
  <c r="AH26"/>
  <c r="AU26"/>
  <c r="AK27"/>
  <c r="F30"/>
  <c r="AL30"/>
  <c r="AO31"/>
  <c r="AH34"/>
  <c r="AL34"/>
  <c r="AP34"/>
  <c r="AU34"/>
  <c r="AY34"/>
  <c r="BC34"/>
  <c r="AG35"/>
  <c r="AK35"/>
  <c r="AO35"/>
  <c r="AT35"/>
  <c r="AX35"/>
  <c r="BB35"/>
  <c r="AH38"/>
  <c r="AL38"/>
  <c r="AP38"/>
  <c r="AU38"/>
  <c r="AY38"/>
  <c r="BC38"/>
  <c r="AG39"/>
  <c r="AK39"/>
  <c r="AO39"/>
  <c r="AT39"/>
  <c r="AX39"/>
  <c r="BB39"/>
  <c r="AF23"/>
  <c r="AJ23"/>
  <c r="AN23"/>
  <c r="AS23"/>
  <c r="AW23"/>
  <c r="BA23"/>
  <c r="AI24"/>
  <c r="AM24"/>
  <c r="AQ24"/>
  <c r="AV24"/>
  <c r="AZ24"/>
  <c r="BD24"/>
  <c r="AH25"/>
  <c r="AL25"/>
  <c r="AP25"/>
  <c r="AU25"/>
  <c r="AY25"/>
  <c r="AG26"/>
  <c r="AK26"/>
  <c r="AO26"/>
  <c r="AT26"/>
  <c r="AX26"/>
  <c r="BB26"/>
  <c r="AF27"/>
  <c r="AJ27"/>
  <c r="AN27"/>
  <c r="AS27"/>
  <c r="AW27"/>
  <c r="BA27"/>
  <c r="AI28"/>
  <c r="AM28"/>
  <c r="AQ28"/>
  <c r="AV28"/>
  <c r="AZ28"/>
  <c r="BD28"/>
  <c r="AH29"/>
  <c r="AL29"/>
  <c r="AP29"/>
  <c r="AU29"/>
  <c r="AY29"/>
  <c r="AG30"/>
  <c r="AK30"/>
  <c r="AO30"/>
  <c r="AT30"/>
  <c r="AX30"/>
  <c r="BB30"/>
  <c r="AF31"/>
  <c r="AJ31"/>
  <c r="AN31"/>
  <c r="AS31"/>
  <c r="AW31"/>
  <c r="BA31"/>
  <c r="AI32"/>
  <c r="AM32"/>
  <c r="AQ32"/>
  <c r="AV32"/>
  <c r="AZ32"/>
  <c r="BD32"/>
  <c r="AH33"/>
  <c r="AL33"/>
  <c r="AP33"/>
  <c r="AU33"/>
  <c r="AY33"/>
  <c r="AG34"/>
  <c r="AK34"/>
  <c r="AO34"/>
  <c r="AT34"/>
  <c r="AX34"/>
  <c r="BB34"/>
  <c r="AF35"/>
  <c r="AJ35"/>
  <c r="AN35"/>
  <c r="AS35"/>
  <c r="AW35"/>
  <c r="BA35"/>
  <c r="AI36"/>
  <c r="AM36"/>
  <c r="AQ36"/>
  <c r="AV36"/>
  <c r="AZ36"/>
  <c r="BD36"/>
  <c r="AH37"/>
  <c r="AL37"/>
  <c r="AP37"/>
  <c r="AU37"/>
  <c r="AY37"/>
  <c r="AG38"/>
  <c r="AK38"/>
  <c r="AO38"/>
  <c r="AT38"/>
  <c r="AX38"/>
  <c r="BB38"/>
  <c r="AF39"/>
  <c r="AJ39"/>
  <c r="AN39"/>
  <c r="AS39"/>
  <c r="AW39"/>
  <c r="BA39"/>
  <c r="AI40"/>
  <c r="AM40"/>
  <c r="AQ40"/>
  <c r="AV40"/>
  <c r="AZ40"/>
  <c r="BD40"/>
  <c r="AH41"/>
  <c r="AL41"/>
  <c r="AP41"/>
  <c r="AU41"/>
  <c r="AY41"/>
  <c r="F23"/>
  <c r="AH23"/>
  <c r="AP23"/>
  <c r="AU23"/>
  <c r="BC23"/>
  <c r="F27"/>
  <c r="AH27"/>
  <c r="AL27"/>
  <c r="AU27"/>
  <c r="AY27"/>
  <c r="BC27"/>
  <c r="AH31"/>
  <c r="AL31"/>
  <c r="AP31"/>
  <c r="AU31"/>
  <c r="AY31"/>
  <c r="BC31"/>
  <c r="AK23"/>
  <c r="AO23"/>
  <c r="AX23"/>
  <c r="BB23"/>
  <c r="AL26"/>
  <c r="AP26"/>
  <c r="AY26"/>
  <c r="BC26"/>
  <c r="AG27"/>
  <c r="AO27"/>
  <c r="AT27"/>
  <c r="AX27"/>
  <c r="BB27"/>
  <c r="AH30"/>
  <c r="AP30"/>
  <c r="AU30"/>
  <c r="AY30"/>
  <c r="BC30"/>
  <c r="AG31"/>
  <c r="AK31"/>
  <c r="AT31"/>
  <c r="AX31"/>
  <c r="BB31"/>
  <c r="AI23"/>
  <c r="AM23"/>
  <c r="AQ23"/>
  <c r="AV23"/>
  <c r="AZ23"/>
  <c r="AH24"/>
  <c r="AL24"/>
  <c r="AP24"/>
  <c r="AU24"/>
  <c r="AY24"/>
  <c r="AF26"/>
  <c r="AJ26"/>
  <c r="AN26"/>
  <c r="AS26"/>
  <c r="AW26"/>
  <c r="AI27"/>
  <c r="AM27"/>
  <c r="AQ27"/>
  <c r="AV27"/>
  <c r="AZ27"/>
  <c r="AH28"/>
  <c r="AL28"/>
  <c r="AP28"/>
  <c r="AU28"/>
  <c r="AY28"/>
  <c r="AF30"/>
  <c r="AJ30"/>
  <c r="AN30"/>
  <c r="AS30"/>
  <c r="AW30"/>
  <c r="AI31"/>
  <c r="AM31"/>
  <c r="AQ31"/>
  <c r="AV31"/>
  <c r="AZ31"/>
  <c r="AH32"/>
  <c r="AL32"/>
  <c r="AP32"/>
  <c r="AU32"/>
  <c r="AY32"/>
  <c r="AF34"/>
  <c r="AJ34"/>
  <c r="AN34"/>
  <c r="AS34"/>
  <c r="AW34"/>
  <c r="AI35"/>
  <c r="AM35"/>
  <c r="AQ35"/>
  <c r="AV35"/>
  <c r="AZ35"/>
  <c r="AH36"/>
  <c r="AL36"/>
  <c r="AP36"/>
  <c r="AU36"/>
  <c r="AY36"/>
  <c r="AF38"/>
  <c r="AJ38"/>
  <c r="AN38"/>
  <c r="AS38"/>
  <c r="AW38"/>
  <c r="AI39"/>
  <c r="AM39"/>
  <c r="AQ39"/>
  <c r="AV39"/>
  <c r="AZ39"/>
  <c r="AH40"/>
  <c r="AL40"/>
  <c r="AP40"/>
  <c r="AU40"/>
  <c r="AY40"/>
  <c r="AT5"/>
  <c r="AK9"/>
  <c r="AT17"/>
  <c r="AK21"/>
  <c r="BA17"/>
  <c r="AN5"/>
  <c r="AF6"/>
  <c r="AW6"/>
  <c r="AF9"/>
  <c r="BB9"/>
  <c r="AM10"/>
  <c r="BD10"/>
  <c r="AN13"/>
  <c r="AF14"/>
  <c r="AW14"/>
  <c r="AN17"/>
  <c r="AF18"/>
  <c r="AW18"/>
  <c r="AF21"/>
  <c r="BB21"/>
  <c r="AM22"/>
  <c r="BD22"/>
  <c r="AW10"/>
  <c r="BA18"/>
  <c r="AT13"/>
  <c r="BD9"/>
  <c r="AI5"/>
  <c r="AJ10"/>
  <c r="AI13"/>
  <c r="AW21"/>
  <c r="AJ22"/>
  <c r="F3"/>
  <c r="AG5"/>
  <c r="AM5"/>
  <c r="AS5"/>
  <c r="AX5"/>
  <c r="BD5"/>
  <c r="BC9"/>
  <c r="AJ9"/>
  <c r="AO9"/>
  <c r="AV9"/>
  <c r="BA9"/>
  <c r="AG13"/>
  <c r="AS13"/>
  <c r="BD13"/>
  <c r="BC21"/>
  <c r="AO21"/>
  <c r="AV21"/>
  <c r="BA21"/>
  <c r="AF5"/>
  <c r="AK5"/>
  <c r="AQ5"/>
  <c r="AW5"/>
  <c r="BB5"/>
  <c r="BB6"/>
  <c r="AM6"/>
  <c r="AV6"/>
  <c r="BD6"/>
  <c r="F9"/>
  <c r="AI9"/>
  <c r="AN9"/>
  <c r="AT9"/>
  <c r="AZ9"/>
  <c r="AI10"/>
  <c r="AQ10"/>
  <c r="AZ10"/>
  <c r="AF13"/>
  <c r="AK13"/>
  <c r="AQ13"/>
  <c r="AW13"/>
  <c r="BB13"/>
  <c r="BB14"/>
  <c r="AM14"/>
  <c r="AV14"/>
  <c r="BD14"/>
  <c r="AF17"/>
  <c r="AK17"/>
  <c r="AQ17"/>
  <c r="AW17"/>
  <c r="BB17"/>
  <c r="BB18"/>
  <c r="AM18"/>
  <c r="AV18"/>
  <c r="BD18"/>
  <c r="F21"/>
  <c r="AI21"/>
  <c r="AN21"/>
  <c r="AT21"/>
  <c r="AZ21"/>
  <c r="AI22"/>
  <c r="AQ22"/>
  <c r="AZ22"/>
  <c r="AM13"/>
  <c r="AX13"/>
  <c r="AG17"/>
  <c r="AM17"/>
  <c r="AS17"/>
  <c r="AX17"/>
  <c r="BD17"/>
  <c r="AJ21"/>
  <c r="BC5"/>
  <c r="AJ5"/>
  <c r="AO5"/>
  <c r="AV5"/>
  <c r="F6"/>
  <c r="AJ6"/>
  <c r="AS6"/>
  <c r="AG9"/>
  <c r="AM9"/>
  <c r="AS9"/>
  <c r="AX9"/>
  <c r="AF10"/>
  <c r="AN10"/>
  <c r="BC13"/>
  <c r="AJ13"/>
  <c r="AO13"/>
  <c r="AV13"/>
  <c r="F14"/>
  <c r="AJ14"/>
  <c r="AS14"/>
  <c r="BC17"/>
  <c r="AJ17"/>
  <c r="AO17"/>
  <c r="AV17"/>
  <c r="F18"/>
  <c r="AJ18"/>
  <c r="AS18"/>
  <c r="AG21"/>
  <c r="AM21"/>
  <c r="AS21"/>
  <c r="AX21"/>
  <c r="AF22"/>
  <c r="AN22"/>
  <c r="BD12"/>
  <c r="AZ12"/>
  <c r="AV12"/>
  <c r="AQ12"/>
  <c r="AM12"/>
  <c r="AI12"/>
  <c r="BA12"/>
  <c r="AW12"/>
  <c r="AS12"/>
  <c r="AN12"/>
  <c r="AJ12"/>
  <c r="AF12"/>
  <c r="BB12"/>
  <c r="AX12"/>
  <c r="AT12"/>
  <c r="AO12"/>
  <c r="AK12"/>
  <c r="AG12"/>
  <c r="BA3"/>
  <c r="AW3"/>
  <c r="AS3"/>
  <c r="AN3"/>
  <c r="AJ3"/>
  <c r="AF3"/>
  <c r="BB3"/>
  <c r="AX3"/>
  <c r="AT3"/>
  <c r="AO3"/>
  <c r="AK3"/>
  <c r="AG3"/>
  <c r="BD4"/>
  <c r="AZ4"/>
  <c r="AV4"/>
  <c r="AQ4"/>
  <c r="AM4"/>
  <c r="AI4"/>
  <c r="BA4"/>
  <c r="AW4"/>
  <c r="AS4"/>
  <c r="AN4"/>
  <c r="AJ4"/>
  <c r="AF4"/>
  <c r="BA7"/>
  <c r="AW7"/>
  <c r="AS7"/>
  <c r="AN7"/>
  <c r="AJ7"/>
  <c r="AF7"/>
  <c r="BB7"/>
  <c r="AX7"/>
  <c r="AT7"/>
  <c r="AO7"/>
  <c r="AK7"/>
  <c r="AG7"/>
  <c r="BD8"/>
  <c r="AZ8"/>
  <c r="AV8"/>
  <c r="AQ8"/>
  <c r="AM8"/>
  <c r="AI8"/>
  <c r="BA8"/>
  <c r="AW8"/>
  <c r="AS8"/>
  <c r="AN8"/>
  <c r="AJ8"/>
  <c r="AF8"/>
  <c r="BA11"/>
  <c r="AW11"/>
  <c r="AS11"/>
  <c r="AN11"/>
  <c r="AJ11"/>
  <c r="AF11"/>
  <c r="BB11"/>
  <c r="AX11"/>
  <c r="AT11"/>
  <c r="AO11"/>
  <c r="AK11"/>
  <c r="AG11"/>
  <c r="BC11"/>
  <c r="AY11"/>
  <c r="AU11"/>
  <c r="BD16"/>
  <c r="AZ16"/>
  <c r="AV16"/>
  <c r="AQ16"/>
  <c r="AM16"/>
  <c r="AI16"/>
  <c r="BA16"/>
  <c r="AW16"/>
  <c r="AS16"/>
  <c r="AN16"/>
  <c r="AJ16"/>
  <c r="AF16"/>
  <c r="BB16"/>
  <c r="AX16"/>
  <c r="AT16"/>
  <c r="AO16"/>
  <c r="AK16"/>
  <c r="AG16"/>
  <c r="BD20"/>
  <c r="AZ20"/>
  <c r="AV20"/>
  <c r="AQ20"/>
  <c r="AM20"/>
  <c r="AI20"/>
  <c r="BA20"/>
  <c r="AW20"/>
  <c r="AS20"/>
  <c r="AN20"/>
  <c r="AJ20"/>
  <c r="AF20"/>
  <c r="BB20"/>
  <c r="AX20"/>
  <c r="AT20"/>
  <c r="AO20"/>
  <c r="AK20"/>
  <c r="AG20"/>
  <c r="AP12"/>
  <c r="AL3"/>
  <c r="AU3"/>
  <c r="BC3"/>
  <c r="AK4"/>
  <c r="AT4"/>
  <c r="BB4"/>
  <c r="AL7"/>
  <c r="AU7"/>
  <c r="BC7"/>
  <c r="AK8"/>
  <c r="AT8"/>
  <c r="BB8"/>
  <c r="AL11"/>
  <c r="AV11"/>
  <c r="AL12"/>
  <c r="BC12"/>
  <c r="AP16"/>
  <c r="AI3"/>
  <c r="AQ3"/>
  <c r="AZ3"/>
  <c r="AH4"/>
  <c r="AP4"/>
  <c r="AY4"/>
  <c r="AI7"/>
  <c r="AQ7"/>
  <c r="AZ7"/>
  <c r="AH8"/>
  <c r="AP8"/>
  <c r="AY8"/>
  <c r="AI11"/>
  <c r="AQ11"/>
  <c r="AH12"/>
  <c r="AY12"/>
  <c r="AL16"/>
  <c r="BC16"/>
  <c r="AP20"/>
  <c r="AH3"/>
  <c r="AP3"/>
  <c r="AY3"/>
  <c r="AG4"/>
  <c r="AO4"/>
  <c r="AX4"/>
  <c r="AH7"/>
  <c r="AP7"/>
  <c r="AY7"/>
  <c r="AG8"/>
  <c r="AO8"/>
  <c r="AX8"/>
  <c r="AH11"/>
  <c r="AP11"/>
  <c r="BD11"/>
  <c r="AU12"/>
  <c r="AH16"/>
  <c r="AY16"/>
  <c r="AL20"/>
  <c r="BC20"/>
  <c r="AH15"/>
  <c r="AL15"/>
  <c r="AP15"/>
  <c r="AU15"/>
  <c r="AY15"/>
  <c r="BC15"/>
  <c r="AH19"/>
  <c r="AL19"/>
  <c r="AP19"/>
  <c r="AU19"/>
  <c r="AY19"/>
  <c r="BC19"/>
  <c r="AH6"/>
  <c r="AL6"/>
  <c r="AP6"/>
  <c r="AU6"/>
  <c r="AY6"/>
  <c r="BC6"/>
  <c r="AH10"/>
  <c r="AL10"/>
  <c r="AP10"/>
  <c r="AU10"/>
  <c r="AY10"/>
  <c r="BC10"/>
  <c r="AH14"/>
  <c r="AL14"/>
  <c r="AP14"/>
  <c r="AU14"/>
  <c r="AY14"/>
  <c r="BC14"/>
  <c r="AG15"/>
  <c r="AK15"/>
  <c r="AO15"/>
  <c r="AT15"/>
  <c r="AX15"/>
  <c r="BB15"/>
  <c r="AH18"/>
  <c r="AL18"/>
  <c r="AP18"/>
  <c r="AU18"/>
  <c r="AY18"/>
  <c r="BC18"/>
  <c r="AG19"/>
  <c r="AK19"/>
  <c r="AO19"/>
  <c r="AT19"/>
  <c r="AX19"/>
  <c r="BB19"/>
  <c r="AH22"/>
  <c r="AL22"/>
  <c r="AP22"/>
  <c r="AU22"/>
  <c r="AY22"/>
  <c r="BC22"/>
  <c r="AH5"/>
  <c r="AL5"/>
  <c r="AP5"/>
  <c r="AU5"/>
  <c r="AY5"/>
  <c r="AG6"/>
  <c r="AK6"/>
  <c r="AO6"/>
  <c r="AT6"/>
  <c r="AX6"/>
  <c r="AH9"/>
  <c r="AL9"/>
  <c r="AP9"/>
  <c r="AU9"/>
  <c r="AY9"/>
  <c r="AG10"/>
  <c r="AK10"/>
  <c r="AO10"/>
  <c r="AT10"/>
  <c r="AX10"/>
  <c r="AH13"/>
  <c r="AL13"/>
  <c r="AP13"/>
  <c r="AU13"/>
  <c r="AY13"/>
  <c r="AG14"/>
  <c r="AK14"/>
  <c r="AO14"/>
  <c r="AT14"/>
  <c r="AX14"/>
  <c r="AF15"/>
  <c r="AJ15"/>
  <c r="AN15"/>
  <c r="AS15"/>
  <c r="AW15"/>
  <c r="AH17"/>
  <c r="AL17"/>
  <c r="AP17"/>
  <c r="AU17"/>
  <c r="AY17"/>
  <c r="AG18"/>
  <c r="AK18"/>
  <c r="AO18"/>
  <c r="AT18"/>
  <c r="AX18"/>
  <c r="AF19"/>
  <c r="AJ19"/>
  <c r="AN19"/>
  <c r="AS19"/>
  <c r="AW19"/>
  <c r="AH21"/>
  <c r="AL21"/>
  <c r="AP21"/>
  <c r="AU21"/>
  <c r="AY21"/>
  <c r="AG22"/>
  <c r="AK22"/>
  <c r="AO22"/>
  <c r="AT22"/>
  <c r="AX22"/>
  <c r="A23" i="6" l="1"/>
  <c r="C9"/>
  <c r="R23" i="10" l="1"/>
  <c r="E19" i="5" l="1"/>
  <c r="E18"/>
  <c r="E17"/>
  <c r="E16"/>
  <c r="H17" l="1"/>
  <c r="B25" i="6" s="1"/>
  <c r="G18" i="5"/>
  <c r="H16"/>
  <c r="H18"/>
  <c r="G16"/>
  <c r="G17"/>
  <c r="G19"/>
  <c r="F16"/>
  <c r="F17"/>
  <c r="F18"/>
  <c r="F19"/>
  <c r="B30" i="6" l="1"/>
  <c r="B23"/>
  <c r="B28"/>
  <c r="B35"/>
  <c r="B33"/>
  <c r="B24"/>
  <c r="B27"/>
  <c r="B29"/>
  <c r="B31"/>
  <c r="B32"/>
  <c r="B34"/>
  <c r="B26"/>
  <c r="B37"/>
  <c r="B41"/>
  <c r="B45"/>
  <c r="B36"/>
  <c r="B40"/>
  <c r="B44"/>
  <c r="B48"/>
  <c r="B39"/>
  <c r="B43"/>
  <c r="B47"/>
  <c r="B38"/>
  <c r="B42"/>
  <c r="B46"/>
  <c r="B51"/>
  <c r="B55"/>
  <c r="B59"/>
  <c r="B50"/>
  <c r="B54"/>
  <c r="B58"/>
  <c r="B49"/>
  <c r="B53"/>
  <c r="B57"/>
  <c r="B61"/>
  <c r="B52"/>
  <c r="B56"/>
  <c r="B60"/>
  <c r="CL6" i="7" l="1"/>
  <c r="CK4"/>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K45"/>
  <c r="CK46"/>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K103"/>
  <c r="CK104"/>
  <c r="CK105"/>
  <c r="CK106"/>
  <c r="CK107"/>
  <c r="CK108"/>
  <c r="CK109"/>
  <c r="CK110"/>
  <c r="CK111"/>
  <c r="CK112"/>
  <c r="CK113"/>
  <c r="CK114"/>
  <c r="CK115"/>
  <c r="CK116"/>
  <c r="CK117"/>
  <c r="CK118"/>
  <c r="CK119"/>
  <c r="CK120"/>
  <c r="CK121"/>
  <c r="CK122"/>
  <c r="CK123"/>
  <c r="CK124"/>
  <c r="CK125"/>
  <c r="CK126"/>
  <c r="CK127"/>
  <c r="CK128"/>
  <c r="CK129"/>
  <c r="CK130"/>
  <c r="CK131"/>
  <c r="CK132"/>
  <c r="CK133"/>
  <c r="CK134"/>
  <c r="CK135"/>
  <c r="CK136"/>
  <c r="CK137"/>
  <c r="CK138"/>
  <c r="CK139"/>
  <c r="CK140"/>
  <c r="CK141"/>
  <c r="CK142"/>
  <c r="CK143"/>
  <c r="CK144"/>
  <c r="CK145"/>
  <c r="CK146"/>
  <c r="CK147"/>
  <c r="CK148"/>
  <c r="CK149"/>
  <c r="CK150"/>
  <c r="CK151"/>
  <c r="CK152"/>
  <c r="CK153"/>
  <c r="CK154"/>
  <c r="CK155"/>
  <c r="CK156"/>
  <c r="CK157"/>
  <c r="CK158"/>
  <c r="CK159"/>
  <c r="CK160"/>
  <c r="CK161"/>
  <c r="CK162"/>
  <c r="CK163"/>
  <c r="CK164"/>
  <c r="CK165"/>
  <c r="CK166"/>
  <c r="CK167"/>
  <c r="CK168"/>
  <c r="CK169"/>
  <c r="CK170"/>
  <c r="CK171"/>
  <c r="CK172"/>
  <c r="CK173"/>
  <c r="CK174"/>
  <c r="CK175"/>
  <c r="CK176"/>
  <c r="CK177"/>
  <c r="CK178"/>
  <c r="CK179"/>
  <c r="CK180"/>
  <c r="CK181"/>
  <c r="CK182"/>
  <c r="CK183"/>
  <c r="CK184"/>
  <c r="CK185"/>
  <c r="CK186"/>
  <c r="CK187"/>
  <c r="CK188"/>
  <c r="CK189"/>
  <c r="CK190"/>
  <c r="CK191"/>
  <c r="CK192"/>
  <c r="CK193"/>
  <c r="CK194"/>
  <c r="CK195"/>
  <c r="CK196"/>
  <c r="CK197"/>
  <c r="CK198"/>
  <c r="CK199"/>
  <c r="CK200"/>
  <c r="CK201"/>
  <c r="CK202"/>
  <c r="CK203"/>
  <c r="CK204"/>
  <c r="CK205"/>
  <c r="CK206"/>
  <c r="CK207"/>
  <c r="CK208"/>
  <c r="CK209"/>
  <c r="CK210"/>
  <c r="CK211"/>
  <c r="CK212"/>
  <c r="CK213"/>
  <c r="CK214"/>
  <c r="CK215"/>
  <c r="CK216"/>
  <c r="CK217"/>
  <c r="CK218"/>
  <c r="CK219"/>
  <c r="CK220"/>
  <c r="CK221"/>
  <c r="CK222"/>
  <c r="CK223"/>
  <c r="CK224"/>
  <c r="CK225"/>
  <c r="CK226"/>
  <c r="CK227"/>
  <c r="CK228"/>
  <c r="CK229"/>
  <c r="CK230"/>
  <c r="CK231"/>
  <c r="CK232"/>
  <c r="CK3"/>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45"/>
  <c r="CJ46"/>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03"/>
  <c r="CJ104"/>
  <c r="CJ105"/>
  <c r="CJ106"/>
  <c r="CJ107"/>
  <c r="CJ108"/>
  <c r="CJ109"/>
  <c r="CJ110"/>
  <c r="CJ111"/>
  <c r="CJ112"/>
  <c r="CJ113"/>
  <c r="CJ114"/>
  <c r="CJ115"/>
  <c r="CJ116"/>
  <c r="CJ117"/>
  <c r="CJ118"/>
  <c r="CJ119"/>
  <c r="CJ120"/>
  <c r="CJ121"/>
  <c r="CJ122"/>
  <c r="CJ123"/>
  <c r="CJ124"/>
  <c r="CJ125"/>
  <c r="CJ126"/>
  <c r="CJ127"/>
  <c r="CJ128"/>
  <c r="CJ129"/>
  <c r="CJ130"/>
  <c r="CJ131"/>
  <c r="CJ132"/>
  <c r="CJ133"/>
  <c r="CJ134"/>
  <c r="CJ135"/>
  <c r="CJ136"/>
  <c r="CJ137"/>
  <c r="CJ138"/>
  <c r="CJ139"/>
  <c r="CJ140"/>
  <c r="CJ141"/>
  <c r="CJ142"/>
  <c r="CJ143"/>
  <c r="CJ144"/>
  <c r="CJ145"/>
  <c r="CJ146"/>
  <c r="CJ147"/>
  <c r="CJ148"/>
  <c r="CJ149"/>
  <c r="CJ150"/>
  <c r="CJ151"/>
  <c r="CJ152"/>
  <c r="CJ153"/>
  <c r="CJ154"/>
  <c r="CJ155"/>
  <c r="CJ156"/>
  <c r="CJ157"/>
  <c r="CJ158"/>
  <c r="CJ159"/>
  <c r="CJ160"/>
  <c r="CJ161"/>
  <c r="CJ162"/>
  <c r="CJ163"/>
  <c r="CJ164"/>
  <c r="CJ165"/>
  <c r="CJ166"/>
  <c r="CJ167"/>
  <c r="CJ168"/>
  <c r="CJ169"/>
  <c r="CJ170"/>
  <c r="CJ171"/>
  <c r="CJ172"/>
  <c r="CJ173"/>
  <c r="CJ174"/>
  <c r="CJ175"/>
  <c r="CJ176"/>
  <c r="CJ177"/>
  <c r="CJ178"/>
  <c r="CJ179"/>
  <c r="CJ180"/>
  <c r="CJ181"/>
  <c r="CJ182"/>
  <c r="CJ183"/>
  <c r="CJ184"/>
  <c r="CJ185"/>
  <c r="CJ186"/>
  <c r="CJ187"/>
  <c r="CJ188"/>
  <c r="CJ189"/>
  <c r="CJ190"/>
  <c r="CJ191"/>
  <c r="CJ192"/>
  <c r="CJ193"/>
  <c r="CJ194"/>
  <c r="CJ195"/>
  <c r="CJ196"/>
  <c r="CJ197"/>
  <c r="CJ198"/>
  <c r="CJ199"/>
  <c r="CJ200"/>
  <c r="CJ201"/>
  <c r="CJ202"/>
  <c r="CJ203"/>
  <c r="CJ204"/>
  <c r="CJ205"/>
  <c r="CJ206"/>
  <c r="CJ207"/>
  <c r="CJ208"/>
  <c r="CJ209"/>
  <c r="CJ210"/>
  <c r="CJ211"/>
  <c r="CJ212"/>
  <c r="CJ213"/>
  <c r="CJ214"/>
  <c r="CJ215"/>
  <c r="CJ216"/>
  <c r="CJ217"/>
  <c r="CJ218"/>
  <c r="CJ219"/>
  <c r="CJ220"/>
  <c r="CJ221"/>
  <c r="CJ222"/>
  <c r="CJ223"/>
  <c r="CJ224"/>
  <c r="CJ225"/>
  <c r="CJ226"/>
  <c r="CJ227"/>
  <c r="CJ228"/>
  <c r="CJ229"/>
  <c r="CJ230"/>
  <c r="CJ231"/>
  <c r="CJ232"/>
  <c r="CJ3"/>
  <c r="CI6"/>
  <c r="CI10"/>
  <c r="CI14"/>
  <c r="CI18"/>
  <c r="CI22"/>
  <c r="CI26"/>
  <c r="CI30"/>
  <c r="CI34"/>
  <c r="CI38"/>
  <c r="CI42"/>
  <c r="CI46"/>
  <c r="CI50"/>
  <c r="CI54"/>
  <c r="CI58"/>
  <c r="CI62"/>
  <c r="CI66"/>
  <c r="CI70"/>
  <c r="CI74"/>
  <c r="CI78"/>
  <c r="CI82"/>
  <c r="CI86"/>
  <c r="CI90"/>
  <c r="CI94"/>
  <c r="CI98"/>
  <c r="CI102"/>
  <c r="CI106"/>
  <c r="CI110"/>
  <c r="CI114"/>
  <c r="CI118"/>
  <c r="CI122"/>
  <c r="CI126"/>
  <c r="CI130"/>
  <c r="CI134"/>
  <c r="CI138"/>
  <c r="CI142"/>
  <c r="CI146"/>
  <c r="CI150"/>
  <c r="CI154"/>
  <c r="CI158"/>
  <c r="CI162"/>
  <c r="CI166"/>
  <c r="CI170"/>
  <c r="CI174"/>
  <c r="CI178"/>
  <c r="CI182"/>
  <c r="CI186"/>
  <c r="CI190"/>
  <c r="CI194"/>
  <c r="CI198"/>
  <c r="CI202"/>
  <c r="CI206"/>
  <c r="CI210"/>
  <c r="CI214"/>
  <c r="CI218"/>
  <c r="CI222"/>
  <c r="CI226"/>
  <c r="CI230"/>
  <c r="CH11"/>
  <c r="CH31"/>
  <c r="CH52"/>
  <c r="CH60"/>
  <c r="CH75"/>
  <c r="CH95"/>
  <c r="CH116"/>
  <c r="CH124"/>
  <c r="CH139"/>
  <c r="CH159"/>
  <c r="CH180"/>
  <c r="CH188"/>
  <c r="CH203"/>
  <c r="CH223"/>
  <c r="P16" i="11"/>
  <c r="P17"/>
  <c r="P29"/>
  <c r="P40"/>
  <c r="P44"/>
  <c r="M12" i="10"/>
  <c r="M24"/>
  <c r="M27"/>
  <c r="M36"/>
  <c r="M55"/>
  <c r="M56"/>
  <c r="M71"/>
  <c r="M91"/>
  <c r="M116"/>
  <c r="M124"/>
  <c r="M144"/>
  <c r="M156"/>
  <c r="M168"/>
  <c r="M171"/>
  <c r="M179"/>
  <c r="M192"/>
  <c r="M200"/>
  <c r="M215"/>
  <c r="M216"/>
  <c r="M227"/>
  <c r="M228"/>
  <c r="M247"/>
  <c r="M252"/>
  <c r="M272"/>
  <c r="M280"/>
  <c r="M295"/>
  <c r="M316"/>
  <c r="M320"/>
  <c r="M336"/>
  <c r="M351"/>
  <c r="M360"/>
  <c r="M363"/>
  <c r="M371"/>
  <c r="M372"/>
  <c r="K44" i="9"/>
  <c r="K64"/>
  <c r="K68"/>
  <c r="K81"/>
  <c r="K117"/>
  <c r="CG4" i="7"/>
  <c r="CG5"/>
  <c r="CI5" s="1"/>
  <c r="CG6"/>
  <c r="K7" i="9" s="1"/>
  <c r="CG7" i="7"/>
  <c r="CG8"/>
  <c r="CG9"/>
  <c r="CH9" s="1"/>
  <c r="CG10"/>
  <c r="K9" i="9" s="1"/>
  <c r="CG11" i="7"/>
  <c r="CG12"/>
  <c r="CG13"/>
  <c r="CI13" s="1"/>
  <c r="CG14"/>
  <c r="K12" i="9" s="1"/>
  <c r="CG15" i="7"/>
  <c r="CG16"/>
  <c r="CG17"/>
  <c r="P4" i="11" s="1"/>
  <c r="CG18" i="7"/>
  <c r="K15" i="9" s="1"/>
  <c r="CG19" i="7"/>
  <c r="CG20"/>
  <c r="CG21"/>
  <c r="CI21" s="1"/>
  <c r="CG22"/>
  <c r="K19" i="9" s="1"/>
  <c r="CG23" i="7"/>
  <c r="CG24"/>
  <c r="CG25"/>
  <c r="CI25" s="1"/>
  <c r="CG26"/>
  <c r="M37" i="10" s="1"/>
  <c r="CG27" i="7"/>
  <c r="CG28"/>
  <c r="CG29"/>
  <c r="CI29" s="1"/>
  <c r="CG30"/>
  <c r="K25" i="9" s="1"/>
  <c r="CG31" i="7"/>
  <c r="CG32"/>
  <c r="CG33"/>
  <c r="CI33" s="1"/>
  <c r="CG34"/>
  <c r="K29" i="9" s="1"/>
  <c r="CG35" i="7"/>
  <c r="CG36"/>
  <c r="CG37"/>
  <c r="CI37" s="1"/>
  <c r="CG38"/>
  <c r="CH38" s="1"/>
  <c r="CG39"/>
  <c r="CG40"/>
  <c r="CG41"/>
  <c r="CI41" s="1"/>
  <c r="CG42"/>
  <c r="K35" i="9" s="1"/>
  <c r="CG43" i="7"/>
  <c r="CG44"/>
  <c r="CG45"/>
  <c r="CI45" s="1"/>
  <c r="CG46"/>
  <c r="K37" i="9" s="1"/>
  <c r="CG47" i="7"/>
  <c r="CG48"/>
  <c r="CG49"/>
  <c r="CH49" s="1"/>
  <c r="CG50"/>
  <c r="M77" i="10" s="1"/>
  <c r="CG51" i="7"/>
  <c r="CG52"/>
  <c r="CG53"/>
  <c r="CI53" s="1"/>
  <c r="CG54"/>
  <c r="CH54" s="1"/>
  <c r="CG55"/>
  <c r="CG56"/>
  <c r="CG57"/>
  <c r="CI57" s="1"/>
  <c r="CG58"/>
  <c r="K47" i="9" s="1"/>
  <c r="CG59" i="7"/>
  <c r="CG60"/>
  <c r="CG61"/>
  <c r="CI61" s="1"/>
  <c r="CG62"/>
  <c r="M93" i="10" s="1"/>
  <c r="CG63" i="7"/>
  <c r="CH63" s="1"/>
  <c r="CG64"/>
  <c r="CG65"/>
  <c r="CI65" s="1"/>
  <c r="CG66"/>
  <c r="M101" i="10" s="1"/>
  <c r="CG67" i="7"/>
  <c r="CG68"/>
  <c r="CG69"/>
  <c r="CI69" s="1"/>
  <c r="CG70"/>
  <c r="CH70" s="1"/>
  <c r="CG71"/>
  <c r="CG72"/>
  <c r="CG73"/>
  <c r="CI73" s="1"/>
  <c r="CG74"/>
  <c r="M113" i="10" s="1"/>
  <c r="CG75" i="7"/>
  <c r="CG76"/>
  <c r="CG77"/>
  <c r="CI77" s="1"/>
  <c r="CG78"/>
  <c r="K62" i="9" s="1"/>
  <c r="CG79" i="7"/>
  <c r="M127" i="10" s="1"/>
  <c r="CG80" i="7"/>
  <c r="CG81"/>
  <c r="CH81" s="1"/>
  <c r="CG82"/>
  <c r="M133" i="10" s="1"/>
  <c r="CG83" i="7"/>
  <c r="CG84"/>
  <c r="CG85"/>
  <c r="CI85" s="1"/>
  <c r="CG86"/>
  <c r="K65" i="9" s="1"/>
  <c r="CG87" i="7"/>
  <c r="CG88"/>
  <c r="CG89"/>
  <c r="CI89" s="1"/>
  <c r="CG90"/>
  <c r="K67" i="9" s="1"/>
  <c r="CG91" i="7"/>
  <c r="CG92"/>
  <c r="CG93"/>
  <c r="CI93" s="1"/>
  <c r="CG94"/>
  <c r="K70" i="9" s="1"/>
  <c r="CG95" i="7"/>
  <c r="CG96"/>
  <c r="CG97"/>
  <c r="CH97" s="1"/>
  <c r="CG98"/>
  <c r="P22" i="11" s="1"/>
  <c r="CG99" i="7"/>
  <c r="CG100"/>
  <c r="CG101"/>
  <c r="CI101" s="1"/>
  <c r="CG102"/>
  <c r="CH102" s="1"/>
  <c r="CG103"/>
  <c r="CG104"/>
  <c r="CG105"/>
  <c r="M167" i="10" s="1"/>
  <c r="CG106" i="7"/>
  <c r="M169" i="10" s="1"/>
  <c r="CG107" i="7"/>
  <c r="CI107" s="1"/>
  <c r="CG108"/>
  <c r="CG109"/>
  <c r="CI109" s="1"/>
  <c r="CG110"/>
  <c r="K83" i="9" s="1"/>
  <c r="CG111" i="7"/>
  <c r="CG112"/>
  <c r="CG113"/>
  <c r="CI113" s="1"/>
  <c r="CG114"/>
  <c r="CH114" s="1"/>
  <c r="CG115"/>
  <c r="M183" i="10" s="1"/>
  <c r="CG116" i="7"/>
  <c r="CG117"/>
  <c r="CI117" s="1"/>
  <c r="CG118"/>
  <c r="K89" i="9" s="1"/>
  <c r="CG119" i="7"/>
  <c r="CG120"/>
  <c r="CG121"/>
  <c r="CI121" s="1"/>
  <c r="CG122"/>
  <c r="CH122" s="1"/>
  <c r="CG123"/>
  <c r="CG124"/>
  <c r="CG125"/>
  <c r="CI125" s="1"/>
  <c r="CG126"/>
  <c r="K95" i="9" s="1"/>
  <c r="CG127" i="7"/>
  <c r="CI127" s="1"/>
  <c r="CG128"/>
  <c r="CG129"/>
  <c r="CI129" s="1"/>
  <c r="CG130"/>
  <c r="K97" i="9" s="1"/>
  <c r="CG131" i="7"/>
  <c r="CG132"/>
  <c r="CG133"/>
  <c r="CH133" s="1"/>
  <c r="CG134"/>
  <c r="M213" i="10" s="1"/>
  <c r="CG135" i="7"/>
  <c r="CG136"/>
  <c r="CG137"/>
  <c r="CH137" s="1"/>
  <c r="CG138"/>
  <c r="M221" i="10" s="1"/>
  <c r="CG139" i="7"/>
  <c r="CG140"/>
  <c r="CG141"/>
  <c r="CI141" s="1"/>
  <c r="CG142"/>
  <c r="K105" i="9" s="1"/>
  <c r="CG143" i="7"/>
  <c r="CG144"/>
  <c r="CG145"/>
  <c r="CI145" s="1"/>
  <c r="CG146"/>
  <c r="M233" i="10" s="1"/>
  <c r="CG147" i="7"/>
  <c r="CG148"/>
  <c r="CG149"/>
  <c r="CI149" s="1"/>
  <c r="CG150"/>
  <c r="K111" i="9" s="1"/>
  <c r="CG151" i="7"/>
  <c r="CG152"/>
  <c r="CG153"/>
  <c r="CI153" s="1"/>
  <c r="CG154"/>
  <c r="K115" i="9" s="1"/>
  <c r="CG155" i="7"/>
  <c r="CG156"/>
  <c r="CG157"/>
  <c r="CI157" s="1"/>
  <c r="CG158"/>
  <c r="M253" i="10" s="1"/>
  <c r="CG159" i="7"/>
  <c r="CI159" s="1"/>
  <c r="CG160"/>
  <c r="CG161"/>
  <c r="CH161" s="1"/>
  <c r="CG162"/>
  <c r="M257" i="10" s="1"/>
  <c r="CG163" i="7"/>
  <c r="CG164"/>
  <c r="CG165"/>
  <c r="CI165" s="1"/>
  <c r="CG166"/>
  <c r="K118" i="9" s="1"/>
  <c r="CG167" i="7"/>
  <c r="CG168"/>
  <c r="CG169"/>
  <c r="CI169" s="1"/>
  <c r="CG170"/>
  <c r="K121" i="9" s="1"/>
  <c r="CG171" i="7"/>
  <c r="CI171" s="1"/>
  <c r="CG172"/>
  <c r="CG173"/>
  <c r="CI173" s="1"/>
  <c r="CG174"/>
  <c r="CH174" s="1"/>
  <c r="CG175"/>
  <c r="CG176"/>
  <c r="CG177"/>
  <c r="CI177" s="1"/>
  <c r="CG178"/>
  <c r="M281" i="10" s="1"/>
  <c r="CG179" i="7"/>
  <c r="CG180"/>
  <c r="CG181"/>
  <c r="CI181" s="1"/>
  <c r="CG182"/>
  <c r="K129" i="9" s="1"/>
  <c r="CG183" i="7"/>
  <c r="CG184"/>
  <c r="CG185"/>
  <c r="CI185" s="1"/>
  <c r="CG186"/>
  <c r="CH186" s="1"/>
  <c r="CG187"/>
  <c r="CG188"/>
  <c r="CG189"/>
  <c r="CI189" s="1"/>
  <c r="CG190"/>
  <c r="K134" i="9" s="1"/>
  <c r="CG191" i="7"/>
  <c r="CG192"/>
  <c r="CG193"/>
  <c r="CI193" s="1"/>
  <c r="CG194"/>
  <c r="M309" i="10" s="1"/>
  <c r="CG195" i="7"/>
  <c r="CG196"/>
  <c r="CG197"/>
  <c r="CI197" s="1"/>
  <c r="CG198"/>
  <c r="CH198" s="1"/>
  <c r="CG199"/>
  <c r="CI199" s="1"/>
  <c r="CG200"/>
  <c r="CG201"/>
  <c r="CI201" s="1"/>
  <c r="CG202"/>
  <c r="CH202" s="1"/>
  <c r="CG203"/>
  <c r="CI203" s="1"/>
  <c r="CG204"/>
  <c r="CG205"/>
  <c r="CH205" s="1"/>
  <c r="CG206"/>
  <c r="K141" i="9" s="1"/>
  <c r="CG207" i="7"/>
  <c r="CG208"/>
  <c r="CG209"/>
  <c r="CH209" s="1"/>
  <c r="CG210"/>
  <c r="K143" i="9" s="1"/>
  <c r="CG211" i="7"/>
  <c r="CI211" s="1"/>
  <c r="CG212"/>
  <c r="CG213"/>
  <c r="CI213" s="1"/>
  <c r="CG214"/>
  <c r="CH214" s="1"/>
  <c r="CG215"/>
  <c r="CG216"/>
  <c r="CG217"/>
  <c r="CI217" s="1"/>
  <c r="CG218"/>
  <c r="CH218" s="1"/>
  <c r="CG219"/>
  <c r="CG220"/>
  <c r="CG221"/>
  <c r="CH221" s="1"/>
  <c r="CG222"/>
  <c r="M357" i="10" s="1"/>
  <c r="CG223" i="7"/>
  <c r="CI223" s="1"/>
  <c r="CG224"/>
  <c r="CG225"/>
  <c r="CI225" s="1"/>
  <c r="CG226"/>
  <c r="K148" i="9" s="1"/>
  <c r="CG227" i="7"/>
  <c r="CG228"/>
  <c r="CG229"/>
  <c r="CI229" s="1"/>
  <c r="CG230"/>
  <c r="CH230" s="1"/>
  <c r="CG231"/>
  <c r="CI231" s="1"/>
  <c r="CG232"/>
  <c r="CG3"/>
  <c r="CI3" s="1"/>
  <c r="O13" i="9"/>
  <c r="R24" i="10"/>
  <c r="R25"/>
  <c r="R26"/>
  <c r="R27"/>
  <c r="R28"/>
  <c r="R29"/>
  <c r="R30"/>
  <c r="T26" s="1"/>
  <c r="R31"/>
  <c r="R32"/>
  <c r="S10"/>
  <c r="V10" s="1"/>
  <c r="S11"/>
  <c r="S9"/>
  <c r="V9" s="1"/>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2"/>
  <c r="T24" l="1"/>
  <c r="CH227" i="7"/>
  <c r="CI227"/>
  <c r="CH219"/>
  <c r="M352" i="10"/>
  <c r="CI219" i="7"/>
  <c r="CH195"/>
  <c r="CI195"/>
  <c r="CH187"/>
  <c r="M296" i="10"/>
  <c r="CI187" i="7"/>
  <c r="K126" i="9"/>
  <c r="CI179" i="7"/>
  <c r="CH163"/>
  <c r="CI163"/>
  <c r="CH155"/>
  <c r="CI155"/>
  <c r="M235" i="10"/>
  <c r="CI147" i="7"/>
  <c r="K102" i="9"/>
  <c r="M223" i="10"/>
  <c r="CI139" i="7"/>
  <c r="K98" i="9"/>
  <c r="M208" i="10"/>
  <c r="CH131" i="7"/>
  <c r="CI131"/>
  <c r="CH123"/>
  <c r="CI123"/>
  <c r="K90" i="9"/>
  <c r="CH119" i="7"/>
  <c r="CI119"/>
  <c r="CH111"/>
  <c r="M176" i="10"/>
  <c r="M175"/>
  <c r="CI111" i="7"/>
  <c r="M164" i="10"/>
  <c r="CI103" i="7"/>
  <c r="P21" i="11"/>
  <c r="CI95" i="7"/>
  <c r="K66" i="9"/>
  <c r="CH87" i="7"/>
  <c r="CI87"/>
  <c r="K63" i="9"/>
  <c r="CI83" i="7"/>
  <c r="CI75"/>
  <c r="CH67"/>
  <c r="CI67"/>
  <c r="CH59"/>
  <c r="CI59"/>
  <c r="CH55"/>
  <c r="K45" i="9"/>
  <c r="CI55" i="7"/>
  <c r="K38" i="9"/>
  <c r="CH47" i="7"/>
  <c r="M72" i="10"/>
  <c r="CI47" i="7"/>
  <c r="M63" i="10"/>
  <c r="CI43" i="7"/>
  <c r="P9" i="11"/>
  <c r="CI39" i="7"/>
  <c r="K26" i="9"/>
  <c r="CI31" i="7"/>
  <c r="CH27"/>
  <c r="CI27"/>
  <c r="M32" i="10"/>
  <c r="CH23" i="7"/>
  <c r="CI23"/>
  <c r="K16" i="9"/>
  <c r="CI19" i="7"/>
  <c r="CH15"/>
  <c r="M20" i="10"/>
  <c r="CI15" i="7"/>
  <c r="K10" i="9"/>
  <c r="CI11" i="7"/>
  <c r="CI7"/>
  <c r="CI232"/>
  <c r="CH228"/>
  <c r="M368" i="10"/>
  <c r="CI228" i="7"/>
  <c r="CI224"/>
  <c r="M355" i="10"/>
  <c r="CI220" i="7"/>
  <c r="CI216"/>
  <c r="CI212"/>
  <c r="CI208"/>
  <c r="CI204"/>
  <c r="CH204"/>
  <c r="CI200"/>
  <c r="CH196"/>
  <c r="CI196"/>
  <c r="CI192"/>
  <c r="M299" i="10"/>
  <c r="CI188" i="7"/>
  <c r="CI184"/>
  <c r="CI180"/>
  <c r="CI176"/>
  <c r="K124" i="9"/>
  <c r="CI172" i="7"/>
  <c r="CH172"/>
  <c r="CI168"/>
  <c r="CH164"/>
  <c r="CI164"/>
  <c r="CI160"/>
  <c r="CI156"/>
  <c r="M248" i="10"/>
  <c r="CI152" i="7"/>
  <c r="K109" i="9"/>
  <c r="CI148" i="7"/>
  <c r="CI144"/>
  <c r="M224" i="10"/>
  <c r="CI140" i="7"/>
  <c r="CH140"/>
  <c r="CI136"/>
  <c r="CH132"/>
  <c r="CI132"/>
  <c r="CI128"/>
  <c r="CI124"/>
  <c r="CI120"/>
  <c r="CI116"/>
  <c r="M184" i="10"/>
  <c r="CI112" i="7"/>
  <c r="CI108"/>
  <c r="CH108"/>
  <c r="CI104"/>
  <c r="CH100"/>
  <c r="CI100"/>
  <c r="CI96"/>
  <c r="CI92"/>
  <c r="CI88"/>
  <c r="CI84"/>
  <c r="CI80"/>
  <c r="M128" i="10"/>
  <c r="CI76" i="7"/>
  <c r="CH76"/>
  <c r="M120" i="10"/>
  <c r="CI72" i="7"/>
  <c r="CH68"/>
  <c r="CI68"/>
  <c r="CI64"/>
  <c r="CI60"/>
  <c r="CI56"/>
  <c r="CI52"/>
  <c r="CI48"/>
  <c r="CI44"/>
  <c r="CH44"/>
  <c r="CI40"/>
  <c r="CH36"/>
  <c r="CI36"/>
  <c r="CI32"/>
  <c r="M48" i="10"/>
  <c r="CI28" i="7"/>
  <c r="CI24"/>
  <c r="CI20"/>
  <c r="CI16"/>
  <c r="CI12"/>
  <c r="CH12"/>
  <c r="CI8"/>
  <c r="K8" i="9"/>
  <c r="CH4" i="7"/>
  <c r="CI4"/>
  <c r="M3" i="10"/>
  <c r="K36" i="9"/>
  <c r="CH167" i="7"/>
  <c r="CH147"/>
  <c r="CH103"/>
  <c r="CH83"/>
  <c r="K96" i="9"/>
  <c r="M339" i="10"/>
  <c r="M304"/>
  <c r="M283"/>
  <c r="M259"/>
  <c r="M203"/>
  <c r="M104"/>
  <c r="M40"/>
  <c r="P32" i="11"/>
  <c r="P5"/>
  <c r="CH212" i="7"/>
  <c r="CH191"/>
  <c r="CH171"/>
  <c r="CH148"/>
  <c r="CH127"/>
  <c r="CH107"/>
  <c r="CH84"/>
  <c r="CH43"/>
  <c r="CH20"/>
  <c r="M344" i="10"/>
  <c r="CH215" i="7"/>
  <c r="CI215"/>
  <c r="K142" i="9"/>
  <c r="CH207" i="7"/>
  <c r="M331" i="10"/>
  <c r="CI207" i="7"/>
  <c r="K135" i="9"/>
  <c r="CI191" i="7"/>
  <c r="M288" i="10"/>
  <c r="CH183" i="7"/>
  <c r="CI183"/>
  <c r="CH175"/>
  <c r="M276" i="10"/>
  <c r="CI175" i="7"/>
  <c r="K119" i="9"/>
  <c r="M264" i="10"/>
  <c r="CI167" i="7"/>
  <c r="CH151"/>
  <c r="CI151"/>
  <c r="K106" i="9"/>
  <c r="CH143" i="7"/>
  <c r="CI143"/>
  <c r="K100" i="9"/>
  <c r="CI135" i="7"/>
  <c r="K86" i="9"/>
  <c r="CI115" i="7"/>
  <c r="CH99"/>
  <c r="K73" i="9"/>
  <c r="CI99" i="7"/>
  <c r="CH91"/>
  <c r="M147" i="10"/>
  <c r="CI91" i="7"/>
  <c r="CH79"/>
  <c r="CI79"/>
  <c r="M108" i="10"/>
  <c r="CI71" i="7"/>
  <c r="K50" i="9"/>
  <c r="M96" i="10"/>
  <c r="CI63" i="7"/>
  <c r="CI51"/>
  <c r="K30" i="9"/>
  <c r="M51" i="10"/>
  <c r="CH35" i="7"/>
  <c r="CI35"/>
  <c r="K144" i="9"/>
  <c r="M303" i="10"/>
  <c r="M152"/>
  <c r="M103"/>
  <c r="M64"/>
  <c r="M8"/>
  <c r="CH231" i="7"/>
  <c r="CH211"/>
  <c r="CH39"/>
  <c r="CH19"/>
  <c r="K112" i="9"/>
  <c r="M347" i="10"/>
  <c r="M291"/>
  <c r="M271"/>
  <c r="M243"/>
  <c r="M191"/>
  <c r="M139"/>
  <c r="M115"/>
  <c r="M84"/>
  <c r="CH220" i="7"/>
  <c r="CH199"/>
  <c r="CH179"/>
  <c r="CH156"/>
  <c r="CH135"/>
  <c r="CH115"/>
  <c r="CH92"/>
  <c r="CH71"/>
  <c r="CH51"/>
  <c r="CH28"/>
  <c r="CH7"/>
  <c r="M364" i="10"/>
  <c r="M343"/>
  <c r="M324"/>
  <c r="M308"/>
  <c r="M287"/>
  <c r="M275"/>
  <c r="M263"/>
  <c r="M207"/>
  <c r="M195"/>
  <c r="M163"/>
  <c r="M107"/>
  <c r="M95"/>
  <c r="M60"/>
  <c r="M31"/>
  <c r="M19"/>
  <c r="P36" i="11"/>
  <c r="P8"/>
  <c r="K140" i="9"/>
  <c r="K76"/>
  <c r="K56"/>
  <c r="M315" i="10"/>
  <c r="M251"/>
  <c r="M240"/>
  <c r="M196"/>
  <c r="M188"/>
  <c r="M151"/>
  <c r="M132"/>
  <c r="M123"/>
  <c r="M83"/>
  <c r="M7"/>
  <c r="P37" i="11"/>
  <c r="P25"/>
  <c r="CI221" i="7"/>
  <c r="CI209"/>
  <c r="CI205"/>
  <c r="CI161"/>
  <c r="CI137"/>
  <c r="CI133"/>
  <c r="CI105"/>
  <c r="CI97"/>
  <c r="CI81"/>
  <c r="CI49"/>
  <c r="CI17"/>
  <c r="CI9"/>
  <c r="K4" i="9"/>
  <c r="CH3" i="7"/>
  <c r="M2" i="10"/>
  <c r="K145" i="9"/>
  <c r="CH213" i="7"/>
  <c r="M341" i="10"/>
  <c r="M342"/>
  <c r="K138" i="9"/>
  <c r="CH197" i="7"/>
  <c r="M313" i="10"/>
  <c r="K131" i="9"/>
  <c r="CH185" i="7"/>
  <c r="M293" i="10"/>
  <c r="K125" i="9"/>
  <c r="CH177" i="7"/>
  <c r="M278" i="10"/>
  <c r="K120" i="9"/>
  <c r="CH169" i="7"/>
  <c r="CH165"/>
  <c r="M261" i="10"/>
  <c r="CH157" i="7"/>
  <c r="M249" i="10"/>
  <c r="P35" i="11"/>
  <c r="M250" i="10"/>
  <c r="K110" i="9"/>
  <c r="CH149" i="7"/>
  <c r="K104" i="9"/>
  <c r="CH141" i="7"/>
  <c r="M225" i="10"/>
  <c r="M226"/>
  <c r="K94" i="9"/>
  <c r="CH125" i="7"/>
  <c r="M201" i="10"/>
  <c r="K88" i="9"/>
  <c r="CH117" i="7"/>
  <c r="M186" i="10"/>
  <c r="K82" i="9"/>
  <c r="CH109" i="7"/>
  <c r="M173" i="10"/>
  <c r="CH89" i="7"/>
  <c r="P19" i="11"/>
  <c r="CH85" i="7"/>
  <c r="M137" i="10"/>
  <c r="P15" i="11"/>
  <c r="K61" i="9"/>
  <c r="CH77" i="7"/>
  <c r="M121" i="10"/>
  <c r="M122"/>
  <c r="CH65" i="7"/>
  <c r="M98" i="10"/>
  <c r="K49" i="9"/>
  <c r="CH61" i="7"/>
  <c r="K43" i="9"/>
  <c r="CH53" i="7"/>
  <c r="M81" i="10"/>
  <c r="M82"/>
  <c r="CH45" i="7"/>
  <c r="M69" i="10"/>
  <c r="K31" i="9"/>
  <c r="CH37" i="7"/>
  <c r="M54" i="10"/>
  <c r="K21" i="9"/>
  <c r="CH25" i="7"/>
  <c r="P6" i="11"/>
  <c r="M34" i="10"/>
  <c r="K11" i="9"/>
  <c r="CH13" i="7"/>
  <c r="M17" i="10"/>
  <c r="P46" i="11"/>
  <c r="M373" i="10"/>
  <c r="M354"/>
  <c r="K147" i="9"/>
  <c r="M346" i="10"/>
  <c r="M333"/>
  <c r="M334"/>
  <c r="M326"/>
  <c r="M318"/>
  <c r="M305"/>
  <c r="K136" i="9"/>
  <c r="M298" i="10"/>
  <c r="K130" i="9"/>
  <c r="K127"/>
  <c r="M277" i="10"/>
  <c r="K122" i="9"/>
  <c r="P39" i="11"/>
  <c r="M265" i="10"/>
  <c r="M266"/>
  <c r="P34" i="11"/>
  <c r="K113" i="9"/>
  <c r="M237" i="10"/>
  <c r="M238"/>
  <c r="M230"/>
  <c r="K103" i="9"/>
  <c r="K101"/>
  <c r="M218" i="10"/>
  <c r="K99" i="9"/>
  <c r="M210" i="10"/>
  <c r="M198"/>
  <c r="K93" i="9"/>
  <c r="K87"/>
  <c r="M185" i="10"/>
  <c r="M178"/>
  <c r="K78" i="9"/>
  <c r="M165" i="10"/>
  <c r="P23" i="11"/>
  <c r="M166" i="10"/>
  <c r="K74" i="9"/>
  <c r="K71"/>
  <c r="M154" i="10"/>
  <c r="K69" i="9"/>
  <c r="P18" i="11"/>
  <c r="M141" i="10"/>
  <c r="M142"/>
  <c r="M129"/>
  <c r="M130"/>
  <c r="M118"/>
  <c r="K60" i="9"/>
  <c r="K58"/>
  <c r="M110" i="10"/>
  <c r="K51" i="9"/>
  <c r="M97" i="10"/>
  <c r="K42" i="9"/>
  <c r="K39"/>
  <c r="M74" i="10"/>
  <c r="M65"/>
  <c r="M66"/>
  <c r="M58"/>
  <c r="M53"/>
  <c r="K27" i="9"/>
  <c r="P7" i="11"/>
  <c r="K23" i="9"/>
  <c r="M41" i="10"/>
  <c r="M33"/>
  <c r="M21"/>
  <c r="K13" i="9"/>
  <c r="P3" i="11"/>
  <c r="M10" i="10"/>
  <c r="M5"/>
  <c r="K53" i="9"/>
  <c r="K33"/>
  <c r="K5"/>
  <c r="M367" i="10"/>
  <c r="M359"/>
  <c r="M335"/>
  <c r="M327"/>
  <c r="M319"/>
  <c r="M311"/>
  <c r="M279"/>
  <c r="M255"/>
  <c r="M239"/>
  <c r="M231"/>
  <c r="M199"/>
  <c r="M159"/>
  <c r="M143"/>
  <c r="M135"/>
  <c r="M119"/>
  <c r="M111"/>
  <c r="M87"/>
  <c r="M79"/>
  <c r="M47"/>
  <c r="M39"/>
  <c r="M23"/>
  <c r="M15"/>
  <c r="P28" i="11"/>
  <c r="P20"/>
  <c r="P12"/>
  <c r="CH229" i="7"/>
  <c r="M369" i="10"/>
  <c r="M370"/>
  <c r="CH225" i="7"/>
  <c r="M361" i="10"/>
  <c r="M362"/>
  <c r="CH217" i="7"/>
  <c r="M349" i="10"/>
  <c r="M350"/>
  <c r="K139" i="9"/>
  <c r="CH201" i="7"/>
  <c r="M321" i="10"/>
  <c r="M322"/>
  <c r="K137" i="9"/>
  <c r="CH193" i="7"/>
  <c r="M306" i="10"/>
  <c r="K133" i="9"/>
  <c r="CH189" i="7"/>
  <c r="K128" i="9"/>
  <c r="CH181" i="7"/>
  <c r="M285" i="10"/>
  <c r="K123" i="9"/>
  <c r="CH173" i="7"/>
  <c r="M273" i="10"/>
  <c r="K114" i="9"/>
  <c r="CH153" i="7"/>
  <c r="K107" i="9"/>
  <c r="CH145" i="7"/>
  <c r="CH129"/>
  <c r="M205" i="10"/>
  <c r="K91" i="9"/>
  <c r="CH121" i="7"/>
  <c r="M193" i="10"/>
  <c r="M194"/>
  <c r="K85" i="9"/>
  <c r="CH113" i="7"/>
  <c r="M181" i="10"/>
  <c r="K79" i="9"/>
  <c r="CH105" i="7"/>
  <c r="K75" i="9"/>
  <c r="CH101" i="7"/>
  <c r="M161" i="10"/>
  <c r="CH93" i="7"/>
  <c r="M149" i="10"/>
  <c r="K59" i="9"/>
  <c r="CH73" i="7"/>
  <c r="K55" i="9"/>
  <c r="CH69" i="7"/>
  <c r="M105" i="10"/>
  <c r="K46" i="9"/>
  <c r="CH57" i="7"/>
  <c r="P10" i="11"/>
  <c r="K34" i="9"/>
  <c r="CH41" i="7"/>
  <c r="K28" i="9"/>
  <c r="CH33" i="7"/>
  <c r="M49" i="10"/>
  <c r="K24" i="9"/>
  <c r="CH29" i="7"/>
  <c r="M42" i="10"/>
  <c r="K18" i="9"/>
  <c r="CH21" i="7"/>
  <c r="K14" i="9"/>
  <c r="CH17" i="7"/>
  <c r="M22" i="10"/>
  <c r="K6" i="9"/>
  <c r="CH5" i="7"/>
  <c r="M6" i="10"/>
  <c r="M328"/>
  <c r="M312"/>
  <c r="M256"/>
  <c r="M232"/>
  <c r="M160"/>
  <c r="M136"/>
  <c r="M112"/>
  <c r="M88"/>
  <c r="M80"/>
  <c r="M16"/>
  <c r="P45" i="11"/>
  <c r="P13"/>
  <c r="M323" i="10"/>
  <c r="M307"/>
  <c r="M267"/>
  <c r="M219"/>
  <c r="M211"/>
  <c r="M187"/>
  <c r="M155"/>
  <c r="M131"/>
  <c r="M99"/>
  <c r="M75"/>
  <c r="M67"/>
  <c r="M59"/>
  <c r="M43"/>
  <c r="M35"/>
  <c r="M11"/>
  <c r="P24" i="11"/>
  <c r="K84" i="9"/>
  <c r="K17"/>
  <c r="M356" i="10"/>
  <c r="M348"/>
  <c r="M340"/>
  <c r="M332"/>
  <c r="M300"/>
  <c r="M292"/>
  <c r="M284"/>
  <c r="M268"/>
  <c r="M260"/>
  <c r="M244"/>
  <c r="M236"/>
  <c r="M220"/>
  <c r="M212"/>
  <c r="M204"/>
  <c r="M180"/>
  <c r="M172"/>
  <c r="M148"/>
  <c r="M140"/>
  <c r="M100"/>
  <c r="M92"/>
  <c r="M76"/>
  <c r="M68"/>
  <c r="M52"/>
  <c r="M44"/>
  <c r="M28"/>
  <c r="M4"/>
  <c r="P41" i="11"/>
  <c r="P33"/>
  <c r="CH232" i="7"/>
  <c r="CH224"/>
  <c r="CH216"/>
  <c r="CH208"/>
  <c r="CH200"/>
  <c r="CH192"/>
  <c r="CH184"/>
  <c r="CH176"/>
  <c r="CH168"/>
  <c r="CH160"/>
  <c r="CH152"/>
  <c r="CH144"/>
  <c r="CH136"/>
  <c r="CH128"/>
  <c r="CH120"/>
  <c r="CH112"/>
  <c r="CH104"/>
  <c r="CH96"/>
  <c r="CH88"/>
  <c r="CH80"/>
  <c r="CH72"/>
  <c r="CH64"/>
  <c r="CH56"/>
  <c r="CH48"/>
  <c r="CH40"/>
  <c r="CH32"/>
  <c r="CH24"/>
  <c r="CH16"/>
  <c r="CH8"/>
  <c r="K149" i="9"/>
  <c r="K116"/>
  <c r="K108"/>
  <c r="K80"/>
  <c r="K72"/>
  <c r="K52"/>
  <c r="K41"/>
  <c r="K32"/>
  <c r="M366" i="10"/>
  <c r="M358"/>
  <c r="M338"/>
  <c r="M330"/>
  <c r="M314"/>
  <c r="M310"/>
  <c r="M302"/>
  <c r="M294"/>
  <c r="M290"/>
  <c r="M286"/>
  <c r="M282"/>
  <c r="M274"/>
  <c r="M270"/>
  <c r="M262"/>
  <c r="M258"/>
  <c r="M254"/>
  <c r="M246"/>
  <c r="M242"/>
  <c r="M234"/>
  <c r="M222"/>
  <c r="M214"/>
  <c r="M206"/>
  <c r="M202"/>
  <c r="M190"/>
  <c r="M182"/>
  <c r="M174"/>
  <c r="M170"/>
  <c r="M162"/>
  <c r="M158"/>
  <c r="M150"/>
  <c r="M146"/>
  <c r="M138"/>
  <c r="M134"/>
  <c r="M126"/>
  <c r="M114"/>
  <c r="M106"/>
  <c r="M102"/>
  <c r="M94"/>
  <c r="M90"/>
  <c r="M86"/>
  <c r="M78"/>
  <c r="M70"/>
  <c r="M62"/>
  <c r="M50"/>
  <c r="M46"/>
  <c r="M38"/>
  <c r="M30"/>
  <c r="M26"/>
  <c r="M18"/>
  <c r="M14"/>
  <c r="P2" i="11"/>
  <c r="P43"/>
  <c r="P31"/>
  <c r="P27"/>
  <c r="P11"/>
  <c r="CH226" i="7"/>
  <c r="CH222"/>
  <c r="CH210"/>
  <c r="CH206"/>
  <c r="CH194"/>
  <c r="CH190"/>
  <c r="CH182"/>
  <c r="CH178"/>
  <c r="CH170"/>
  <c r="CH166"/>
  <c r="CH162"/>
  <c r="CH158"/>
  <c r="CH154"/>
  <c r="CH150"/>
  <c r="CH146"/>
  <c r="CH142"/>
  <c r="CH138"/>
  <c r="CH134"/>
  <c r="CH130"/>
  <c r="CH126"/>
  <c r="CH118"/>
  <c r="CH110"/>
  <c r="CH106"/>
  <c r="CH98"/>
  <c r="CH94"/>
  <c r="CH90"/>
  <c r="CH86"/>
  <c r="CH82"/>
  <c r="CH78"/>
  <c r="CH74"/>
  <c r="CH66"/>
  <c r="CH62"/>
  <c r="CH58"/>
  <c r="CH50"/>
  <c r="CH46"/>
  <c r="CH42"/>
  <c r="CH34"/>
  <c r="CH30"/>
  <c r="CH26"/>
  <c r="CH22"/>
  <c r="CH18"/>
  <c r="CH14"/>
  <c r="CH10"/>
  <c r="CH6"/>
  <c r="K132" i="9"/>
  <c r="K92"/>
  <c r="K77"/>
  <c r="K57"/>
  <c r="K48"/>
  <c r="K40"/>
  <c r="K20"/>
  <c r="M365" i="10"/>
  <c r="M353"/>
  <c r="M345"/>
  <c r="M337"/>
  <c r="M329"/>
  <c r="M325"/>
  <c r="M317"/>
  <c r="M301"/>
  <c r="M297"/>
  <c r="M289"/>
  <c r="M269"/>
  <c r="M245"/>
  <c r="M241"/>
  <c r="M229"/>
  <c r="M217"/>
  <c r="M209"/>
  <c r="M197"/>
  <c r="M189"/>
  <c r="M177"/>
  <c r="M157"/>
  <c r="M153"/>
  <c r="M145"/>
  <c r="M125"/>
  <c r="M117"/>
  <c r="M109"/>
  <c r="M89"/>
  <c r="M85"/>
  <c r="M73"/>
  <c r="M61"/>
  <c r="M57"/>
  <c r="M45"/>
  <c r="M29"/>
  <c r="M25"/>
  <c r="M13"/>
  <c r="M9"/>
  <c r="P42" i="11"/>
  <c r="P38"/>
  <c r="P30"/>
  <c r="P26"/>
  <c r="P14"/>
  <c r="K3" i="9"/>
  <c r="K146"/>
  <c r="K54"/>
  <c r="K22"/>
  <c r="AK14" i="11"/>
  <c r="AJ14"/>
  <c r="CL3" i="7" l="1"/>
  <c r="O3" i="11"/>
  <c r="O4"/>
  <c r="O5"/>
  <c r="O6"/>
  <c r="O7"/>
  <c r="O8"/>
  <c r="O9"/>
  <c r="O10"/>
  <c r="O11"/>
  <c r="O12"/>
  <c r="O13"/>
  <c r="O14"/>
  <c r="O15"/>
  <c r="O16"/>
  <c r="O17"/>
  <c r="O18"/>
  <c r="O19"/>
  <c r="O20"/>
  <c r="O21"/>
  <c r="O22"/>
  <c r="O23"/>
  <c r="O24"/>
  <c r="O25"/>
  <c r="O26"/>
  <c r="O27"/>
  <c r="O28"/>
  <c r="O29"/>
  <c r="O30"/>
  <c r="O31"/>
  <c r="O32"/>
  <c r="O33"/>
  <c r="O34"/>
  <c r="O35"/>
  <c r="O36"/>
  <c r="O37"/>
  <c r="O38"/>
  <c r="O39"/>
  <c r="O40"/>
  <c r="O41"/>
  <c r="O42"/>
  <c r="O43"/>
  <c r="O44"/>
  <c r="O45"/>
  <c r="O46"/>
  <c r="O2"/>
  <c r="O15" i="9" l="1"/>
  <c r="P15"/>
  <c r="Q15"/>
  <c r="Q13"/>
  <c r="P13"/>
  <c r="J4" l="1"/>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3"/>
  <c r="F13" i="6" l="1"/>
  <c r="G13"/>
  <c r="H13"/>
  <c r="I13"/>
  <c r="J13"/>
  <c r="K13"/>
  <c r="L13"/>
  <c r="M13"/>
  <c r="N13"/>
  <c r="O13"/>
  <c r="P13"/>
  <c r="Q13"/>
  <c r="R13"/>
  <c r="S13"/>
  <c r="T13"/>
  <c r="U13"/>
  <c r="V13"/>
  <c r="W13"/>
  <c r="X13"/>
  <c r="F14"/>
  <c r="G14"/>
  <c r="H14"/>
  <c r="I14"/>
  <c r="J14"/>
  <c r="K14"/>
  <c r="L14"/>
  <c r="M14"/>
  <c r="N14"/>
  <c r="O14"/>
  <c r="P14"/>
  <c r="Q14"/>
  <c r="R14"/>
  <c r="S14"/>
  <c r="T14"/>
  <c r="U14"/>
  <c r="V14"/>
  <c r="W14"/>
  <c r="X14"/>
  <c r="F15"/>
  <c r="G15"/>
  <c r="H15"/>
  <c r="I15"/>
  <c r="J15"/>
  <c r="K15"/>
  <c r="L15"/>
  <c r="M15"/>
  <c r="N15"/>
  <c r="O15"/>
  <c r="P15"/>
  <c r="Q15"/>
  <c r="R15"/>
  <c r="S15"/>
  <c r="T15"/>
  <c r="U15"/>
  <c r="V15"/>
  <c r="W15"/>
  <c r="X15"/>
  <c r="F16"/>
  <c r="G16"/>
  <c r="H16"/>
  <c r="I16"/>
  <c r="J16"/>
  <c r="K16"/>
  <c r="L16"/>
  <c r="M16"/>
  <c r="N16"/>
  <c r="O16"/>
  <c r="P16"/>
  <c r="Q16"/>
  <c r="R16"/>
  <c r="S16"/>
  <c r="T16"/>
  <c r="U16"/>
  <c r="V16"/>
  <c r="W16"/>
  <c r="X16"/>
  <c r="E14"/>
  <c r="E15"/>
  <c r="E16"/>
  <c r="X23" l="1"/>
  <c r="Z23"/>
  <c r="E13"/>
  <c r="X12"/>
  <c r="W12"/>
  <c r="V12"/>
  <c r="U12"/>
  <c r="T12"/>
  <c r="S12"/>
  <c r="R12"/>
  <c r="Q12"/>
  <c r="P12"/>
  <c r="O12"/>
  <c r="N12"/>
  <c r="M12"/>
  <c r="L12"/>
  <c r="K12"/>
  <c r="J12"/>
  <c r="I12"/>
  <c r="H12"/>
  <c r="G12"/>
  <c r="F12"/>
  <c r="E12"/>
  <c r="B9" i="4"/>
  <c r="B10"/>
  <c r="B11"/>
  <c r="B12"/>
  <c r="B13"/>
  <c r="B14"/>
  <c r="B15"/>
  <c r="B16"/>
  <c r="B17"/>
  <c r="B18"/>
  <c r="B19"/>
  <c r="B20"/>
  <c r="B21"/>
  <c r="B22"/>
  <c r="B23"/>
  <c r="B24"/>
  <c r="B25"/>
  <c r="B26"/>
  <c r="B27"/>
  <c r="B28"/>
  <c r="B29"/>
  <c r="B30"/>
  <c r="B31"/>
  <c r="B32"/>
  <c r="B33"/>
  <c r="B34"/>
  <c r="B35"/>
  <c r="B36"/>
  <c r="B37"/>
  <c r="B38"/>
  <c r="B39"/>
  <c r="B40"/>
  <c r="B41"/>
  <c r="B42"/>
  <c r="B43"/>
  <c r="B44"/>
  <c r="B45"/>
  <c r="B46"/>
  <c r="G6" i="2" l="1"/>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B19" i="19"/>
  <c r="B17"/>
  <c r="N130" i="23"/>
  <c r="L130"/>
  <c r="N129"/>
  <c r="N128"/>
  <c r="N127"/>
  <c r="N126"/>
  <c r="N124"/>
  <c r="N123"/>
  <c r="J119"/>
  <c r="K130" s="1"/>
  <c r="J118"/>
  <c r="M130" s="1"/>
  <c r="M134" s="1"/>
  <c r="J117"/>
  <c r="J116"/>
  <c r="J115"/>
  <c r="J114"/>
  <c r="J113"/>
  <c r="J112"/>
  <c r="J111"/>
  <c r="J110"/>
  <c r="J109"/>
  <c r="J108"/>
  <c r="L129" s="1"/>
  <c r="J107"/>
  <c r="K129" s="1"/>
  <c r="J106"/>
  <c r="M129" s="1"/>
  <c r="J105"/>
  <c r="J104"/>
  <c r="J103"/>
  <c r="J102"/>
  <c r="J101"/>
  <c r="J100"/>
  <c r="J99"/>
  <c r="J98"/>
  <c r="J97"/>
  <c r="J96"/>
  <c r="J95"/>
  <c r="J94"/>
  <c r="J93"/>
  <c r="J92"/>
  <c r="J91"/>
  <c r="J90"/>
  <c r="J89"/>
  <c r="J88"/>
  <c r="J87"/>
  <c r="J86"/>
  <c r="J85"/>
  <c r="J84"/>
  <c r="J83"/>
  <c r="J82"/>
  <c r="J81"/>
  <c r="J80"/>
  <c r="J79"/>
  <c r="J78"/>
  <c r="J77"/>
  <c r="J76"/>
  <c r="J75"/>
  <c r="J74"/>
  <c r="J73"/>
  <c r="J72"/>
  <c r="J71"/>
  <c r="J70"/>
  <c r="J69"/>
  <c r="J68"/>
  <c r="J67"/>
  <c r="J66"/>
  <c r="J65"/>
  <c r="J64"/>
  <c r="J63"/>
  <c r="J62"/>
  <c r="J61"/>
  <c r="J60"/>
  <c r="J59"/>
  <c r="J58"/>
  <c r="J57"/>
  <c r="J56"/>
  <c r="J55"/>
  <c r="J54"/>
  <c r="J53"/>
  <c r="J52"/>
  <c r="J51"/>
  <c r="J50"/>
  <c r="J49"/>
  <c r="J48"/>
  <c r="J47"/>
  <c r="J46"/>
  <c r="J45"/>
  <c r="J44"/>
  <c r="M128" s="1"/>
  <c r="J43"/>
  <c r="J42"/>
  <c r="J41"/>
  <c r="J40"/>
  <c r="J39"/>
  <c r="J38"/>
  <c r="J37"/>
  <c r="J36"/>
  <c r="J35"/>
  <c r="J34"/>
  <c r="J33"/>
  <c r="J32"/>
  <c r="J31"/>
  <c r="J30"/>
  <c r="J29"/>
  <c r="J28"/>
  <c r="M127" s="1"/>
  <c r="J27"/>
  <c r="J26"/>
  <c r="J25"/>
  <c r="J24"/>
  <c r="J23"/>
  <c r="J22"/>
  <c r="J21"/>
  <c r="J20"/>
  <c r="J19"/>
  <c r="J18"/>
  <c r="J17"/>
  <c r="J16"/>
  <c r="L126" s="1"/>
  <c r="J15"/>
  <c r="K126" s="1"/>
  <c r="J14"/>
  <c r="J13"/>
  <c r="M126" s="1"/>
  <c r="J12"/>
  <c r="L125" s="1"/>
  <c r="J11"/>
  <c r="J10"/>
  <c r="J9"/>
  <c r="J8"/>
  <c r="K124" s="1"/>
  <c r="J7"/>
  <c r="J6"/>
  <c r="L124" s="1"/>
  <c r="J5"/>
  <c r="J4"/>
  <c r="K123" s="1"/>
  <c r="J3"/>
  <c r="J2"/>
  <c r="L123" s="1"/>
  <c r="K418" i="18"/>
  <c r="K417"/>
  <c r="K416"/>
  <c r="K415"/>
  <c r="K372"/>
  <c r="K371"/>
  <c r="K370"/>
  <c r="K369"/>
  <c r="K326"/>
  <c r="K325"/>
  <c r="K324"/>
  <c r="K323"/>
  <c r="K280"/>
  <c r="K279"/>
  <c r="K278"/>
  <c r="K277"/>
  <c r="K234"/>
  <c r="K233"/>
  <c r="K232"/>
  <c r="K231"/>
  <c r="K188"/>
  <c r="K187"/>
  <c r="K186"/>
  <c r="K185"/>
  <c r="L142"/>
  <c r="K142"/>
  <c r="H142"/>
  <c r="L141"/>
  <c r="K141"/>
  <c r="H141"/>
  <c r="H279" s="1"/>
  <c r="H417" s="1"/>
  <c r="H555" s="1"/>
  <c r="L140"/>
  <c r="K140"/>
  <c r="H140"/>
  <c r="L139"/>
  <c r="K139"/>
  <c r="H139"/>
  <c r="H277" s="1"/>
  <c r="H415" s="1"/>
  <c r="H553" s="1"/>
  <c r="H138"/>
  <c r="H137"/>
  <c r="H136"/>
  <c r="H135"/>
  <c r="H273" s="1"/>
  <c r="H411" s="1"/>
  <c r="H549" s="1"/>
  <c r="H134"/>
  <c r="H133"/>
  <c r="H271" s="1"/>
  <c r="H409" s="1"/>
  <c r="H547" s="1"/>
  <c r="H132"/>
  <c r="H131"/>
  <c r="H269" s="1"/>
  <c r="H407" s="1"/>
  <c r="H545" s="1"/>
  <c r="H130"/>
  <c r="H129"/>
  <c r="H267" s="1"/>
  <c r="H405" s="1"/>
  <c r="H543" s="1"/>
  <c r="H128"/>
  <c r="H127"/>
  <c r="H126"/>
  <c r="H125"/>
  <c r="H263" s="1"/>
  <c r="H401" s="1"/>
  <c r="H539" s="1"/>
  <c r="H124"/>
  <c r="H123"/>
  <c r="H261" s="1"/>
  <c r="H399" s="1"/>
  <c r="H537" s="1"/>
  <c r="H122"/>
  <c r="H121"/>
  <c r="H259" s="1"/>
  <c r="H397" s="1"/>
  <c r="H535" s="1"/>
  <c r="H120"/>
  <c r="H119"/>
  <c r="H257" s="1"/>
  <c r="H395" s="1"/>
  <c r="H533" s="1"/>
  <c r="H118"/>
  <c r="H117"/>
  <c r="H255" s="1"/>
  <c r="H393" s="1"/>
  <c r="H531" s="1"/>
  <c r="H116"/>
  <c r="H115"/>
  <c r="H253" s="1"/>
  <c r="H391" s="1"/>
  <c r="H529" s="1"/>
  <c r="H114"/>
  <c r="H113"/>
  <c r="H251" s="1"/>
  <c r="H389" s="1"/>
  <c r="H527" s="1"/>
  <c r="H112"/>
  <c r="H111"/>
  <c r="H110"/>
  <c r="H109"/>
  <c r="H247" s="1"/>
  <c r="H385" s="1"/>
  <c r="H523" s="1"/>
  <c r="H108"/>
  <c r="H107"/>
  <c r="H245" s="1"/>
  <c r="H383" s="1"/>
  <c r="H521" s="1"/>
  <c r="H106"/>
  <c r="H105"/>
  <c r="H104"/>
  <c r="H103"/>
  <c r="H241" s="1"/>
  <c r="H379" s="1"/>
  <c r="H517" s="1"/>
  <c r="H102"/>
  <c r="H101"/>
  <c r="H239" s="1"/>
  <c r="H377" s="1"/>
  <c r="H515" s="1"/>
  <c r="H100"/>
  <c r="H99"/>
  <c r="H237" s="1"/>
  <c r="H375" s="1"/>
  <c r="H513" s="1"/>
  <c r="H98"/>
  <c r="H97"/>
  <c r="H235" s="1"/>
  <c r="H373" s="1"/>
  <c r="H511" s="1"/>
  <c r="L96"/>
  <c r="K96"/>
  <c r="H96"/>
  <c r="L95"/>
  <c r="K95"/>
  <c r="H95"/>
  <c r="H233" s="1"/>
  <c r="H371" s="1"/>
  <c r="H509" s="1"/>
  <c r="L94"/>
  <c r="K94"/>
  <c r="H94"/>
  <c r="L93"/>
  <c r="K93"/>
  <c r="H93"/>
  <c r="H231" s="1"/>
  <c r="H369" s="1"/>
  <c r="H507" s="1"/>
  <c r="H92"/>
  <c r="H91"/>
  <c r="H229" s="1"/>
  <c r="H367" s="1"/>
  <c r="H505" s="1"/>
  <c r="H90"/>
  <c r="H89"/>
  <c r="H227" s="1"/>
  <c r="H365" s="1"/>
  <c r="H503" s="1"/>
  <c r="H88"/>
  <c r="H87"/>
  <c r="H225" s="1"/>
  <c r="H363" s="1"/>
  <c r="H501" s="1"/>
  <c r="H86"/>
  <c r="H85"/>
  <c r="H223" s="1"/>
  <c r="H361" s="1"/>
  <c r="H499" s="1"/>
  <c r="H84"/>
  <c r="H83"/>
  <c r="H221" s="1"/>
  <c r="H359" s="1"/>
  <c r="H497" s="1"/>
  <c r="H82"/>
  <c r="H81"/>
  <c r="H219" s="1"/>
  <c r="H357" s="1"/>
  <c r="H495" s="1"/>
  <c r="H80"/>
  <c r="H79"/>
  <c r="H217" s="1"/>
  <c r="H355" s="1"/>
  <c r="H493" s="1"/>
  <c r="H78"/>
  <c r="H77"/>
  <c r="H215" s="1"/>
  <c r="H353" s="1"/>
  <c r="H491" s="1"/>
  <c r="H76"/>
  <c r="H75"/>
  <c r="H213" s="1"/>
  <c r="H351" s="1"/>
  <c r="H489" s="1"/>
  <c r="H74"/>
  <c r="H73"/>
  <c r="H211" s="1"/>
  <c r="H349" s="1"/>
  <c r="H487" s="1"/>
  <c r="H72"/>
  <c r="H71"/>
  <c r="H209" s="1"/>
  <c r="H347" s="1"/>
  <c r="H485" s="1"/>
  <c r="H70"/>
  <c r="H69"/>
  <c r="H207" s="1"/>
  <c r="H345" s="1"/>
  <c r="H483" s="1"/>
  <c r="H68"/>
  <c r="H67"/>
  <c r="H205" s="1"/>
  <c r="H343" s="1"/>
  <c r="H481" s="1"/>
  <c r="H66"/>
  <c r="H65"/>
  <c r="H203" s="1"/>
  <c r="H341" s="1"/>
  <c r="H479" s="1"/>
  <c r="H64"/>
  <c r="H63"/>
  <c r="H201" s="1"/>
  <c r="H339" s="1"/>
  <c r="H477" s="1"/>
  <c r="H62"/>
  <c r="H61"/>
  <c r="H199" s="1"/>
  <c r="H337" s="1"/>
  <c r="H475" s="1"/>
  <c r="H60"/>
  <c r="H59"/>
  <c r="H197" s="1"/>
  <c r="H335" s="1"/>
  <c r="H473" s="1"/>
  <c r="H58"/>
  <c r="H57"/>
  <c r="H195" s="1"/>
  <c r="H333" s="1"/>
  <c r="H471" s="1"/>
  <c r="H56"/>
  <c r="H55"/>
  <c r="H193" s="1"/>
  <c r="H331" s="1"/>
  <c r="H469" s="1"/>
  <c r="H54"/>
  <c r="H53"/>
  <c r="H191" s="1"/>
  <c r="H329" s="1"/>
  <c r="H467" s="1"/>
  <c r="H52"/>
  <c r="H51"/>
  <c r="H189" s="1"/>
  <c r="H327" s="1"/>
  <c r="H465" s="1"/>
  <c r="L50"/>
  <c r="K50"/>
  <c r="H50"/>
  <c r="L49"/>
  <c r="K49"/>
  <c r="H49"/>
  <c r="H187" s="1"/>
  <c r="H325" s="1"/>
  <c r="H463" s="1"/>
  <c r="L48"/>
  <c r="K48"/>
  <c r="H48"/>
  <c r="L47"/>
  <c r="K47"/>
  <c r="H47"/>
  <c r="H185" s="1"/>
  <c r="H323" s="1"/>
  <c r="H461" s="1"/>
  <c r="H46"/>
  <c r="H45"/>
  <c r="H183" s="1"/>
  <c r="H321" s="1"/>
  <c r="H459" s="1"/>
  <c r="H44"/>
  <c r="H43"/>
  <c r="H181" s="1"/>
  <c r="H319" s="1"/>
  <c r="H457" s="1"/>
  <c r="H42"/>
  <c r="H41"/>
  <c r="H179" s="1"/>
  <c r="H317" s="1"/>
  <c r="H455" s="1"/>
  <c r="H40"/>
  <c r="H39"/>
  <c r="H177" s="1"/>
  <c r="H315" s="1"/>
  <c r="H453" s="1"/>
  <c r="H38"/>
  <c r="H37"/>
  <c r="H175" s="1"/>
  <c r="H313" s="1"/>
  <c r="H451" s="1"/>
  <c r="H36"/>
  <c r="H35"/>
  <c r="H173" s="1"/>
  <c r="H311" s="1"/>
  <c r="H449" s="1"/>
  <c r="H34"/>
  <c r="H33"/>
  <c r="H171" s="1"/>
  <c r="H309" s="1"/>
  <c r="H447" s="1"/>
  <c r="H32"/>
  <c r="H31"/>
  <c r="H169" s="1"/>
  <c r="H307" s="1"/>
  <c r="H445" s="1"/>
  <c r="H30"/>
  <c r="H29"/>
  <c r="H167" s="1"/>
  <c r="H305" s="1"/>
  <c r="H443" s="1"/>
  <c r="H28"/>
  <c r="H27"/>
  <c r="H165" s="1"/>
  <c r="H303" s="1"/>
  <c r="H441" s="1"/>
  <c r="H26"/>
  <c r="H25"/>
  <c r="H163" s="1"/>
  <c r="H301" s="1"/>
  <c r="H439" s="1"/>
  <c r="H24"/>
  <c r="H23"/>
  <c r="H161" s="1"/>
  <c r="H299" s="1"/>
  <c r="H437" s="1"/>
  <c r="H22"/>
  <c r="H21"/>
  <c r="H159" s="1"/>
  <c r="H297" s="1"/>
  <c r="H435" s="1"/>
  <c r="H20"/>
  <c r="H19"/>
  <c r="H157" s="1"/>
  <c r="H295" s="1"/>
  <c r="H433" s="1"/>
  <c r="H18"/>
  <c r="H17"/>
  <c r="H155" s="1"/>
  <c r="H293" s="1"/>
  <c r="H431" s="1"/>
  <c r="H16"/>
  <c r="H15"/>
  <c r="H153" s="1"/>
  <c r="H291" s="1"/>
  <c r="H429" s="1"/>
  <c r="H14"/>
  <c r="H13"/>
  <c r="H151" s="1"/>
  <c r="H289" s="1"/>
  <c r="H427" s="1"/>
  <c r="H12"/>
  <c r="H11"/>
  <c r="H149" s="1"/>
  <c r="H287" s="1"/>
  <c r="H425" s="1"/>
  <c r="H10"/>
  <c r="H9"/>
  <c r="H147" s="1"/>
  <c r="H285" s="1"/>
  <c r="H423" s="1"/>
  <c r="H8"/>
  <c r="H7"/>
  <c r="H145" s="1"/>
  <c r="H283" s="1"/>
  <c r="H421" s="1"/>
  <c r="H6"/>
  <c r="H5"/>
  <c r="H143" s="1"/>
  <c r="H281" s="1"/>
  <c r="H419" s="1"/>
  <c r="H236"/>
  <c r="H374" s="1"/>
  <c r="H512" s="1"/>
  <c r="H232"/>
  <c r="H370" s="1"/>
  <c r="H508" s="1"/>
  <c r="H228"/>
  <c r="H366" s="1"/>
  <c r="H504" s="1"/>
  <c r="H224"/>
  <c r="H362" s="1"/>
  <c r="H500" s="1"/>
  <c r="H220"/>
  <c r="H358" s="1"/>
  <c r="H496" s="1"/>
  <c r="H216"/>
  <c r="H354" s="1"/>
  <c r="H492" s="1"/>
  <c r="H212"/>
  <c r="H350" s="1"/>
  <c r="H488" s="1"/>
  <c r="H208"/>
  <c r="H346" s="1"/>
  <c r="H484" s="1"/>
  <c r="H204"/>
  <c r="H342" s="1"/>
  <c r="H480" s="1"/>
  <c r="H200"/>
  <c r="H338" s="1"/>
  <c r="H476" s="1"/>
  <c r="H196"/>
  <c r="H334" s="1"/>
  <c r="H472" s="1"/>
  <c r="H192"/>
  <c r="H330" s="1"/>
  <c r="H468" s="1"/>
  <c r="H188"/>
  <c r="H326" s="1"/>
  <c r="H464" s="1"/>
  <c r="H184"/>
  <c r="H322" s="1"/>
  <c r="H460" s="1"/>
  <c r="H180"/>
  <c r="H318" s="1"/>
  <c r="H456" s="1"/>
  <c r="H176"/>
  <c r="H314" s="1"/>
  <c r="H452" s="1"/>
  <c r="H172"/>
  <c r="H310" s="1"/>
  <c r="H448" s="1"/>
  <c r="H168"/>
  <c r="H306" s="1"/>
  <c r="H444" s="1"/>
  <c r="H164"/>
  <c r="H302" s="1"/>
  <c r="H440" s="1"/>
  <c r="H160"/>
  <c r="H298" s="1"/>
  <c r="H436" s="1"/>
  <c r="H156"/>
  <c r="H294" s="1"/>
  <c r="H432" s="1"/>
  <c r="H152"/>
  <c r="H290" s="1"/>
  <c r="H428" s="1"/>
  <c r="H148"/>
  <c r="H286" s="1"/>
  <c r="H424" s="1"/>
  <c r="H144"/>
  <c r="H282" s="1"/>
  <c r="H420" s="1"/>
  <c r="H280"/>
  <c r="H418" s="1"/>
  <c r="H556" s="1"/>
  <c r="H278"/>
  <c r="H416" s="1"/>
  <c r="H554" s="1"/>
  <c r="H276"/>
  <c r="H414" s="1"/>
  <c r="H552" s="1"/>
  <c r="H275"/>
  <c r="H413" s="1"/>
  <c r="H551" s="1"/>
  <c r="H274"/>
  <c r="H412" s="1"/>
  <c r="H550" s="1"/>
  <c r="H272"/>
  <c r="H410" s="1"/>
  <c r="H548" s="1"/>
  <c r="H270"/>
  <c r="H408" s="1"/>
  <c r="H546" s="1"/>
  <c r="H268"/>
  <c r="H406" s="1"/>
  <c r="H544" s="1"/>
  <c r="H266"/>
  <c r="H404" s="1"/>
  <c r="H542" s="1"/>
  <c r="H265"/>
  <c r="H403" s="1"/>
  <c r="H541" s="1"/>
  <c r="H264"/>
  <c r="H402" s="1"/>
  <c r="H540" s="1"/>
  <c r="H262"/>
  <c r="H400" s="1"/>
  <c r="H538" s="1"/>
  <c r="H260"/>
  <c r="H398" s="1"/>
  <c r="H536" s="1"/>
  <c r="H258"/>
  <c r="H396" s="1"/>
  <c r="H534" s="1"/>
  <c r="H256"/>
  <c r="H394" s="1"/>
  <c r="H532" s="1"/>
  <c r="H254"/>
  <c r="H392" s="1"/>
  <c r="H530" s="1"/>
  <c r="H252"/>
  <c r="H390" s="1"/>
  <c r="H528" s="1"/>
  <c r="H250"/>
  <c r="H388" s="1"/>
  <c r="H526" s="1"/>
  <c r="H249"/>
  <c r="H387" s="1"/>
  <c r="H525" s="1"/>
  <c r="H248"/>
  <c r="H386" s="1"/>
  <c r="H524" s="1"/>
  <c r="H246"/>
  <c r="H384" s="1"/>
  <c r="H522" s="1"/>
  <c r="H244"/>
  <c r="H382" s="1"/>
  <c r="H520" s="1"/>
  <c r="H243"/>
  <c r="H381" s="1"/>
  <c r="H519" s="1"/>
  <c r="H242"/>
  <c r="H380" s="1"/>
  <c r="H518" s="1"/>
  <c r="H240"/>
  <c r="H378" s="1"/>
  <c r="H516" s="1"/>
  <c r="H238"/>
  <c r="H376" s="1"/>
  <c r="H514" s="1"/>
  <c r="H234"/>
  <c r="H372" s="1"/>
  <c r="H510" s="1"/>
  <c r="H230"/>
  <c r="H368" s="1"/>
  <c r="H506" s="1"/>
  <c r="H226"/>
  <c r="H364" s="1"/>
  <c r="H502" s="1"/>
  <c r="H222"/>
  <c r="H360" s="1"/>
  <c r="H498" s="1"/>
  <c r="H218"/>
  <c r="H356" s="1"/>
  <c r="H494" s="1"/>
  <c r="H214"/>
  <c r="H352" s="1"/>
  <c r="H490" s="1"/>
  <c r="H210"/>
  <c r="H348" s="1"/>
  <c r="H486" s="1"/>
  <c r="H206"/>
  <c r="H344" s="1"/>
  <c r="H482" s="1"/>
  <c r="H202"/>
  <c r="H340" s="1"/>
  <c r="H478" s="1"/>
  <c r="H198"/>
  <c r="H336" s="1"/>
  <c r="H474" s="1"/>
  <c r="H194"/>
  <c r="H332" s="1"/>
  <c r="H470" s="1"/>
  <c r="H190"/>
  <c r="H328" s="1"/>
  <c r="H466" s="1"/>
  <c r="H186"/>
  <c r="H324" s="1"/>
  <c r="H462" s="1"/>
  <c r="H182"/>
  <c r="H320" s="1"/>
  <c r="H458" s="1"/>
  <c r="H178"/>
  <c r="H316" s="1"/>
  <c r="H454" s="1"/>
  <c r="H174"/>
  <c r="H312" s="1"/>
  <c r="H450" s="1"/>
  <c r="H170"/>
  <c r="H308" s="1"/>
  <c r="H446" s="1"/>
  <c r="H166"/>
  <c r="H304" s="1"/>
  <c r="H442" s="1"/>
  <c r="H162"/>
  <c r="H300" s="1"/>
  <c r="H438" s="1"/>
  <c r="H158"/>
  <c r="H296" s="1"/>
  <c r="H434" s="1"/>
  <c r="H154"/>
  <c r="H292" s="1"/>
  <c r="H430" s="1"/>
  <c r="H150"/>
  <c r="H288" s="1"/>
  <c r="H426" s="1"/>
  <c r="H146"/>
  <c r="H284" s="1"/>
  <c r="H422" s="1"/>
  <c r="N139" i="22"/>
  <c r="L551" i="18" s="1"/>
  <c r="M139" i="22"/>
  <c r="K551" i="18" s="1"/>
  <c r="L139" i="22"/>
  <c r="K413" i="18" s="1"/>
  <c r="K139" i="22"/>
  <c r="K275" i="18" s="1"/>
  <c r="J139" i="22"/>
  <c r="L137" i="18" s="1"/>
  <c r="I139" i="22"/>
  <c r="K137" i="18" s="1"/>
  <c r="N138" i="22"/>
  <c r="L550" i="18" s="1"/>
  <c r="M138" i="22"/>
  <c r="K550" i="18" s="1"/>
  <c r="L138" i="22"/>
  <c r="K412" i="18" s="1"/>
  <c r="K138" i="22"/>
  <c r="K274" i="18" s="1"/>
  <c r="J138" i="22"/>
  <c r="L136" i="18" s="1"/>
  <c r="I138" i="22"/>
  <c r="K136" i="18" s="1"/>
  <c r="N137" i="22"/>
  <c r="L549" i="18" s="1"/>
  <c r="M137" i="22"/>
  <c r="K549" i="18" s="1"/>
  <c r="L137" i="22"/>
  <c r="K411" i="18" s="1"/>
  <c r="K137" i="22"/>
  <c r="K273" i="18" s="1"/>
  <c r="J137" i="22"/>
  <c r="L135" i="18" s="1"/>
  <c r="I137" i="22"/>
  <c r="K135" i="18" s="1"/>
  <c r="N136" i="22"/>
  <c r="L548" i="18" s="1"/>
  <c r="M136" i="22"/>
  <c r="K548" i="18" s="1"/>
  <c r="L136" i="22"/>
  <c r="K410" i="18" s="1"/>
  <c r="K136" i="22"/>
  <c r="K272" i="18" s="1"/>
  <c r="J136" i="22"/>
  <c r="L134" i="18" s="1"/>
  <c r="I136" i="22"/>
  <c r="K134" i="18" s="1"/>
  <c r="N135" i="22"/>
  <c r="L547" i="18" s="1"/>
  <c r="M135" i="22"/>
  <c r="K547" i="18" s="1"/>
  <c r="L135" i="22"/>
  <c r="K409" i="18" s="1"/>
  <c r="K135" i="22"/>
  <c r="K271" i="18" s="1"/>
  <c r="J135" i="22"/>
  <c r="L133" i="18" s="1"/>
  <c r="I135" i="22"/>
  <c r="K133" i="18" s="1"/>
  <c r="N134" i="22"/>
  <c r="L546" i="18" s="1"/>
  <c r="M134" i="22"/>
  <c r="K546" i="18" s="1"/>
  <c r="L134" i="22"/>
  <c r="K408" i="18" s="1"/>
  <c r="K134" i="22"/>
  <c r="K270" i="18" s="1"/>
  <c r="J134" i="22"/>
  <c r="L132" i="18" s="1"/>
  <c r="I134" i="22"/>
  <c r="K132" i="18" s="1"/>
  <c r="N133" i="22"/>
  <c r="L545" i="18" s="1"/>
  <c r="M133" i="22"/>
  <c r="K545" i="18" s="1"/>
  <c r="L133" i="22"/>
  <c r="K407" i="18" s="1"/>
  <c r="K133" i="22"/>
  <c r="K269" i="18" s="1"/>
  <c r="J133" i="22"/>
  <c r="L131" i="18" s="1"/>
  <c r="I133" i="22"/>
  <c r="K131" i="18" s="1"/>
  <c r="N132" i="22"/>
  <c r="L544" i="18" s="1"/>
  <c r="M132" i="22"/>
  <c r="K544" i="18" s="1"/>
  <c r="L132" i="22"/>
  <c r="K406" i="18" s="1"/>
  <c r="K132" i="22"/>
  <c r="K268" i="18" s="1"/>
  <c r="J132" i="22"/>
  <c r="L130" i="18" s="1"/>
  <c r="I132" i="22"/>
  <c r="K130" i="18" s="1"/>
  <c r="N131" i="22"/>
  <c r="L543" i="18" s="1"/>
  <c r="M131" i="22"/>
  <c r="K543" i="18" s="1"/>
  <c r="L131" i="22"/>
  <c r="K405" i="18" s="1"/>
  <c r="K131" i="22"/>
  <c r="K267" i="18" s="1"/>
  <c r="J131" i="22"/>
  <c r="L129" i="18" s="1"/>
  <c r="I131" i="22"/>
  <c r="K129" i="18" s="1"/>
  <c r="N130" i="22"/>
  <c r="L542" i="18" s="1"/>
  <c r="M130" i="22"/>
  <c r="K542" i="18" s="1"/>
  <c r="L130" i="22"/>
  <c r="K404" i="18" s="1"/>
  <c r="K130" i="22"/>
  <c r="K266" i="18" s="1"/>
  <c r="J130" i="22"/>
  <c r="L128" i="18" s="1"/>
  <c r="I130" i="22"/>
  <c r="K128" i="18" s="1"/>
  <c r="N129" i="22"/>
  <c r="L541" i="18" s="1"/>
  <c r="M129" i="22"/>
  <c r="K541" i="18" s="1"/>
  <c r="L129" i="22"/>
  <c r="K403" i="18" s="1"/>
  <c r="K129" i="22"/>
  <c r="K265" i="18" s="1"/>
  <c r="J129" i="22"/>
  <c r="L127" i="18" s="1"/>
  <c r="I129" i="22"/>
  <c r="K127" i="18" s="1"/>
  <c r="N128" i="22"/>
  <c r="L540" i="18" s="1"/>
  <c r="M128" i="22"/>
  <c r="K540" i="18" s="1"/>
  <c r="L128" i="22"/>
  <c r="K402" i="18" s="1"/>
  <c r="K128" i="22"/>
  <c r="K264" i="18" s="1"/>
  <c r="J128" i="22"/>
  <c r="L126" i="18" s="1"/>
  <c r="I128" i="22"/>
  <c r="K126" i="18" s="1"/>
  <c r="N127" i="22"/>
  <c r="L539" i="18" s="1"/>
  <c r="M127" i="22"/>
  <c r="K539" i="18" s="1"/>
  <c r="L127" i="22"/>
  <c r="K401" i="18" s="1"/>
  <c r="K127" i="22"/>
  <c r="K263" i="18" s="1"/>
  <c r="J127" i="22"/>
  <c r="L125" i="18" s="1"/>
  <c r="I127" i="22"/>
  <c r="K125" i="18" s="1"/>
  <c r="N126" i="22"/>
  <c r="L538" i="18" s="1"/>
  <c r="M126" i="22"/>
  <c r="K538" i="18" s="1"/>
  <c r="L126" i="22"/>
  <c r="K400" i="18" s="1"/>
  <c r="K126" i="22"/>
  <c r="K262" i="18" s="1"/>
  <c r="J126" i="22"/>
  <c r="L124" i="18" s="1"/>
  <c r="I126" i="22"/>
  <c r="K124" i="18" s="1"/>
  <c r="N125" i="22"/>
  <c r="L537" i="18" s="1"/>
  <c r="M125" i="22"/>
  <c r="K537" i="18" s="1"/>
  <c r="L125" i="22"/>
  <c r="K399" i="18" s="1"/>
  <c r="K125" i="22"/>
  <c r="K261" i="18" s="1"/>
  <c r="J125" i="22"/>
  <c r="L123" i="18" s="1"/>
  <c r="I125" i="22"/>
  <c r="K123" i="18" s="1"/>
  <c r="N124" i="22"/>
  <c r="L536" i="18" s="1"/>
  <c r="M124" i="22"/>
  <c r="K536" i="18" s="1"/>
  <c r="L124" i="22"/>
  <c r="K398" i="18" s="1"/>
  <c r="K124" i="22"/>
  <c r="K260" i="18" s="1"/>
  <c r="J124" i="22"/>
  <c r="L122" i="18" s="1"/>
  <c r="I124" i="22"/>
  <c r="K122" i="18" s="1"/>
  <c r="N123" i="22"/>
  <c r="L535" i="18" s="1"/>
  <c r="M123" i="22"/>
  <c r="K535" i="18" s="1"/>
  <c r="L123" i="22"/>
  <c r="K397" i="18" s="1"/>
  <c r="K123" i="22"/>
  <c r="K259" i="18" s="1"/>
  <c r="J123" i="22"/>
  <c r="L121" i="18" s="1"/>
  <c r="I123" i="22"/>
  <c r="K121" i="18" s="1"/>
  <c r="N122" i="22"/>
  <c r="L534" i="18" s="1"/>
  <c r="M122" i="22"/>
  <c r="K534" i="18" s="1"/>
  <c r="L122" i="22"/>
  <c r="K396" i="18" s="1"/>
  <c r="K122" i="22"/>
  <c r="K258" i="18" s="1"/>
  <c r="J122" i="22"/>
  <c r="L120" i="18" s="1"/>
  <c r="I122" i="22"/>
  <c r="K120" i="18" s="1"/>
  <c r="N121" i="22"/>
  <c r="L533" i="18" s="1"/>
  <c r="M121" i="22"/>
  <c r="K533" i="18" s="1"/>
  <c r="L121" i="22"/>
  <c r="K395" i="18" s="1"/>
  <c r="K121" i="22"/>
  <c r="K257" i="18" s="1"/>
  <c r="J121" i="22"/>
  <c r="L119" i="18" s="1"/>
  <c r="I121" i="22"/>
  <c r="K119" i="18" s="1"/>
  <c r="N120" i="22"/>
  <c r="L532" i="18" s="1"/>
  <c r="M120" i="22"/>
  <c r="K532" i="18" s="1"/>
  <c r="L120" i="22"/>
  <c r="K394" i="18" s="1"/>
  <c r="K120" i="22"/>
  <c r="K256" i="18" s="1"/>
  <c r="J120" i="22"/>
  <c r="L118" i="18" s="1"/>
  <c r="I120" i="22"/>
  <c r="K118" i="18" s="1"/>
  <c r="N119" i="22"/>
  <c r="L531" i="18" s="1"/>
  <c r="M119" i="22"/>
  <c r="K531" i="18" s="1"/>
  <c r="L119" i="22"/>
  <c r="K393" i="18" s="1"/>
  <c r="K119" i="22"/>
  <c r="K255" i="18" s="1"/>
  <c r="J119" i="22"/>
  <c r="L117" i="18" s="1"/>
  <c r="I119" i="22"/>
  <c r="K117" i="18" s="1"/>
  <c r="N118" i="22"/>
  <c r="L530" i="18" s="1"/>
  <c r="M118" i="22"/>
  <c r="K530" i="18" s="1"/>
  <c r="L118" i="22"/>
  <c r="K392" i="18" s="1"/>
  <c r="K118" i="22"/>
  <c r="K254" i="18" s="1"/>
  <c r="J118" i="22"/>
  <c r="L116" i="18" s="1"/>
  <c r="I118" i="22"/>
  <c r="K116" i="18" s="1"/>
  <c r="N117" i="22"/>
  <c r="L529" i="18" s="1"/>
  <c r="M117" i="22"/>
  <c r="K529" i="18" s="1"/>
  <c r="L117" i="22"/>
  <c r="K391" i="18" s="1"/>
  <c r="K117" i="22"/>
  <c r="K253" i="18" s="1"/>
  <c r="J117" i="22"/>
  <c r="L115" i="18" s="1"/>
  <c r="I117" i="22"/>
  <c r="K115" i="18" s="1"/>
  <c r="N116" i="22"/>
  <c r="L528" i="18" s="1"/>
  <c r="M116" i="22"/>
  <c r="K528" i="18" s="1"/>
  <c r="L116" i="22"/>
  <c r="K390" i="18" s="1"/>
  <c r="K116" i="22"/>
  <c r="K252" i="18" s="1"/>
  <c r="J116" i="22"/>
  <c r="L114" i="18" s="1"/>
  <c r="I116" i="22"/>
  <c r="K114" i="18" s="1"/>
  <c r="N115" i="22"/>
  <c r="L527" i="18" s="1"/>
  <c r="M115" i="22"/>
  <c r="K527" i="18" s="1"/>
  <c r="L115" i="22"/>
  <c r="K389" i="18" s="1"/>
  <c r="K115" i="22"/>
  <c r="K251" i="18" s="1"/>
  <c r="J115" i="22"/>
  <c r="L113" i="18" s="1"/>
  <c r="I115" i="22"/>
  <c r="K113" i="18" s="1"/>
  <c r="N114" i="22"/>
  <c r="L526" i="18" s="1"/>
  <c r="M114" i="22"/>
  <c r="K526" i="18" s="1"/>
  <c r="L114" i="22"/>
  <c r="K388" i="18" s="1"/>
  <c r="K114" i="22"/>
  <c r="K250" i="18" s="1"/>
  <c r="J114" i="22"/>
  <c r="L112" i="18" s="1"/>
  <c r="I114" i="22"/>
  <c r="K112" i="18" s="1"/>
  <c r="N113" i="22"/>
  <c r="L525" i="18" s="1"/>
  <c r="M113" i="22"/>
  <c r="K525" i="18" s="1"/>
  <c r="L113" i="22"/>
  <c r="K387" i="18" s="1"/>
  <c r="K113" i="22"/>
  <c r="K249" i="18" s="1"/>
  <c r="J113" i="22"/>
  <c r="L111" i="18" s="1"/>
  <c r="I113" i="22"/>
  <c r="K111" i="18" s="1"/>
  <c r="N112" i="22"/>
  <c r="L524" i="18" s="1"/>
  <c r="M112" i="22"/>
  <c r="K524" i="18" s="1"/>
  <c r="L112" i="22"/>
  <c r="K386" i="18" s="1"/>
  <c r="K112" i="22"/>
  <c r="K248" i="18" s="1"/>
  <c r="J112" i="22"/>
  <c r="L110" i="18" s="1"/>
  <c r="I112" i="22"/>
  <c r="K110" i="18" s="1"/>
  <c r="N111" i="22"/>
  <c r="L523" i="18" s="1"/>
  <c r="M111" i="22"/>
  <c r="K523" i="18" s="1"/>
  <c r="L111" i="22"/>
  <c r="K385" i="18" s="1"/>
  <c r="K111" i="22"/>
  <c r="K247" i="18" s="1"/>
  <c r="J111" i="22"/>
  <c r="L109" i="18" s="1"/>
  <c r="I111" i="22"/>
  <c r="K109" i="18" s="1"/>
  <c r="N110" i="22"/>
  <c r="L522" i="18" s="1"/>
  <c r="M110" i="22"/>
  <c r="K522" i="18" s="1"/>
  <c r="L110" i="22"/>
  <c r="K384" i="18" s="1"/>
  <c r="K110" i="22"/>
  <c r="K246" i="18" s="1"/>
  <c r="J110" i="22"/>
  <c r="L108" i="18" s="1"/>
  <c r="I110" i="22"/>
  <c r="K108" i="18" s="1"/>
  <c r="N109" i="22"/>
  <c r="L521" i="18" s="1"/>
  <c r="M109" i="22"/>
  <c r="K521" i="18" s="1"/>
  <c r="L109" i="22"/>
  <c r="K383" i="18" s="1"/>
  <c r="K109" i="22"/>
  <c r="K245" i="18" s="1"/>
  <c r="J109" i="22"/>
  <c r="L107" i="18" s="1"/>
  <c r="I109" i="22"/>
  <c r="K107" i="18" s="1"/>
  <c r="N108" i="22"/>
  <c r="L520" i="18" s="1"/>
  <c r="M108" i="22"/>
  <c r="K520" i="18" s="1"/>
  <c r="L108" i="22"/>
  <c r="K382" i="18" s="1"/>
  <c r="K108" i="22"/>
  <c r="K244" i="18" s="1"/>
  <c r="J108" i="22"/>
  <c r="L106" i="18" s="1"/>
  <c r="I108" i="22"/>
  <c r="K106" i="18" s="1"/>
  <c r="N107" i="22"/>
  <c r="L519" i="18" s="1"/>
  <c r="M107" i="22"/>
  <c r="K519" i="18" s="1"/>
  <c r="L107" i="22"/>
  <c r="K381" i="18" s="1"/>
  <c r="K107" i="22"/>
  <c r="K243" i="18" s="1"/>
  <c r="J107" i="22"/>
  <c r="L105" i="18" s="1"/>
  <c r="I107" i="22"/>
  <c r="K105" i="18" s="1"/>
  <c r="N106" i="22"/>
  <c r="L518" i="18" s="1"/>
  <c r="M106" i="22"/>
  <c r="K518" i="18" s="1"/>
  <c r="L106" i="22"/>
  <c r="K380" i="18" s="1"/>
  <c r="K106" i="22"/>
  <c r="K242" i="18" s="1"/>
  <c r="J106" i="22"/>
  <c r="L104" i="18" s="1"/>
  <c r="I106" i="22"/>
  <c r="K104" i="18" s="1"/>
  <c r="N105" i="22"/>
  <c r="L517" i="18" s="1"/>
  <c r="M105" i="22"/>
  <c r="K517" i="18" s="1"/>
  <c r="L105" i="22"/>
  <c r="K379" i="18" s="1"/>
  <c r="K105" i="22"/>
  <c r="K241" i="18" s="1"/>
  <c r="J105" i="22"/>
  <c r="L103" i="18" s="1"/>
  <c r="I105" i="22"/>
  <c r="K103" i="18" s="1"/>
  <c r="N104" i="22"/>
  <c r="L516" i="18" s="1"/>
  <c r="M104" i="22"/>
  <c r="K516" i="18" s="1"/>
  <c r="L104" i="22"/>
  <c r="K378" i="18" s="1"/>
  <c r="K104" i="22"/>
  <c r="K240" i="18" s="1"/>
  <c r="J104" i="22"/>
  <c r="L102" i="18" s="1"/>
  <c r="I104" i="22"/>
  <c r="K102" i="18" s="1"/>
  <c r="N103" i="22"/>
  <c r="L515" i="18" s="1"/>
  <c r="M103" i="22"/>
  <c r="K515" i="18" s="1"/>
  <c r="L103" i="22"/>
  <c r="K377" i="18" s="1"/>
  <c r="K103" i="22"/>
  <c r="K239" i="18" s="1"/>
  <c r="J103" i="22"/>
  <c r="L101" i="18" s="1"/>
  <c r="I103" i="22"/>
  <c r="K101" i="18" s="1"/>
  <c r="N102" i="22"/>
  <c r="L514" i="18" s="1"/>
  <c r="M102" i="22"/>
  <c r="K514" i="18" s="1"/>
  <c r="L102" i="22"/>
  <c r="K376" i="18" s="1"/>
  <c r="K102" i="22"/>
  <c r="K238" i="18" s="1"/>
  <c r="J102" i="22"/>
  <c r="L100" i="18" s="1"/>
  <c r="I102" i="22"/>
  <c r="K100" i="18" s="1"/>
  <c r="N101" i="22"/>
  <c r="L513" i="18" s="1"/>
  <c r="M101" i="22"/>
  <c r="K513" i="18" s="1"/>
  <c r="L101" i="22"/>
  <c r="K375" i="18" s="1"/>
  <c r="K101" i="22"/>
  <c r="K237" i="18" s="1"/>
  <c r="J101" i="22"/>
  <c r="L99" i="18" s="1"/>
  <c r="I101" i="22"/>
  <c r="K99" i="18" s="1"/>
  <c r="N100" i="22"/>
  <c r="L512" i="18" s="1"/>
  <c r="M100" i="22"/>
  <c r="K512" i="18" s="1"/>
  <c r="L100" i="22"/>
  <c r="K374" i="18" s="1"/>
  <c r="K100" i="22"/>
  <c r="K236" i="18" s="1"/>
  <c r="J100" i="22"/>
  <c r="L98" i="18" s="1"/>
  <c r="I100" i="22"/>
  <c r="K98" i="18" s="1"/>
  <c r="N99" i="22"/>
  <c r="L511" i="18" s="1"/>
  <c r="M99" i="22"/>
  <c r="K511" i="18" s="1"/>
  <c r="L99" i="22"/>
  <c r="K373" i="18" s="1"/>
  <c r="K99" i="22"/>
  <c r="K235" i="18" s="1"/>
  <c r="J99" i="22"/>
  <c r="L97" i="18" s="1"/>
  <c r="I99" i="22"/>
  <c r="K97" i="18" s="1"/>
  <c r="N98" i="22"/>
  <c r="L510" i="18" s="1"/>
  <c r="M98" i="22"/>
  <c r="K510" i="18" s="1"/>
  <c r="N97" i="22"/>
  <c r="L509" i="18" s="1"/>
  <c r="M97" i="22"/>
  <c r="K509" i="18" s="1"/>
  <c r="N96" i="22"/>
  <c r="L508" i="18" s="1"/>
  <c r="M96" i="22"/>
  <c r="K508" i="18" s="1"/>
  <c r="N95" i="22"/>
  <c r="L507" i="18" s="1"/>
  <c r="M95" i="22"/>
  <c r="K507" i="18" s="1"/>
  <c r="N94" i="22"/>
  <c r="L506" i="18" s="1"/>
  <c r="M94" i="22"/>
  <c r="K506" i="18" s="1"/>
  <c r="L94" i="22"/>
  <c r="K368" i="18" s="1"/>
  <c r="K94" i="22"/>
  <c r="K230" i="18" s="1"/>
  <c r="J94" i="22"/>
  <c r="L92" i="18" s="1"/>
  <c r="I94" i="22"/>
  <c r="K92" i="18" s="1"/>
  <c r="N93" i="22"/>
  <c r="L505" i="18" s="1"/>
  <c r="M93" i="22"/>
  <c r="K505" i="18" s="1"/>
  <c r="L93" i="22"/>
  <c r="K367" i="18" s="1"/>
  <c r="K93" i="22"/>
  <c r="K229" i="18" s="1"/>
  <c r="J93" i="22"/>
  <c r="L91" i="18" s="1"/>
  <c r="I93" i="22"/>
  <c r="K91" i="18" s="1"/>
  <c r="N92" i="22"/>
  <c r="L504" i="18" s="1"/>
  <c r="M92" i="22"/>
  <c r="K504" i="18" s="1"/>
  <c r="L92" i="22"/>
  <c r="K366" i="18" s="1"/>
  <c r="K92" i="22"/>
  <c r="K228" i="18" s="1"/>
  <c r="J92" i="22"/>
  <c r="L90" i="18" s="1"/>
  <c r="I92" i="22"/>
  <c r="K90" i="18" s="1"/>
  <c r="N91" i="22"/>
  <c r="L503" i="18" s="1"/>
  <c r="M91" i="22"/>
  <c r="K503" i="18" s="1"/>
  <c r="L91" i="22"/>
  <c r="K365" i="18" s="1"/>
  <c r="K91" i="22"/>
  <c r="K227" i="18" s="1"/>
  <c r="J91" i="22"/>
  <c r="L89" i="18" s="1"/>
  <c r="I91" i="22"/>
  <c r="K89" i="18" s="1"/>
  <c r="N90" i="22"/>
  <c r="L502" i="18" s="1"/>
  <c r="M90" i="22"/>
  <c r="K502" i="18" s="1"/>
  <c r="L90" i="22"/>
  <c r="K364" i="18" s="1"/>
  <c r="K90" i="22"/>
  <c r="K226" i="18" s="1"/>
  <c r="J90" i="22"/>
  <c r="L88" i="18" s="1"/>
  <c r="I90" i="22"/>
  <c r="K88" i="18" s="1"/>
  <c r="N89" i="22"/>
  <c r="L501" i="18" s="1"/>
  <c r="M89" i="22"/>
  <c r="K501" i="18" s="1"/>
  <c r="L89" i="22"/>
  <c r="K363" i="18" s="1"/>
  <c r="K89" i="22"/>
  <c r="K225" i="18" s="1"/>
  <c r="J89" i="22"/>
  <c r="L87" i="18" s="1"/>
  <c r="I89" i="22"/>
  <c r="K87" i="18" s="1"/>
  <c r="N88" i="22"/>
  <c r="L500" i="18" s="1"/>
  <c r="M88" i="22"/>
  <c r="K500" i="18" s="1"/>
  <c r="L88" i="22"/>
  <c r="K362" i="18" s="1"/>
  <c r="K88" i="22"/>
  <c r="K224" i="18" s="1"/>
  <c r="J88" i="22"/>
  <c r="L86" i="18" s="1"/>
  <c r="I88" i="22"/>
  <c r="K86" i="18" s="1"/>
  <c r="N87" i="22"/>
  <c r="L499" i="18" s="1"/>
  <c r="M87" i="22"/>
  <c r="K499" i="18" s="1"/>
  <c r="L87" i="22"/>
  <c r="K361" i="18" s="1"/>
  <c r="K87" i="22"/>
  <c r="K223" i="18" s="1"/>
  <c r="J87" i="22"/>
  <c r="L85" i="18" s="1"/>
  <c r="I87" i="22"/>
  <c r="K85" i="18" s="1"/>
  <c r="N86" i="22"/>
  <c r="L498" i="18" s="1"/>
  <c r="M86" i="22"/>
  <c r="K498" i="18" s="1"/>
  <c r="L86" i="22"/>
  <c r="K360" i="18" s="1"/>
  <c r="K86" i="22"/>
  <c r="K222" i="18" s="1"/>
  <c r="J86" i="22"/>
  <c r="L84" i="18" s="1"/>
  <c r="I86" i="22"/>
  <c r="K84" i="18" s="1"/>
  <c r="N85" i="22"/>
  <c r="L497" i="18" s="1"/>
  <c r="M85" i="22"/>
  <c r="K497" i="18" s="1"/>
  <c r="L85" i="22"/>
  <c r="K359" i="18" s="1"/>
  <c r="K85" i="22"/>
  <c r="K221" i="18" s="1"/>
  <c r="J85" i="22"/>
  <c r="L83" i="18" s="1"/>
  <c r="I85" i="22"/>
  <c r="K83" i="18" s="1"/>
  <c r="N84" i="22"/>
  <c r="L496" i="18" s="1"/>
  <c r="M84" i="22"/>
  <c r="K496" i="18" s="1"/>
  <c r="L84" i="22"/>
  <c r="K358" i="18" s="1"/>
  <c r="K84" i="22"/>
  <c r="K220" i="18" s="1"/>
  <c r="J84" i="22"/>
  <c r="L82" i="18" s="1"/>
  <c r="I84" i="22"/>
  <c r="K82" i="18" s="1"/>
  <c r="N83" i="22"/>
  <c r="L495" i="18" s="1"/>
  <c r="M83" i="22"/>
  <c r="K495" i="18" s="1"/>
  <c r="L83" i="22"/>
  <c r="K357" i="18" s="1"/>
  <c r="K83" i="22"/>
  <c r="K219" i="18" s="1"/>
  <c r="J83" i="22"/>
  <c r="L81" i="18" s="1"/>
  <c r="I83" i="22"/>
  <c r="K81" i="18" s="1"/>
  <c r="N82" i="22"/>
  <c r="L494" i="18" s="1"/>
  <c r="M82" i="22"/>
  <c r="K494" i="18" s="1"/>
  <c r="L82" i="22"/>
  <c r="K356" i="18" s="1"/>
  <c r="K82" i="22"/>
  <c r="K218" i="18" s="1"/>
  <c r="J82" i="22"/>
  <c r="L80" i="18" s="1"/>
  <c r="I82" i="22"/>
  <c r="K80" i="18" s="1"/>
  <c r="N81" i="22"/>
  <c r="L493" i="18" s="1"/>
  <c r="M81" i="22"/>
  <c r="K493" i="18" s="1"/>
  <c r="L81" i="22"/>
  <c r="K355" i="18" s="1"/>
  <c r="K81" i="22"/>
  <c r="K217" i="18" s="1"/>
  <c r="J81" i="22"/>
  <c r="L79" i="18" s="1"/>
  <c r="I81" i="22"/>
  <c r="K79" i="18" s="1"/>
  <c r="N80" i="22"/>
  <c r="L492" i="18" s="1"/>
  <c r="M80" i="22"/>
  <c r="K492" i="18" s="1"/>
  <c r="L80" i="22"/>
  <c r="K354" i="18" s="1"/>
  <c r="K80" i="22"/>
  <c r="K216" i="18" s="1"/>
  <c r="J80" i="22"/>
  <c r="L78" i="18" s="1"/>
  <c r="I80" i="22"/>
  <c r="K78" i="18" s="1"/>
  <c r="N79" i="22"/>
  <c r="L491" i="18" s="1"/>
  <c r="M79" i="22"/>
  <c r="K491" i="18" s="1"/>
  <c r="L79" i="22"/>
  <c r="K353" i="18" s="1"/>
  <c r="K79" i="22"/>
  <c r="K215" i="18" s="1"/>
  <c r="J79" i="22"/>
  <c r="L77" i="18" s="1"/>
  <c r="I79" i="22"/>
  <c r="K77" i="18" s="1"/>
  <c r="N78" i="22"/>
  <c r="L490" i="18" s="1"/>
  <c r="M78" i="22"/>
  <c r="K490" i="18" s="1"/>
  <c r="L78" i="22"/>
  <c r="K352" i="18" s="1"/>
  <c r="K78" i="22"/>
  <c r="K214" i="18" s="1"/>
  <c r="J78" i="22"/>
  <c r="L76" i="18" s="1"/>
  <c r="I78" i="22"/>
  <c r="K76" i="18" s="1"/>
  <c r="N77" i="22"/>
  <c r="L489" i="18" s="1"/>
  <c r="M77" i="22"/>
  <c r="K489" i="18" s="1"/>
  <c r="L77" i="22"/>
  <c r="K351" i="18" s="1"/>
  <c r="K77" i="22"/>
  <c r="K213" i="18" s="1"/>
  <c r="J77" i="22"/>
  <c r="L75" i="18" s="1"/>
  <c r="I77" i="22"/>
  <c r="K75" i="18" s="1"/>
  <c r="N76" i="22"/>
  <c r="L488" i="18" s="1"/>
  <c r="M76" i="22"/>
  <c r="K488" i="18" s="1"/>
  <c r="L76" i="22"/>
  <c r="K350" i="18" s="1"/>
  <c r="K76" i="22"/>
  <c r="K212" i="18" s="1"/>
  <c r="J76" i="22"/>
  <c r="L74" i="18" s="1"/>
  <c r="I76" i="22"/>
  <c r="K74" i="18" s="1"/>
  <c r="N75" i="22"/>
  <c r="L487" i="18" s="1"/>
  <c r="M75" i="22"/>
  <c r="K487" i="18" s="1"/>
  <c r="L75" i="22"/>
  <c r="K349" i="18" s="1"/>
  <c r="K75" i="22"/>
  <c r="K211" i="18" s="1"/>
  <c r="J75" i="22"/>
  <c r="L73" i="18" s="1"/>
  <c r="I75" i="22"/>
  <c r="K73" i="18" s="1"/>
  <c r="N74" i="22"/>
  <c r="L486" i="18" s="1"/>
  <c r="M74" i="22"/>
  <c r="K486" i="18" s="1"/>
  <c r="L74" i="22"/>
  <c r="K348" i="18" s="1"/>
  <c r="K74" i="22"/>
  <c r="K210" i="18" s="1"/>
  <c r="J74" i="22"/>
  <c r="L72" i="18" s="1"/>
  <c r="I74" i="22"/>
  <c r="K72" i="18" s="1"/>
  <c r="N73" i="22"/>
  <c r="L485" i="18" s="1"/>
  <c r="M73" i="22"/>
  <c r="K485" i="18" s="1"/>
  <c r="L73" i="22"/>
  <c r="K347" i="18" s="1"/>
  <c r="K73" i="22"/>
  <c r="K209" i="18" s="1"/>
  <c r="J73" i="22"/>
  <c r="L71" i="18" s="1"/>
  <c r="I73" i="22"/>
  <c r="K71" i="18" s="1"/>
  <c r="N72" i="22"/>
  <c r="L484" i="18" s="1"/>
  <c r="M72" i="22"/>
  <c r="K484" i="18" s="1"/>
  <c r="L72" i="22"/>
  <c r="K346" i="18" s="1"/>
  <c r="K72" i="22"/>
  <c r="K208" i="18" s="1"/>
  <c r="J72" i="22"/>
  <c r="L70" i="18" s="1"/>
  <c r="I72" i="22"/>
  <c r="K70" i="18" s="1"/>
  <c r="N71" i="22"/>
  <c r="L483" i="18" s="1"/>
  <c r="M71" i="22"/>
  <c r="K483" i="18" s="1"/>
  <c r="L71" i="22"/>
  <c r="K345" i="18" s="1"/>
  <c r="K71" i="22"/>
  <c r="K207" i="18" s="1"/>
  <c r="J71" i="22"/>
  <c r="L69" i="18" s="1"/>
  <c r="I71" i="22"/>
  <c r="K69" i="18" s="1"/>
  <c r="N70" i="22"/>
  <c r="L482" i="18" s="1"/>
  <c r="M70" i="22"/>
  <c r="K482" i="18" s="1"/>
  <c r="L70" i="22"/>
  <c r="K344" i="18" s="1"/>
  <c r="K70" i="22"/>
  <c r="K206" i="18" s="1"/>
  <c r="J70" i="22"/>
  <c r="L68" i="18" s="1"/>
  <c r="I70" i="22"/>
  <c r="K68" i="18" s="1"/>
  <c r="N69" i="22"/>
  <c r="L481" i="18" s="1"/>
  <c r="M69" i="22"/>
  <c r="K481" i="18" s="1"/>
  <c r="L69" i="22"/>
  <c r="K343" i="18" s="1"/>
  <c r="K69" i="22"/>
  <c r="K205" i="18" s="1"/>
  <c r="J69" i="22"/>
  <c r="L67" i="18" s="1"/>
  <c r="I69" i="22"/>
  <c r="K67" i="18" s="1"/>
  <c r="N68" i="22"/>
  <c r="L480" i="18" s="1"/>
  <c r="M68" i="22"/>
  <c r="K480" i="18" s="1"/>
  <c r="L68" i="22"/>
  <c r="K342" i="18" s="1"/>
  <c r="K68" i="22"/>
  <c r="K204" i="18" s="1"/>
  <c r="J68" i="22"/>
  <c r="L66" i="18" s="1"/>
  <c r="I68" i="22"/>
  <c r="K66" i="18" s="1"/>
  <c r="N67" i="22"/>
  <c r="L479" i="18" s="1"/>
  <c r="M67" i="22"/>
  <c r="K479" i="18" s="1"/>
  <c r="L67" i="22"/>
  <c r="K341" i="18" s="1"/>
  <c r="K67" i="22"/>
  <c r="K203" i="18" s="1"/>
  <c r="J67" i="22"/>
  <c r="L65" i="18" s="1"/>
  <c r="I67" i="22"/>
  <c r="K65" i="18" s="1"/>
  <c r="N66" i="22"/>
  <c r="L478" i="18" s="1"/>
  <c r="M66" i="22"/>
  <c r="K478" i="18" s="1"/>
  <c r="L66" i="22"/>
  <c r="K340" i="18" s="1"/>
  <c r="K66" i="22"/>
  <c r="K202" i="18" s="1"/>
  <c r="J66" i="22"/>
  <c r="L64" i="18" s="1"/>
  <c r="I66" i="22"/>
  <c r="K64" i="18" s="1"/>
  <c r="N65" i="22"/>
  <c r="L477" i="18" s="1"/>
  <c r="M65" i="22"/>
  <c r="K477" i="18" s="1"/>
  <c r="L65" i="22"/>
  <c r="K339" i="18" s="1"/>
  <c r="K65" i="22"/>
  <c r="K201" i="18" s="1"/>
  <c r="J65" i="22"/>
  <c r="L63" i="18" s="1"/>
  <c r="I65" i="22"/>
  <c r="K63" i="18" s="1"/>
  <c r="N64" i="22"/>
  <c r="L476" i="18" s="1"/>
  <c r="M64" i="22"/>
  <c r="K476" i="18" s="1"/>
  <c r="L64" i="22"/>
  <c r="K338" i="18" s="1"/>
  <c r="K64" i="22"/>
  <c r="K200" i="18" s="1"/>
  <c r="J64" i="22"/>
  <c r="L62" i="18" s="1"/>
  <c r="I64" i="22"/>
  <c r="K62" i="18" s="1"/>
  <c r="N63" i="22"/>
  <c r="L475" i="18" s="1"/>
  <c r="M63" i="22"/>
  <c r="K475" i="18" s="1"/>
  <c r="L63" i="22"/>
  <c r="K337" i="18" s="1"/>
  <c r="K63" i="22"/>
  <c r="K199" i="18" s="1"/>
  <c r="J63" i="22"/>
  <c r="L61" i="18" s="1"/>
  <c r="I63" i="22"/>
  <c r="K61" i="18" s="1"/>
  <c r="N62" i="22"/>
  <c r="L474" i="18" s="1"/>
  <c r="M62" i="22"/>
  <c r="K474" i="18" s="1"/>
  <c r="L62" i="22"/>
  <c r="K336" i="18" s="1"/>
  <c r="K62" i="22"/>
  <c r="K198" i="18" s="1"/>
  <c r="J62" i="22"/>
  <c r="L60" i="18" s="1"/>
  <c r="I62" i="22"/>
  <c r="K60" i="18" s="1"/>
  <c r="N61" i="22"/>
  <c r="L473" i="18" s="1"/>
  <c r="M61" i="22"/>
  <c r="K473" i="18" s="1"/>
  <c r="L61" i="22"/>
  <c r="K335" i="18" s="1"/>
  <c r="K61" i="22"/>
  <c r="K197" i="18" s="1"/>
  <c r="J61" i="22"/>
  <c r="L59" i="18" s="1"/>
  <c r="I61" i="22"/>
  <c r="K59" i="18" s="1"/>
  <c r="N60" i="22"/>
  <c r="L472" i="18" s="1"/>
  <c r="M60" i="22"/>
  <c r="K472" i="18" s="1"/>
  <c r="L60" i="22"/>
  <c r="K334" i="18" s="1"/>
  <c r="K60" i="22"/>
  <c r="K196" i="18" s="1"/>
  <c r="J60" i="22"/>
  <c r="L58" i="18" s="1"/>
  <c r="I60" i="22"/>
  <c r="K58" i="18" s="1"/>
  <c r="N59" i="22"/>
  <c r="L471" i="18" s="1"/>
  <c r="M59" i="22"/>
  <c r="K471" i="18" s="1"/>
  <c r="L59" i="22"/>
  <c r="K333" i="18" s="1"/>
  <c r="K59" i="22"/>
  <c r="K195" i="18" s="1"/>
  <c r="J59" i="22"/>
  <c r="L57" i="18" s="1"/>
  <c r="I59" i="22"/>
  <c r="K57" i="18" s="1"/>
  <c r="N58" i="22"/>
  <c r="L470" i="18" s="1"/>
  <c r="M58" i="22"/>
  <c r="K470" i="18" s="1"/>
  <c r="L58" i="22"/>
  <c r="K332" i="18" s="1"/>
  <c r="K58" i="22"/>
  <c r="K194" i="18" s="1"/>
  <c r="J58" i="22"/>
  <c r="L56" i="18" s="1"/>
  <c r="I58" i="22"/>
  <c r="K56" i="18" s="1"/>
  <c r="N57" i="22"/>
  <c r="L469" i="18" s="1"/>
  <c r="M57" i="22"/>
  <c r="K469" i="18" s="1"/>
  <c r="L57" i="22"/>
  <c r="K331" i="18" s="1"/>
  <c r="K57" i="22"/>
  <c r="K193" i="18" s="1"/>
  <c r="J57" i="22"/>
  <c r="L55" i="18" s="1"/>
  <c r="I57" i="22"/>
  <c r="K55" i="18" s="1"/>
  <c r="N56" i="22"/>
  <c r="L468" i="18" s="1"/>
  <c r="M56" i="22"/>
  <c r="K468" i="18" s="1"/>
  <c r="L56" i="22"/>
  <c r="K330" i="18" s="1"/>
  <c r="K56" i="22"/>
  <c r="K192" i="18" s="1"/>
  <c r="J56" i="22"/>
  <c r="L54" i="18" s="1"/>
  <c r="I56" i="22"/>
  <c r="K54" i="18" s="1"/>
  <c r="N55" i="22"/>
  <c r="L467" i="18" s="1"/>
  <c r="M55" i="22"/>
  <c r="K467" i="18" s="1"/>
  <c r="L55" i="22"/>
  <c r="K329" i="18" s="1"/>
  <c r="K55" i="22"/>
  <c r="K191" i="18" s="1"/>
  <c r="J55" i="22"/>
  <c r="L53" i="18" s="1"/>
  <c r="I55" i="22"/>
  <c r="K53" i="18" s="1"/>
  <c r="N54" i="22"/>
  <c r="L466" i="18" s="1"/>
  <c r="M54" i="22"/>
  <c r="K466" i="18" s="1"/>
  <c r="L54" i="22"/>
  <c r="K328" i="18" s="1"/>
  <c r="K54" i="22"/>
  <c r="K190" i="18" s="1"/>
  <c r="J54" i="22"/>
  <c r="L52" i="18" s="1"/>
  <c r="I54" i="22"/>
  <c r="K52" i="18" s="1"/>
  <c r="N53" i="22"/>
  <c r="L465" i="18" s="1"/>
  <c r="M53" i="22"/>
  <c r="K465" i="18" s="1"/>
  <c r="L53" i="22"/>
  <c r="K327" i="18" s="1"/>
  <c r="K53" i="22"/>
  <c r="K189" i="18" s="1"/>
  <c r="J53" i="22"/>
  <c r="L51" i="18" s="1"/>
  <c r="I53" i="22"/>
  <c r="K51" i="18" s="1"/>
  <c r="N52" i="22"/>
  <c r="L464" i="18" s="1"/>
  <c r="M52" i="22"/>
  <c r="K464" i="18" s="1"/>
  <c r="F52" i="22"/>
  <c r="G50" i="18" s="1"/>
  <c r="G188" s="1"/>
  <c r="G326" s="1"/>
  <c r="G464" s="1"/>
  <c r="E52" i="22"/>
  <c r="E98" s="1"/>
  <c r="D52"/>
  <c r="D98" s="1"/>
  <c r="D144" s="1"/>
  <c r="E142" i="18" s="1"/>
  <c r="E280" s="1"/>
  <c r="E418" s="1"/>
  <c r="E556" s="1"/>
  <c r="C52" i="22"/>
  <c r="D50" i="18" s="1"/>
  <c r="D188" s="1"/>
  <c r="D326" s="1"/>
  <c r="D464" s="1"/>
  <c r="B52" i="22"/>
  <c r="C50" i="18" s="1"/>
  <c r="C188" s="1"/>
  <c r="C326" s="1"/>
  <c r="C464" s="1"/>
  <c r="A52" i="22"/>
  <c r="N51"/>
  <c r="L463" i="18" s="1"/>
  <c r="M51" i="22"/>
  <c r="K463" i="18" s="1"/>
  <c r="F51" i="22"/>
  <c r="G49" i="18" s="1"/>
  <c r="G187" s="1"/>
  <c r="G325" s="1"/>
  <c r="G463" s="1"/>
  <c r="E51" i="22"/>
  <c r="D51"/>
  <c r="E49" i="18" s="1"/>
  <c r="E187" s="1"/>
  <c r="E325" s="1"/>
  <c r="E463" s="1"/>
  <c r="C51" i="22"/>
  <c r="D49" i="18" s="1"/>
  <c r="D187" s="1"/>
  <c r="D325" s="1"/>
  <c r="D463" s="1"/>
  <c r="B51" i="22"/>
  <c r="C49" i="18" s="1"/>
  <c r="C187" s="1"/>
  <c r="C325" s="1"/>
  <c r="C463" s="1"/>
  <c r="A51" i="22"/>
  <c r="N50"/>
  <c r="L462" i="18" s="1"/>
  <c r="M50" i="22"/>
  <c r="K462" i="18" s="1"/>
  <c r="F50" i="22"/>
  <c r="G48" i="18" s="1"/>
  <c r="G186" s="1"/>
  <c r="G324" s="1"/>
  <c r="G462" s="1"/>
  <c r="E50" i="22"/>
  <c r="D50"/>
  <c r="E48" i="18" s="1"/>
  <c r="E186" s="1"/>
  <c r="E324" s="1"/>
  <c r="E462" s="1"/>
  <c r="C50" i="22"/>
  <c r="D48" i="18" s="1"/>
  <c r="D186" s="1"/>
  <c r="D324" s="1"/>
  <c r="D462" s="1"/>
  <c r="B50" i="22"/>
  <c r="C48" i="18" s="1"/>
  <c r="C186" s="1"/>
  <c r="C324" s="1"/>
  <c r="C462" s="1"/>
  <c r="A50" i="22"/>
  <c r="N49"/>
  <c r="L461" i="18" s="1"/>
  <c r="M49" i="22"/>
  <c r="K461" i="18" s="1"/>
  <c r="F49" i="22"/>
  <c r="G47" i="18" s="1"/>
  <c r="G185" s="1"/>
  <c r="G323" s="1"/>
  <c r="G461" s="1"/>
  <c r="E49" i="22"/>
  <c r="D49"/>
  <c r="D95" s="1"/>
  <c r="C49"/>
  <c r="D47" i="18" s="1"/>
  <c r="D185" s="1"/>
  <c r="D323" s="1"/>
  <c r="D461" s="1"/>
  <c r="B49" i="22"/>
  <c r="C47" i="18" s="1"/>
  <c r="C185" s="1"/>
  <c r="C323" s="1"/>
  <c r="C461" s="1"/>
  <c r="A49" i="22"/>
  <c r="N48"/>
  <c r="L460" i="18" s="1"/>
  <c r="M48" i="22"/>
  <c r="K460" i="18" s="1"/>
  <c r="L48" i="22"/>
  <c r="K322" i="18" s="1"/>
  <c r="K48" i="22"/>
  <c r="K184" i="18" s="1"/>
  <c r="J48" i="22"/>
  <c r="L46" i="18" s="1"/>
  <c r="I48" i="22"/>
  <c r="K46" i="18" s="1"/>
  <c r="F48" i="22"/>
  <c r="G46" i="18" s="1"/>
  <c r="G184" s="1"/>
  <c r="G322" s="1"/>
  <c r="G460" s="1"/>
  <c r="E48" i="22"/>
  <c r="D48"/>
  <c r="D94" s="1"/>
  <c r="C48"/>
  <c r="D46" i="18" s="1"/>
  <c r="D184" s="1"/>
  <c r="D322" s="1"/>
  <c r="D460" s="1"/>
  <c r="B48" i="22"/>
  <c r="C46" i="18" s="1"/>
  <c r="C184" s="1"/>
  <c r="C322" s="1"/>
  <c r="C460" s="1"/>
  <c r="A48" i="22"/>
  <c r="N47"/>
  <c r="L459" i="18" s="1"/>
  <c r="M47" i="22"/>
  <c r="K459" i="18" s="1"/>
  <c r="L47" i="22"/>
  <c r="K321" i="18" s="1"/>
  <c r="K47" i="22"/>
  <c r="K183" i="18" s="1"/>
  <c r="J47" i="22"/>
  <c r="L45" i="18" s="1"/>
  <c r="I47" i="22"/>
  <c r="K45" i="18" s="1"/>
  <c r="F47" i="22"/>
  <c r="G45" i="18" s="1"/>
  <c r="G183" s="1"/>
  <c r="G321" s="1"/>
  <c r="G459" s="1"/>
  <c r="E47" i="22"/>
  <c r="D47"/>
  <c r="E45" i="18" s="1"/>
  <c r="E183" s="1"/>
  <c r="E321" s="1"/>
  <c r="E459" s="1"/>
  <c r="C47" i="22"/>
  <c r="D45" i="18" s="1"/>
  <c r="D183" s="1"/>
  <c r="D321" s="1"/>
  <c r="D459" s="1"/>
  <c r="B47" i="22"/>
  <c r="C45" i="18" s="1"/>
  <c r="C183" s="1"/>
  <c r="C321" s="1"/>
  <c r="C459" s="1"/>
  <c r="A47" i="22"/>
  <c r="N46"/>
  <c r="L458" i="18" s="1"/>
  <c r="M46" i="22"/>
  <c r="K458" i="18" s="1"/>
  <c r="L46" i="22"/>
  <c r="K320" i="18" s="1"/>
  <c r="K46" i="22"/>
  <c r="K182" i="18" s="1"/>
  <c r="J46" i="22"/>
  <c r="L44" i="18" s="1"/>
  <c r="I46" i="22"/>
  <c r="K44" i="18" s="1"/>
  <c r="F46" i="22"/>
  <c r="G44" i="18" s="1"/>
  <c r="G182" s="1"/>
  <c r="G320" s="1"/>
  <c r="G458" s="1"/>
  <c r="E46" i="22"/>
  <c r="D46"/>
  <c r="D92" s="1"/>
  <c r="C46"/>
  <c r="D44" i="18" s="1"/>
  <c r="D182" s="1"/>
  <c r="D320" s="1"/>
  <c r="D458" s="1"/>
  <c r="B46" i="22"/>
  <c r="C44" i="18" s="1"/>
  <c r="C182" s="1"/>
  <c r="C320" s="1"/>
  <c r="C458" s="1"/>
  <c r="A46" i="22"/>
  <c r="N45"/>
  <c r="L457" i="18" s="1"/>
  <c r="M45" i="22"/>
  <c r="K457" i="18" s="1"/>
  <c r="L45" i="22"/>
  <c r="K319" i="18" s="1"/>
  <c r="K45" i="22"/>
  <c r="K181" i="18" s="1"/>
  <c r="J45" i="22"/>
  <c r="L43" i="18" s="1"/>
  <c r="I45" i="22"/>
  <c r="K43" i="18" s="1"/>
  <c r="F45" i="22"/>
  <c r="G43" i="18" s="1"/>
  <c r="G181" s="1"/>
  <c r="G319" s="1"/>
  <c r="G457" s="1"/>
  <c r="E45" i="22"/>
  <c r="D45"/>
  <c r="E43" i="18" s="1"/>
  <c r="E181" s="1"/>
  <c r="E319" s="1"/>
  <c r="E457" s="1"/>
  <c r="C45" i="22"/>
  <c r="D43" i="18" s="1"/>
  <c r="D181" s="1"/>
  <c r="D319" s="1"/>
  <c r="D457" s="1"/>
  <c r="B45" i="22"/>
  <c r="C43" i="18" s="1"/>
  <c r="C181" s="1"/>
  <c r="C319" s="1"/>
  <c r="C457" s="1"/>
  <c r="A45" i="22"/>
  <c r="N44"/>
  <c r="L456" i="18" s="1"/>
  <c r="M44" i="22"/>
  <c r="K456" i="18" s="1"/>
  <c r="L44" i="22"/>
  <c r="K318" i="18" s="1"/>
  <c r="K44" i="22"/>
  <c r="K180" i="18" s="1"/>
  <c r="J44" i="22"/>
  <c r="L42" i="18" s="1"/>
  <c r="I44" i="22"/>
  <c r="K42" i="18" s="1"/>
  <c r="F44" i="22"/>
  <c r="G42" i="18" s="1"/>
  <c r="G180" s="1"/>
  <c r="G318" s="1"/>
  <c r="G456" s="1"/>
  <c r="E44" i="22"/>
  <c r="D44"/>
  <c r="E42" i="18" s="1"/>
  <c r="E180" s="1"/>
  <c r="E318" s="1"/>
  <c r="E456" s="1"/>
  <c r="C44" i="22"/>
  <c r="D42" i="18" s="1"/>
  <c r="D180" s="1"/>
  <c r="D318" s="1"/>
  <c r="D456" s="1"/>
  <c r="B44" i="22"/>
  <c r="C42" i="18" s="1"/>
  <c r="C180" s="1"/>
  <c r="C318" s="1"/>
  <c r="C456" s="1"/>
  <c r="A44" i="22"/>
  <c r="N43"/>
  <c r="L455" i="18" s="1"/>
  <c r="M43" i="22"/>
  <c r="K455" i="18" s="1"/>
  <c r="L43" i="22"/>
  <c r="K317" i="18" s="1"/>
  <c r="K43" i="22"/>
  <c r="K179" i="18" s="1"/>
  <c r="J43" i="22"/>
  <c r="L41" i="18" s="1"/>
  <c r="I43" i="22"/>
  <c r="K41" i="18" s="1"/>
  <c r="F43" i="22"/>
  <c r="G41" i="18" s="1"/>
  <c r="G179" s="1"/>
  <c r="G317" s="1"/>
  <c r="G455" s="1"/>
  <c r="E43" i="22"/>
  <c r="D43"/>
  <c r="E41" i="18" s="1"/>
  <c r="E179" s="1"/>
  <c r="E317" s="1"/>
  <c r="E455" s="1"/>
  <c r="C43" i="22"/>
  <c r="D41" i="18" s="1"/>
  <c r="D179" s="1"/>
  <c r="D317" s="1"/>
  <c r="D455" s="1"/>
  <c r="B43" i="22"/>
  <c r="C41" i="18" s="1"/>
  <c r="C179" s="1"/>
  <c r="C317" s="1"/>
  <c r="C455" s="1"/>
  <c r="A43" i="22"/>
  <c r="N42"/>
  <c r="L454" i="18" s="1"/>
  <c r="M42" i="22"/>
  <c r="K454" i="18" s="1"/>
  <c r="L42" i="22"/>
  <c r="K316" i="18" s="1"/>
  <c r="K42" i="22"/>
  <c r="K178" i="18" s="1"/>
  <c r="J42" i="22"/>
  <c r="L40" i="18" s="1"/>
  <c r="I42" i="22"/>
  <c r="K40" i="18" s="1"/>
  <c r="N144" i="22"/>
  <c r="L556" i="18" s="1"/>
  <c r="M144" i="22"/>
  <c r="K556" i="18" s="1"/>
  <c r="N143" i="22"/>
  <c r="L555" i="18" s="1"/>
  <c r="M143" i="22"/>
  <c r="K555" i="18" s="1"/>
  <c r="N142" i="22"/>
  <c r="L554" i="18" s="1"/>
  <c r="M142" i="22"/>
  <c r="K554" i="18" s="1"/>
  <c r="N141" i="22"/>
  <c r="L553" i="18" s="1"/>
  <c r="M141" i="22"/>
  <c r="K553" i="18" s="1"/>
  <c r="N140" i="22"/>
  <c r="L552" i="18" s="1"/>
  <c r="M140" i="22"/>
  <c r="K552" i="18" s="1"/>
  <c r="L140" i="22"/>
  <c r="K414" i="18" s="1"/>
  <c r="K140" i="22"/>
  <c r="K276" i="18" s="1"/>
  <c r="J140" i="22"/>
  <c r="L138" i="18" s="1"/>
  <c r="I140" i="22"/>
  <c r="K138" i="18" s="1"/>
  <c r="F42" i="22"/>
  <c r="G40" i="18" s="1"/>
  <c r="G178" s="1"/>
  <c r="G316" s="1"/>
  <c r="G454" s="1"/>
  <c r="E42" i="22"/>
  <c r="F40" i="18" s="1"/>
  <c r="F178" s="1"/>
  <c r="F316" s="1"/>
  <c r="F454" s="1"/>
  <c r="D42" i="22"/>
  <c r="E40" i="18" s="1"/>
  <c r="E178" s="1"/>
  <c r="E316" s="1"/>
  <c r="E454" s="1"/>
  <c r="C42" i="22"/>
  <c r="B42"/>
  <c r="C40" i="18" s="1"/>
  <c r="C178" s="1"/>
  <c r="C316" s="1"/>
  <c r="C454" s="1"/>
  <c r="A42" i="22"/>
  <c r="B40" i="18" s="1"/>
  <c r="B178" s="1"/>
  <c r="B316" s="1"/>
  <c r="B454" s="1"/>
  <c r="N41" i="22"/>
  <c r="L453" i="18" s="1"/>
  <c r="M41" i="22"/>
  <c r="K453" i="18" s="1"/>
  <c r="L41" i="22"/>
  <c r="K315" i="18" s="1"/>
  <c r="K41" i="22"/>
  <c r="K177" i="18" s="1"/>
  <c r="J41" i="22"/>
  <c r="L39" i="18" s="1"/>
  <c r="I41" i="22"/>
  <c r="K39" i="18" s="1"/>
  <c r="F41" i="22"/>
  <c r="G39" i="18" s="1"/>
  <c r="G177" s="1"/>
  <c r="G315" s="1"/>
  <c r="G453" s="1"/>
  <c r="E41" i="22"/>
  <c r="F39" i="18" s="1"/>
  <c r="F177" s="1"/>
  <c r="F315" s="1"/>
  <c r="F453" s="1"/>
  <c r="D41" i="22"/>
  <c r="E39" i="18" s="1"/>
  <c r="E177" s="1"/>
  <c r="E315" s="1"/>
  <c r="E453" s="1"/>
  <c r="C41" i="22"/>
  <c r="D39" i="18" s="1"/>
  <c r="D177" s="1"/>
  <c r="D315" s="1"/>
  <c r="D453" s="1"/>
  <c r="B41" i="22"/>
  <c r="C39" i="18" s="1"/>
  <c r="C177" s="1"/>
  <c r="C315" s="1"/>
  <c r="C453" s="1"/>
  <c r="A41" i="22"/>
  <c r="B39" i="18" s="1"/>
  <c r="B177" s="1"/>
  <c r="B315" s="1"/>
  <c r="B453" s="1"/>
  <c r="N40" i="22"/>
  <c r="L452" i="18" s="1"/>
  <c r="M40" i="22"/>
  <c r="K452" i="18" s="1"/>
  <c r="L40" i="22"/>
  <c r="K314" i="18" s="1"/>
  <c r="K40" i="22"/>
  <c r="K176" i="18" s="1"/>
  <c r="J40" i="22"/>
  <c r="L38" i="18" s="1"/>
  <c r="I40" i="22"/>
  <c r="K38" i="18" s="1"/>
  <c r="F40" i="22"/>
  <c r="G38" i="18" s="1"/>
  <c r="G176" s="1"/>
  <c r="G314" s="1"/>
  <c r="G452" s="1"/>
  <c r="E40" i="22"/>
  <c r="F38" i="18" s="1"/>
  <c r="F176" s="1"/>
  <c r="F314" s="1"/>
  <c r="F452" s="1"/>
  <c r="D40" i="22"/>
  <c r="E38" i="18" s="1"/>
  <c r="E176" s="1"/>
  <c r="E314" s="1"/>
  <c r="E452" s="1"/>
  <c r="C40" i="22"/>
  <c r="B40"/>
  <c r="C38" i="18" s="1"/>
  <c r="C176" s="1"/>
  <c r="C314" s="1"/>
  <c r="C452" s="1"/>
  <c r="A40" i="22"/>
  <c r="B38" i="18" s="1"/>
  <c r="B176" s="1"/>
  <c r="B314" s="1"/>
  <c r="B452" s="1"/>
  <c r="N39" i="22"/>
  <c r="L451" i="18" s="1"/>
  <c r="M39" i="22"/>
  <c r="K451" i="18" s="1"/>
  <c r="L39" i="22"/>
  <c r="K313" i="18" s="1"/>
  <c r="K39" i="22"/>
  <c r="K175" i="18" s="1"/>
  <c r="J39" i="22"/>
  <c r="L37" i="18" s="1"/>
  <c r="I39" i="22"/>
  <c r="K37" i="18" s="1"/>
  <c r="F39" i="22"/>
  <c r="G37" i="18" s="1"/>
  <c r="G175" s="1"/>
  <c r="G313" s="1"/>
  <c r="G451" s="1"/>
  <c r="E39" i="22"/>
  <c r="F37" i="18" s="1"/>
  <c r="F175" s="1"/>
  <c r="F313" s="1"/>
  <c r="F451" s="1"/>
  <c r="D39" i="22"/>
  <c r="E37" i="18" s="1"/>
  <c r="E175" s="1"/>
  <c r="E313" s="1"/>
  <c r="E451" s="1"/>
  <c r="C39" i="22"/>
  <c r="B39"/>
  <c r="C37" i="18" s="1"/>
  <c r="C175" s="1"/>
  <c r="C313" s="1"/>
  <c r="C451" s="1"/>
  <c r="A39" i="22"/>
  <c r="B37" i="18" s="1"/>
  <c r="B175" s="1"/>
  <c r="B313" s="1"/>
  <c r="B451" s="1"/>
  <c r="N38" i="22"/>
  <c r="L450" i="18" s="1"/>
  <c r="M38" i="22"/>
  <c r="K450" i="18" s="1"/>
  <c r="L38" i="22"/>
  <c r="K312" i="18" s="1"/>
  <c r="K38" i="22"/>
  <c r="K174" i="18" s="1"/>
  <c r="J38" i="22"/>
  <c r="L36" i="18" s="1"/>
  <c r="I38" i="22"/>
  <c r="K36" i="18" s="1"/>
  <c r="F38" i="22"/>
  <c r="G36" i="18" s="1"/>
  <c r="G174" s="1"/>
  <c r="G312" s="1"/>
  <c r="G450" s="1"/>
  <c r="E38" i="22"/>
  <c r="F36" i="18" s="1"/>
  <c r="F174" s="1"/>
  <c r="F312" s="1"/>
  <c r="F450" s="1"/>
  <c r="D38" i="22"/>
  <c r="E36" i="18" s="1"/>
  <c r="E174" s="1"/>
  <c r="E312" s="1"/>
  <c r="E450" s="1"/>
  <c r="C38" i="22"/>
  <c r="B38"/>
  <c r="C36" i="18" s="1"/>
  <c r="C174" s="1"/>
  <c r="C312" s="1"/>
  <c r="C450" s="1"/>
  <c r="A38" i="22"/>
  <c r="B36" i="18" s="1"/>
  <c r="B174" s="1"/>
  <c r="B312" s="1"/>
  <c r="B450" s="1"/>
  <c r="N37" i="22"/>
  <c r="L449" i="18" s="1"/>
  <c r="M37" i="22"/>
  <c r="K449" i="18" s="1"/>
  <c r="L37" i="22"/>
  <c r="K311" i="18" s="1"/>
  <c r="K37" i="22"/>
  <c r="K173" i="18" s="1"/>
  <c r="J37" i="22"/>
  <c r="L35" i="18" s="1"/>
  <c r="I37" i="22"/>
  <c r="K35" i="18" s="1"/>
  <c r="F37" i="22"/>
  <c r="G35" i="18" s="1"/>
  <c r="G173" s="1"/>
  <c r="G311" s="1"/>
  <c r="G449" s="1"/>
  <c r="E37" i="22"/>
  <c r="F35" i="18" s="1"/>
  <c r="F173" s="1"/>
  <c r="F311" s="1"/>
  <c r="F449" s="1"/>
  <c r="D37" i="22"/>
  <c r="E35" i="18" s="1"/>
  <c r="E173" s="1"/>
  <c r="E311" s="1"/>
  <c r="E449" s="1"/>
  <c r="C37" i="22"/>
  <c r="B37"/>
  <c r="C35" i="18" s="1"/>
  <c r="C173" s="1"/>
  <c r="C311" s="1"/>
  <c r="C449" s="1"/>
  <c r="A37" i="22"/>
  <c r="B35" i="18" s="1"/>
  <c r="B173" s="1"/>
  <c r="B311" s="1"/>
  <c r="B449" s="1"/>
  <c r="N36" i="22"/>
  <c r="L448" i="18" s="1"/>
  <c r="M36" i="22"/>
  <c r="K448" i="18" s="1"/>
  <c r="L36" i="22"/>
  <c r="K310" i="18" s="1"/>
  <c r="K36" i="22"/>
  <c r="K172" i="18" s="1"/>
  <c r="J36" i="22"/>
  <c r="L34" i="18" s="1"/>
  <c r="I36" i="22"/>
  <c r="K34" i="18" s="1"/>
  <c r="F36" i="22"/>
  <c r="G34" i="18" s="1"/>
  <c r="G172" s="1"/>
  <c r="G310" s="1"/>
  <c r="G448" s="1"/>
  <c r="E36" i="22"/>
  <c r="F34" i="18" s="1"/>
  <c r="F172" s="1"/>
  <c r="F310" s="1"/>
  <c r="F448" s="1"/>
  <c r="D36" i="22"/>
  <c r="E34" i="18" s="1"/>
  <c r="E172" s="1"/>
  <c r="E310" s="1"/>
  <c r="E448" s="1"/>
  <c r="C36" i="22"/>
  <c r="D34" i="18" s="1"/>
  <c r="D172" s="1"/>
  <c r="D310" s="1"/>
  <c r="D448" s="1"/>
  <c r="B36" i="22"/>
  <c r="C34" i="18" s="1"/>
  <c r="C172" s="1"/>
  <c r="C310" s="1"/>
  <c r="C448" s="1"/>
  <c r="A36" i="22"/>
  <c r="B34" i="18" s="1"/>
  <c r="B172" s="1"/>
  <c r="B310" s="1"/>
  <c r="B448" s="1"/>
  <c r="N35" i="22"/>
  <c r="L447" i="18" s="1"/>
  <c r="M35" i="22"/>
  <c r="K447" i="18" s="1"/>
  <c r="L35" i="22"/>
  <c r="K309" i="18" s="1"/>
  <c r="K35" i="22"/>
  <c r="K171" i="18" s="1"/>
  <c r="J35" i="22"/>
  <c r="L33" i="18" s="1"/>
  <c r="I35" i="22"/>
  <c r="K33" i="18" s="1"/>
  <c r="F35" i="22"/>
  <c r="G33" i="18" s="1"/>
  <c r="G171" s="1"/>
  <c r="G309" s="1"/>
  <c r="G447" s="1"/>
  <c r="E35" i="22"/>
  <c r="F33" i="18" s="1"/>
  <c r="F171" s="1"/>
  <c r="F309" s="1"/>
  <c r="F447" s="1"/>
  <c r="D35" i="22"/>
  <c r="E33" i="18" s="1"/>
  <c r="E171" s="1"/>
  <c r="E309" s="1"/>
  <c r="E447" s="1"/>
  <c r="C35" i="22"/>
  <c r="B35"/>
  <c r="C33" i="18" s="1"/>
  <c r="C171" s="1"/>
  <c r="C309" s="1"/>
  <c r="C447" s="1"/>
  <c r="A35" i="22"/>
  <c r="B33" i="18" s="1"/>
  <c r="B171" s="1"/>
  <c r="B309" s="1"/>
  <c r="B447" s="1"/>
  <c r="N34" i="22"/>
  <c r="L446" i="18" s="1"/>
  <c r="M34" i="22"/>
  <c r="K446" i="18" s="1"/>
  <c r="L34" i="22"/>
  <c r="K308" i="18" s="1"/>
  <c r="K34" i="22"/>
  <c r="K170" i="18" s="1"/>
  <c r="J34" i="22"/>
  <c r="L32" i="18" s="1"/>
  <c r="I34" i="22"/>
  <c r="K32" i="18" s="1"/>
  <c r="F34" i="22"/>
  <c r="G32" i="18" s="1"/>
  <c r="G170" s="1"/>
  <c r="G308" s="1"/>
  <c r="G446" s="1"/>
  <c r="E34" i="22"/>
  <c r="F32" i="18" s="1"/>
  <c r="F170" s="1"/>
  <c r="F308" s="1"/>
  <c r="F446" s="1"/>
  <c r="D34" i="22"/>
  <c r="E32" i="18" s="1"/>
  <c r="E170" s="1"/>
  <c r="E308" s="1"/>
  <c r="E446" s="1"/>
  <c r="C34" i="22"/>
  <c r="B34"/>
  <c r="C32" i="18" s="1"/>
  <c r="C170" s="1"/>
  <c r="C308" s="1"/>
  <c r="C446" s="1"/>
  <c r="A34" i="22"/>
  <c r="B32" i="18" s="1"/>
  <c r="B170" s="1"/>
  <c r="B308" s="1"/>
  <c r="B446" s="1"/>
  <c r="N33" i="22"/>
  <c r="L445" i="18" s="1"/>
  <c r="M33" i="22"/>
  <c r="K445" i="18" s="1"/>
  <c r="L33" i="22"/>
  <c r="K307" i="18" s="1"/>
  <c r="K33" i="22"/>
  <c r="K169" i="18" s="1"/>
  <c r="J33" i="22"/>
  <c r="L31" i="18" s="1"/>
  <c r="I33" i="22"/>
  <c r="K31" i="18" s="1"/>
  <c r="F33" i="22"/>
  <c r="F79" s="1"/>
  <c r="E33"/>
  <c r="F31" i="18" s="1"/>
  <c r="F169" s="1"/>
  <c r="F307" s="1"/>
  <c r="F445" s="1"/>
  <c r="D33" i="22"/>
  <c r="E31" i="18" s="1"/>
  <c r="E169" s="1"/>
  <c r="E307" s="1"/>
  <c r="E445" s="1"/>
  <c r="C33" i="22"/>
  <c r="B33"/>
  <c r="C31" i="18" s="1"/>
  <c r="C169" s="1"/>
  <c r="C307" s="1"/>
  <c r="C445" s="1"/>
  <c r="A33" i="22"/>
  <c r="B31" i="18" s="1"/>
  <c r="B169" s="1"/>
  <c r="B307" s="1"/>
  <c r="B445" s="1"/>
  <c r="N32" i="22"/>
  <c r="L444" i="18" s="1"/>
  <c r="M32" i="22"/>
  <c r="K444" i="18" s="1"/>
  <c r="L32" i="22"/>
  <c r="K306" i="18" s="1"/>
  <c r="K32" i="22"/>
  <c r="K168" i="18" s="1"/>
  <c r="J32" i="22"/>
  <c r="L30" i="18" s="1"/>
  <c r="I32" i="22"/>
  <c r="K30" i="18" s="1"/>
  <c r="F32" i="22"/>
  <c r="G30" i="18" s="1"/>
  <c r="G168" s="1"/>
  <c r="G306" s="1"/>
  <c r="G444" s="1"/>
  <c r="E32" i="22"/>
  <c r="F30" i="18" s="1"/>
  <c r="F168" s="1"/>
  <c r="F306" s="1"/>
  <c r="F444" s="1"/>
  <c r="D32" i="22"/>
  <c r="E30" i="18" s="1"/>
  <c r="E168" s="1"/>
  <c r="E306" s="1"/>
  <c r="E444" s="1"/>
  <c r="C32" i="22"/>
  <c r="B32"/>
  <c r="C30" i="18" s="1"/>
  <c r="C168" s="1"/>
  <c r="C306" s="1"/>
  <c r="C444" s="1"/>
  <c r="A32" i="22"/>
  <c r="B30" i="18" s="1"/>
  <c r="B168" s="1"/>
  <c r="B306" s="1"/>
  <c r="B444" s="1"/>
  <c r="N31" i="22"/>
  <c r="L443" i="18" s="1"/>
  <c r="M31" i="22"/>
  <c r="K443" i="18" s="1"/>
  <c r="L31" i="22"/>
  <c r="K305" i="18" s="1"/>
  <c r="K31" i="22"/>
  <c r="K167" i="18" s="1"/>
  <c r="J31" i="22"/>
  <c r="L29" i="18" s="1"/>
  <c r="I31" i="22"/>
  <c r="K29" i="18" s="1"/>
  <c r="F31" i="22"/>
  <c r="F77" s="1"/>
  <c r="E31"/>
  <c r="F29" i="18" s="1"/>
  <c r="F167" s="1"/>
  <c r="F305" s="1"/>
  <c r="F443" s="1"/>
  <c r="D31" i="22"/>
  <c r="E29" i="18" s="1"/>
  <c r="E167" s="1"/>
  <c r="E305" s="1"/>
  <c r="E443" s="1"/>
  <c r="C31" i="22"/>
  <c r="D29" i="18" s="1"/>
  <c r="D167" s="1"/>
  <c r="D305" s="1"/>
  <c r="D443" s="1"/>
  <c r="B31" i="22"/>
  <c r="C29" i="18" s="1"/>
  <c r="C167" s="1"/>
  <c r="C305" s="1"/>
  <c r="C443" s="1"/>
  <c r="A31" i="22"/>
  <c r="B29" i="18" s="1"/>
  <c r="B167" s="1"/>
  <c r="B305" s="1"/>
  <c r="B443" s="1"/>
  <c r="N30" i="22"/>
  <c r="L442" i="18" s="1"/>
  <c r="M30" i="22"/>
  <c r="K442" i="18" s="1"/>
  <c r="L30" i="22"/>
  <c r="K304" i="18" s="1"/>
  <c r="K30" i="22"/>
  <c r="K166" i="18" s="1"/>
  <c r="J30" i="22"/>
  <c r="L28" i="18" s="1"/>
  <c r="I30" i="22"/>
  <c r="K28" i="18" s="1"/>
  <c r="F30" i="22"/>
  <c r="F76" s="1"/>
  <c r="E30"/>
  <c r="F28" i="18" s="1"/>
  <c r="F166" s="1"/>
  <c r="F304" s="1"/>
  <c r="F442" s="1"/>
  <c r="D30" i="22"/>
  <c r="E28" i="18" s="1"/>
  <c r="E166" s="1"/>
  <c r="E304" s="1"/>
  <c r="E442" s="1"/>
  <c r="C30" i="22"/>
  <c r="D28" i="18" s="1"/>
  <c r="D166" s="1"/>
  <c r="D304" s="1"/>
  <c r="D442" s="1"/>
  <c r="B30" i="22"/>
  <c r="C28" i="18" s="1"/>
  <c r="C166" s="1"/>
  <c r="C304" s="1"/>
  <c r="C442" s="1"/>
  <c r="A30" i="22"/>
  <c r="B28" i="18" s="1"/>
  <c r="B166" s="1"/>
  <c r="B304" s="1"/>
  <c r="B442" s="1"/>
  <c r="N29" i="22"/>
  <c r="L441" i="18" s="1"/>
  <c r="M29" i="22"/>
  <c r="K441" i="18" s="1"/>
  <c r="L29" i="22"/>
  <c r="K303" i="18" s="1"/>
  <c r="K29" i="22"/>
  <c r="K165" i="18" s="1"/>
  <c r="J29" i="22"/>
  <c r="L27" i="18" s="1"/>
  <c r="I29" i="22"/>
  <c r="K27" i="18" s="1"/>
  <c r="F29" i="22"/>
  <c r="G27" i="18" s="1"/>
  <c r="G165" s="1"/>
  <c r="G303" s="1"/>
  <c r="G441" s="1"/>
  <c r="E29" i="22"/>
  <c r="F27" i="18" s="1"/>
  <c r="F165" s="1"/>
  <c r="F303" s="1"/>
  <c r="F441" s="1"/>
  <c r="D29" i="22"/>
  <c r="E27" i="18" s="1"/>
  <c r="E165" s="1"/>
  <c r="E303" s="1"/>
  <c r="E441" s="1"/>
  <c r="C29" i="22"/>
  <c r="B29"/>
  <c r="C27" i="18" s="1"/>
  <c r="C165" s="1"/>
  <c r="C303" s="1"/>
  <c r="C441" s="1"/>
  <c r="A29" i="22"/>
  <c r="B27" i="18" s="1"/>
  <c r="B165" s="1"/>
  <c r="B303" s="1"/>
  <c r="B441" s="1"/>
  <c r="N28" i="22"/>
  <c r="L440" i="18" s="1"/>
  <c r="M28" i="22"/>
  <c r="K440" i="18" s="1"/>
  <c r="L28" i="22"/>
  <c r="K302" i="18" s="1"/>
  <c r="K28" i="22"/>
  <c r="K164" i="18" s="1"/>
  <c r="J28" i="22"/>
  <c r="L26" i="18" s="1"/>
  <c r="I28" i="22"/>
  <c r="K26" i="18" s="1"/>
  <c r="F28" i="22"/>
  <c r="G26" i="18" s="1"/>
  <c r="G164" s="1"/>
  <c r="G302" s="1"/>
  <c r="G440" s="1"/>
  <c r="E28" i="22"/>
  <c r="F26" i="18" s="1"/>
  <c r="F164" s="1"/>
  <c r="F302" s="1"/>
  <c r="F440" s="1"/>
  <c r="D28" i="22"/>
  <c r="E26" i="18" s="1"/>
  <c r="E164" s="1"/>
  <c r="E302" s="1"/>
  <c r="E440" s="1"/>
  <c r="C28" i="22"/>
  <c r="B28"/>
  <c r="C26" i="18" s="1"/>
  <c r="C164" s="1"/>
  <c r="C302" s="1"/>
  <c r="C440" s="1"/>
  <c r="A28" i="22"/>
  <c r="B26" i="18" s="1"/>
  <c r="B164" s="1"/>
  <c r="B302" s="1"/>
  <c r="B440" s="1"/>
  <c r="N27" i="22"/>
  <c r="L439" i="18" s="1"/>
  <c r="M27" i="22"/>
  <c r="K439" i="18" s="1"/>
  <c r="L27" i="22"/>
  <c r="K301" i="18" s="1"/>
  <c r="K27" i="22"/>
  <c r="K163" i="18" s="1"/>
  <c r="J27" i="22"/>
  <c r="L25" i="18" s="1"/>
  <c r="I27" i="22"/>
  <c r="K25" i="18" s="1"/>
  <c r="F27" i="22"/>
  <c r="G25" i="18" s="1"/>
  <c r="G163" s="1"/>
  <c r="G301" s="1"/>
  <c r="G439" s="1"/>
  <c r="E27" i="22"/>
  <c r="F25" i="18" s="1"/>
  <c r="F163" s="1"/>
  <c r="F301" s="1"/>
  <c r="F439" s="1"/>
  <c r="D27" i="22"/>
  <c r="E25" i="18" s="1"/>
  <c r="E163" s="1"/>
  <c r="E301" s="1"/>
  <c r="E439" s="1"/>
  <c r="C27" i="22"/>
  <c r="B27"/>
  <c r="B73" s="1"/>
  <c r="A27"/>
  <c r="B25" i="18" s="1"/>
  <c r="B163" s="1"/>
  <c r="B301" s="1"/>
  <c r="B439" s="1"/>
  <c r="N26" i="22"/>
  <c r="L438" i="18" s="1"/>
  <c r="M26" i="22"/>
  <c r="K438" i="18" s="1"/>
  <c r="L26" i="22"/>
  <c r="K300" i="18" s="1"/>
  <c r="K26" i="22"/>
  <c r="K162" i="18" s="1"/>
  <c r="J26" i="22"/>
  <c r="L24" i="18" s="1"/>
  <c r="I26" i="22"/>
  <c r="K24" i="18" s="1"/>
  <c r="F26" i="22"/>
  <c r="G24" i="18" s="1"/>
  <c r="G162" s="1"/>
  <c r="G300" s="1"/>
  <c r="G438" s="1"/>
  <c r="E26" i="22"/>
  <c r="F24" i="18" s="1"/>
  <c r="F162" s="1"/>
  <c r="F300" s="1"/>
  <c r="F438" s="1"/>
  <c r="D26" i="22"/>
  <c r="E24" i="18" s="1"/>
  <c r="E162" s="1"/>
  <c r="E300" s="1"/>
  <c r="E438" s="1"/>
  <c r="C26" i="22"/>
  <c r="B26"/>
  <c r="C24" i="18" s="1"/>
  <c r="C162" s="1"/>
  <c r="C300" s="1"/>
  <c r="C438" s="1"/>
  <c r="A26" i="22"/>
  <c r="B24" i="18" s="1"/>
  <c r="B162" s="1"/>
  <c r="B300" s="1"/>
  <c r="B438" s="1"/>
  <c r="N25" i="22"/>
  <c r="L437" i="18" s="1"/>
  <c r="M25" i="22"/>
  <c r="K437" i="18" s="1"/>
  <c r="L25" i="22"/>
  <c r="K299" i="18" s="1"/>
  <c r="K25" i="22"/>
  <c r="K161" i="18" s="1"/>
  <c r="J25" i="22"/>
  <c r="L23" i="18" s="1"/>
  <c r="I25" i="22"/>
  <c r="K23" i="18" s="1"/>
  <c r="F25" i="22"/>
  <c r="G23" i="18" s="1"/>
  <c r="G161" s="1"/>
  <c r="G299" s="1"/>
  <c r="G437" s="1"/>
  <c r="E25" i="22"/>
  <c r="F23" i="18" s="1"/>
  <c r="F161" s="1"/>
  <c r="F299" s="1"/>
  <c r="F437" s="1"/>
  <c r="D25" i="22"/>
  <c r="E23" i="18" s="1"/>
  <c r="E161" s="1"/>
  <c r="E299" s="1"/>
  <c r="E437" s="1"/>
  <c r="C25" i="22"/>
  <c r="B25"/>
  <c r="B71" s="1"/>
  <c r="A25"/>
  <c r="B23" i="18" s="1"/>
  <c r="B161" s="1"/>
  <c r="B299" s="1"/>
  <c r="B437" s="1"/>
  <c r="N24" i="22"/>
  <c r="L436" i="18" s="1"/>
  <c r="M24" i="22"/>
  <c r="K436" i="18" s="1"/>
  <c r="L24" i="22"/>
  <c r="K298" i="18" s="1"/>
  <c r="K24" i="22"/>
  <c r="K160" i="18" s="1"/>
  <c r="J24" i="22"/>
  <c r="L22" i="18" s="1"/>
  <c r="I24" i="22"/>
  <c r="K22" i="18" s="1"/>
  <c r="F24" i="22"/>
  <c r="G22" i="18" s="1"/>
  <c r="G160" s="1"/>
  <c r="G298" s="1"/>
  <c r="G436" s="1"/>
  <c r="E24" i="22"/>
  <c r="F22" i="18" s="1"/>
  <c r="F160" s="1"/>
  <c r="F298" s="1"/>
  <c r="F436" s="1"/>
  <c r="D24" i="22"/>
  <c r="E22" i="18" s="1"/>
  <c r="E160" s="1"/>
  <c r="E298" s="1"/>
  <c r="E436" s="1"/>
  <c r="C24" i="22"/>
  <c r="B24"/>
  <c r="C22" i="18" s="1"/>
  <c r="C160" s="1"/>
  <c r="C298" s="1"/>
  <c r="C436" s="1"/>
  <c r="A24" i="22"/>
  <c r="B22" i="18" s="1"/>
  <c r="B160" s="1"/>
  <c r="B298" s="1"/>
  <c r="B436" s="1"/>
  <c r="N23" i="22"/>
  <c r="L435" i="18" s="1"/>
  <c r="M23" i="22"/>
  <c r="K435" i="18" s="1"/>
  <c r="L23" i="22"/>
  <c r="K297" i="18" s="1"/>
  <c r="K23" i="22"/>
  <c r="K159" i="18" s="1"/>
  <c r="J23" i="22"/>
  <c r="L21" i="18" s="1"/>
  <c r="I23" i="22"/>
  <c r="K21" i="18" s="1"/>
  <c r="F23" i="22"/>
  <c r="G21" i="18" s="1"/>
  <c r="G159" s="1"/>
  <c r="G297" s="1"/>
  <c r="G435" s="1"/>
  <c r="E23" i="22"/>
  <c r="F21" i="18" s="1"/>
  <c r="F159" s="1"/>
  <c r="F297" s="1"/>
  <c r="F435" s="1"/>
  <c r="D23" i="22"/>
  <c r="E21" i="18" s="1"/>
  <c r="E159" s="1"/>
  <c r="E297" s="1"/>
  <c r="E435" s="1"/>
  <c r="C23" i="22"/>
  <c r="D21" i="18" s="1"/>
  <c r="D159" s="1"/>
  <c r="D297" s="1"/>
  <c r="D435" s="1"/>
  <c r="B23" i="22"/>
  <c r="C21" i="18" s="1"/>
  <c r="C159" s="1"/>
  <c r="C297" s="1"/>
  <c r="C435" s="1"/>
  <c r="A23" i="22"/>
  <c r="B21" i="18" s="1"/>
  <c r="B159" s="1"/>
  <c r="B297" s="1"/>
  <c r="B435" s="1"/>
  <c r="N22" i="22"/>
  <c r="L434" i="18" s="1"/>
  <c r="M22" i="22"/>
  <c r="K434" i="18" s="1"/>
  <c r="L22" i="22"/>
  <c r="K296" i="18" s="1"/>
  <c r="K22" i="22"/>
  <c r="K158" i="18" s="1"/>
  <c r="J22" i="22"/>
  <c r="L20" i="18" s="1"/>
  <c r="I22" i="22"/>
  <c r="K20" i="18" s="1"/>
  <c r="F22" i="22"/>
  <c r="G20" i="18" s="1"/>
  <c r="G158" s="1"/>
  <c r="G296" s="1"/>
  <c r="G434" s="1"/>
  <c r="E22" i="22"/>
  <c r="F20" i="18" s="1"/>
  <c r="F158" s="1"/>
  <c r="F296" s="1"/>
  <c r="F434" s="1"/>
  <c r="D22" i="22"/>
  <c r="D68" s="1"/>
  <c r="C22"/>
  <c r="D20" i="18" s="1"/>
  <c r="D158" s="1"/>
  <c r="D296" s="1"/>
  <c r="D434" s="1"/>
  <c r="B22" i="22"/>
  <c r="C20" i="18" s="1"/>
  <c r="C158" s="1"/>
  <c r="C296" s="1"/>
  <c r="C434" s="1"/>
  <c r="A22" i="22"/>
  <c r="B20" i="18" s="1"/>
  <c r="B158" s="1"/>
  <c r="B296" s="1"/>
  <c r="B434" s="1"/>
  <c r="N21" i="22"/>
  <c r="L433" i="18" s="1"/>
  <c r="M21" i="22"/>
  <c r="K433" i="18" s="1"/>
  <c r="L21" i="22"/>
  <c r="K295" i="18" s="1"/>
  <c r="K21" i="22"/>
  <c r="K157" i="18" s="1"/>
  <c r="J21" i="22"/>
  <c r="L19" i="18" s="1"/>
  <c r="I21" i="22"/>
  <c r="K19" i="18" s="1"/>
  <c r="F21" i="22"/>
  <c r="E21"/>
  <c r="F19" i="18" s="1"/>
  <c r="F157" s="1"/>
  <c r="F295" s="1"/>
  <c r="F433" s="1"/>
  <c r="D21" i="22"/>
  <c r="E19" i="18" s="1"/>
  <c r="E157" s="1"/>
  <c r="E295" s="1"/>
  <c r="E433" s="1"/>
  <c r="C21" i="22"/>
  <c r="D19" i="18" s="1"/>
  <c r="D157" s="1"/>
  <c r="D295" s="1"/>
  <c r="D433" s="1"/>
  <c r="B21" i="22"/>
  <c r="C19" i="18" s="1"/>
  <c r="C157" s="1"/>
  <c r="C295" s="1"/>
  <c r="C433" s="1"/>
  <c r="A21" i="22"/>
  <c r="B19" i="18" s="1"/>
  <c r="B157" s="1"/>
  <c r="B295" s="1"/>
  <c r="B433" s="1"/>
  <c r="N20" i="22"/>
  <c r="L432" i="18" s="1"/>
  <c r="M20" i="22"/>
  <c r="K432" i="18" s="1"/>
  <c r="L20" i="22"/>
  <c r="K294" i="18" s="1"/>
  <c r="K20" i="22"/>
  <c r="K156" i="18" s="1"/>
  <c r="J20" i="22"/>
  <c r="L18" i="18" s="1"/>
  <c r="I20" i="22"/>
  <c r="K18" i="18" s="1"/>
  <c r="F20" i="22"/>
  <c r="G18" i="18" s="1"/>
  <c r="G156" s="1"/>
  <c r="G294" s="1"/>
  <c r="G432" s="1"/>
  <c r="E20" i="22"/>
  <c r="F18" i="18" s="1"/>
  <c r="F156" s="1"/>
  <c r="F294" s="1"/>
  <c r="F432" s="1"/>
  <c r="D20" i="22"/>
  <c r="E18" i="18" s="1"/>
  <c r="E156" s="1"/>
  <c r="E294" s="1"/>
  <c r="E432" s="1"/>
  <c r="C20" i="22"/>
  <c r="C66" s="1"/>
  <c r="B20"/>
  <c r="C18" i="18" s="1"/>
  <c r="C156" s="1"/>
  <c r="C294" s="1"/>
  <c r="C432" s="1"/>
  <c r="A20" i="22"/>
  <c r="B18" i="18" s="1"/>
  <c r="B156" s="1"/>
  <c r="B294" s="1"/>
  <c r="B432" s="1"/>
  <c r="N19" i="22"/>
  <c r="L431" i="18" s="1"/>
  <c r="M19" i="22"/>
  <c r="K431" i="18" s="1"/>
  <c r="L19" i="22"/>
  <c r="K293" i="18" s="1"/>
  <c r="K19" i="22"/>
  <c r="K155" i="18" s="1"/>
  <c r="J19" i="22"/>
  <c r="L17" i="18" s="1"/>
  <c r="I19" i="22"/>
  <c r="K17" i="18" s="1"/>
  <c r="F19" i="22"/>
  <c r="F65" s="1"/>
  <c r="E19"/>
  <c r="F17" i="18" s="1"/>
  <c r="F155" s="1"/>
  <c r="F293" s="1"/>
  <c r="F431" s="1"/>
  <c r="D19" i="22"/>
  <c r="E17" i="18" s="1"/>
  <c r="E155" s="1"/>
  <c r="E293" s="1"/>
  <c r="E431" s="1"/>
  <c r="C19" i="22"/>
  <c r="D17" i="18" s="1"/>
  <c r="D155" s="1"/>
  <c r="D293" s="1"/>
  <c r="D431" s="1"/>
  <c r="B19" i="22"/>
  <c r="C17" i="18" s="1"/>
  <c r="C155" s="1"/>
  <c r="C293" s="1"/>
  <c r="C431" s="1"/>
  <c r="A19" i="22"/>
  <c r="B17" i="18" s="1"/>
  <c r="B155" s="1"/>
  <c r="B293" s="1"/>
  <c r="B431" s="1"/>
  <c r="N18" i="22"/>
  <c r="L430" i="18" s="1"/>
  <c r="M18" i="22"/>
  <c r="K430" i="18" s="1"/>
  <c r="L18" i="22"/>
  <c r="K292" i="18" s="1"/>
  <c r="K18" i="22"/>
  <c r="K154" i="18" s="1"/>
  <c r="J18" i="22"/>
  <c r="L16" i="18" s="1"/>
  <c r="I18" i="22"/>
  <c r="K16" i="18" s="1"/>
  <c r="F18" i="22"/>
  <c r="G16" i="18" s="1"/>
  <c r="G154" s="1"/>
  <c r="G292" s="1"/>
  <c r="G430" s="1"/>
  <c r="E18" i="22"/>
  <c r="F16" i="18" s="1"/>
  <c r="F154" s="1"/>
  <c r="F292" s="1"/>
  <c r="F430" s="1"/>
  <c r="D18" i="22"/>
  <c r="E16" i="18" s="1"/>
  <c r="E154" s="1"/>
  <c r="E292" s="1"/>
  <c r="E430" s="1"/>
  <c r="C18" i="22"/>
  <c r="B18"/>
  <c r="C16" i="18" s="1"/>
  <c r="C154" s="1"/>
  <c r="C292" s="1"/>
  <c r="C430" s="1"/>
  <c r="A18" i="22"/>
  <c r="B16" i="18" s="1"/>
  <c r="B154" s="1"/>
  <c r="B292" s="1"/>
  <c r="B430" s="1"/>
  <c r="N17" i="22"/>
  <c r="L429" i="18" s="1"/>
  <c r="M17" i="22"/>
  <c r="K429" i="18" s="1"/>
  <c r="L17" i="22"/>
  <c r="K291" i="18" s="1"/>
  <c r="K17" i="22"/>
  <c r="K153" i="18" s="1"/>
  <c r="J17" i="22"/>
  <c r="L15" i="18" s="1"/>
  <c r="I17" i="22"/>
  <c r="K15" i="18" s="1"/>
  <c r="F17" i="22"/>
  <c r="G15" i="18" s="1"/>
  <c r="G153" s="1"/>
  <c r="G291" s="1"/>
  <c r="G429" s="1"/>
  <c r="E17" i="22"/>
  <c r="F15" i="18" s="1"/>
  <c r="F153" s="1"/>
  <c r="F291" s="1"/>
  <c r="F429" s="1"/>
  <c r="D17" i="22"/>
  <c r="E15" i="18" s="1"/>
  <c r="E153" s="1"/>
  <c r="E291" s="1"/>
  <c r="E429" s="1"/>
  <c r="C17" i="22"/>
  <c r="D15" i="18" s="1"/>
  <c r="D153" s="1"/>
  <c r="D291" s="1"/>
  <c r="D429" s="1"/>
  <c r="B17" i="22"/>
  <c r="B63" s="1"/>
  <c r="A17"/>
  <c r="B15" i="18" s="1"/>
  <c r="B153" s="1"/>
  <c r="B291" s="1"/>
  <c r="B429" s="1"/>
  <c r="N16" i="22"/>
  <c r="L428" i="18" s="1"/>
  <c r="M16" i="22"/>
  <c r="K428" i="18" s="1"/>
  <c r="L16" i="22"/>
  <c r="K290" i="18" s="1"/>
  <c r="K16" i="22"/>
  <c r="K152" i="18" s="1"/>
  <c r="J16" i="22"/>
  <c r="L14" i="18" s="1"/>
  <c r="I16" i="22"/>
  <c r="K14" i="18" s="1"/>
  <c r="F16" i="22"/>
  <c r="G14" i="18" s="1"/>
  <c r="G152" s="1"/>
  <c r="G290" s="1"/>
  <c r="G428" s="1"/>
  <c r="E16" i="22"/>
  <c r="F14" i="18" s="1"/>
  <c r="F152" s="1"/>
  <c r="F290" s="1"/>
  <c r="F428" s="1"/>
  <c r="D16" i="22"/>
  <c r="D62" s="1"/>
  <c r="C16"/>
  <c r="B16"/>
  <c r="C14" i="18" s="1"/>
  <c r="C152" s="1"/>
  <c r="C290" s="1"/>
  <c r="C428" s="1"/>
  <c r="A16" i="22"/>
  <c r="B14" i="18" s="1"/>
  <c r="B152" s="1"/>
  <c r="B290" s="1"/>
  <c r="B428" s="1"/>
  <c r="N15" i="22"/>
  <c r="L427" i="18" s="1"/>
  <c r="M15" i="22"/>
  <c r="K427" i="18" s="1"/>
  <c r="L15" i="22"/>
  <c r="K289" i="18" s="1"/>
  <c r="K15" i="22"/>
  <c r="K151" i="18" s="1"/>
  <c r="J15" i="22"/>
  <c r="L13" i="18" s="1"/>
  <c r="I15" i="22"/>
  <c r="K13" i="18" s="1"/>
  <c r="F15" i="22"/>
  <c r="G13" i="18" s="1"/>
  <c r="G151" s="1"/>
  <c r="G289" s="1"/>
  <c r="G427" s="1"/>
  <c r="E15" i="22"/>
  <c r="F13" i="18" s="1"/>
  <c r="F151" s="1"/>
  <c r="F289" s="1"/>
  <c r="F427" s="1"/>
  <c r="D15" i="22"/>
  <c r="C15"/>
  <c r="D13" i="18" s="1"/>
  <c r="D151" s="1"/>
  <c r="D289" s="1"/>
  <c r="D427" s="1"/>
  <c r="B15" i="22"/>
  <c r="C13" i="18" s="1"/>
  <c r="C151" s="1"/>
  <c r="C289" s="1"/>
  <c r="C427" s="1"/>
  <c r="A15" i="22"/>
  <c r="B13" i="18" s="1"/>
  <c r="B151" s="1"/>
  <c r="B289" s="1"/>
  <c r="B427" s="1"/>
  <c r="N14" i="22"/>
  <c r="L426" i="18" s="1"/>
  <c r="M14" i="22"/>
  <c r="K426" i="18" s="1"/>
  <c r="L14" i="22"/>
  <c r="K288" i="18" s="1"/>
  <c r="K14" i="22"/>
  <c r="K150" i="18" s="1"/>
  <c r="J14" i="22"/>
  <c r="L12" i="18" s="1"/>
  <c r="I14" i="22"/>
  <c r="K12" i="18" s="1"/>
  <c r="F14" i="22"/>
  <c r="G12" i="18" s="1"/>
  <c r="G150" s="1"/>
  <c r="G288" s="1"/>
  <c r="G426" s="1"/>
  <c r="E14" i="22"/>
  <c r="D14"/>
  <c r="D60" s="1"/>
  <c r="C14"/>
  <c r="D12" i="18" s="1"/>
  <c r="D150" s="1"/>
  <c r="D288" s="1"/>
  <c r="D426" s="1"/>
  <c r="B14" i="22"/>
  <c r="C12" i="18" s="1"/>
  <c r="C150" s="1"/>
  <c r="C288" s="1"/>
  <c r="C426" s="1"/>
  <c r="A14" i="22"/>
  <c r="N13"/>
  <c r="L425" i="18" s="1"/>
  <c r="M13" i="22"/>
  <c r="K425" i="18" s="1"/>
  <c r="L13" i="22"/>
  <c r="K287" i="18" s="1"/>
  <c r="K13" i="22"/>
  <c r="K149" i="18" s="1"/>
  <c r="J13" i="22"/>
  <c r="L11" i="18" s="1"/>
  <c r="I13" i="22"/>
  <c r="K11" i="18" s="1"/>
  <c r="F13" i="22"/>
  <c r="G11" i="18" s="1"/>
  <c r="G149" s="1"/>
  <c r="G287" s="1"/>
  <c r="G425" s="1"/>
  <c r="E13" i="22"/>
  <c r="F11" i="18" s="1"/>
  <c r="F149" s="1"/>
  <c r="F287" s="1"/>
  <c r="F425" s="1"/>
  <c r="D13" i="22"/>
  <c r="E11" i="18" s="1"/>
  <c r="E149" s="1"/>
  <c r="E287" s="1"/>
  <c r="E425" s="1"/>
  <c r="C13" i="22"/>
  <c r="D11" i="18" s="1"/>
  <c r="D149" s="1"/>
  <c r="D287" s="1"/>
  <c r="D425" s="1"/>
  <c r="B13" i="22"/>
  <c r="A13"/>
  <c r="A59" s="1"/>
  <c r="N12"/>
  <c r="L424" i="18" s="1"/>
  <c r="M12" i="22"/>
  <c r="K424" i="18" s="1"/>
  <c r="L12" i="22"/>
  <c r="K286" i="18" s="1"/>
  <c r="K12" i="22"/>
  <c r="K148" i="18" s="1"/>
  <c r="J12" i="22"/>
  <c r="L10" i="18" s="1"/>
  <c r="I12" i="22"/>
  <c r="K10" i="18" s="1"/>
  <c r="F12" i="22"/>
  <c r="G10" i="18" s="1"/>
  <c r="G148" s="1"/>
  <c r="G286" s="1"/>
  <c r="G424" s="1"/>
  <c r="E12" i="22"/>
  <c r="F10" i="18" s="1"/>
  <c r="F148" s="1"/>
  <c r="F286" s="1"/>
  <c r="F424" s="1"/>
  <c r="D12" i="22"/>
  <c r="E10" i="18" s="1"/>
  <c r="E148" s="1"/>
  <c r="E286" s="1"/>
  <c r="E424" s="1"/>
  <c r="C12" i="22"/>
  <c r="D10" i="18" s="1"/>
  <c r="D148" s="1"/>
  <c r="D286" s="1"/>
  <c r="D424" s="1"/>
  <c r="B12" i="22"/>
  <c r="A12"/>
  <c r="B10" i="18" s="1"/>
  <c r="B148" s="1"/>
  <c r="B286" s="1"/>
  <c r="B424" s="1"/>
  <c r="N11" i="22"/>
  <c r="L423" i="18" s="1"/>
  <c r="M11" i="22"/>
  <c r="K423" i="18" s="1"/>
  <c r="L11" i="22"/>
  <c r="K285" i="18" s="1"/>
  <c r="K11" i="22"/>
  <c r="K147" i="18" s="1"/>
  <c r="J11" i="22"/>
  <c r="L9" i="18" s="1"/>
  <c r="I11" i="22"/>
  <c r="K9" i="18" s="1"/>
  <c r="F11" i="22"/>
  <c r="F57" s="1"/>
  <c r="E11"/>
  <c r="E57" s="1"/>
  <c r="D11"/>
  <c r="E9" i="18" s="1"/>
  <c r="E147" s="1"/>
  <c r="E285" s="1"/>
  <c r="E423" s="1"/>
  <c r="C11" i="22"/>
  <c r="D9" i="18" s="1"/>
  <c r="D147" s="1"/>
  <c r="D285" s="1"/>
  <c r="D423" s="1"/>
  <c r="B11" i="22"/>
  <c r="A11"/>
  <c r="B9" i="18" s="1"/>
  <c r="B147" s="1"/>
  <c r="B285" s="1"/>
  <c r="B423" s="1"/>
  <c r="N10" i="22"/>
  <c r="L422" i="18" s="1"/>
  <c r="M10" i="22"/>
  <c r="K422" i="18" s="1"/>
  <c r="L10" i="22"/>
  <c r="K284" i="18" s="1"/>
  <c r="K10" i="22"/>
  <c r="K146" i="18" s="1"/>
  <c r="J10" i="22"/>
  <c r="L8" i="18" s="1"/>
  <c r="I10" i="22"/>
  <c r="K8" i="18" s="1"/>
  <c r="F10" i="22"/>
  <c r="E10"/>
  <c r="F8" i="18" s="1"/>
  <c r="F146" s="1"/>
  <c r="F284" s="1"/>
  <c r="F422" s="1"/>
  <c r="D10" i="22"/>
  <c r="E8" i="18" s="1"/>
  <c r="E146" s="1"/>
  <c r="E284" s="1"/>
  <c r="E422" s="1"/>
  <c r="C10" i="22"/>
  <c r="D8" i="18" s="1"/>
  <c r="D146" s="1"/>
  <c r="D284" s="1"/>
  <c r="D422" s="1"/>
  <c r="B10" i="22"/>
  <c r="A10"/>
  <c r="B8" i="18" s="1"/>
  <c r="B146" s="1"/>
  <c r="B284" s="1"/>
  <c r="B422" s="1"/>
  <c r="N9" i="22"/>
  <c r="L421" i="18" s="1"/>
  <c r="M9" i="22"/>
  <c r="K421" i="18" s="1"/>
  <c r="L9" i="22"/>
  <c r="K283" i="18" s="1"/>
  <c r="K9" i="22"/>
  <c r="K145" i="18" s="1"/>
  <c r="J9" i="22"/>
  <c r="L7" i="18" s="1"/>
  <c r="I9" i="22"/>
  <c r="K7" i="18" s="1"/>
  <c r="F9" i="22"/>
  <c r="G7" i="18" s="1"/>
  <c r="G145" s="1"/>
  <c r="G283" s="1"/>
  <c r="G421" s="1"/>
  <c r="E9" i="22"/>
  <c r="F7" i="18" s="1"/>
  <c r="F145" s="1"/>
  <c r="F283" s="1"/>
  <c r="F421" s="1"/>
  <c r="D9" i="22"/>
  <c r="E7" i="18" s="1"/>
  <c r="E145" s="1"/>
  <c r="E283" s="1"/>
  <c r="E421" s="1"/>
  <c r="C9" i="22"/>
  <c r="D7" i="18" s="1"/>
  <c r="D145" s="1"/>
  <c r="D283" s="1"/>
  <c r="D421" s="1"/>
  <c r="B9" i="22"/>
  <c r="B55" s="1"/>
  <c r="A9"/>
  <c r="B7" i="18" s="1"/>
  <c r="B145" s="1"/>
  <c r="B283" s="1"/>
  <c r="B421" s="1"/>
  <c r="N8" i="22"/>
  <c r="L420" i="18" s="1"/>
  <c r="M8" i="22"/>
  <c r="K420" i="18" s="1"/>
  <c r="L8" i="22"/>
  <c r="K282" i="18" s="1"/>
  <c r="K8" i="22"/>
  <c r="K144" i="18" s="1"/>
  <c r="J8" i="22"/>
  <c r="L6" i="18" s="1"/>
  <c r="I8" i="22"/>
  <c r="K6" i="18" s="1"/>
  <c r="F8" i="22"/>
  <c r="G6" i="18" s="1"/>
  <c r="G144" s="1"/>
  <c r="G282" s="1"/>
  <c r="G420" s="1"/>
  <c r="E8" i="22"/>
  <c r="F6" i="18" s="1"/>
  <c r="F144" s="1"/>
  <c r="F282" s="1"/>
  <c r="F420" s="1"/>
  <c r="D8" i="22"/>
  <c r="C8"/>
  <c r="D6" i="18" s="1"/>
  <c r="D144" s="1"/>
  <c r="D282" s="1"/>
  <c r="D420" s="1"/>
  <c r="B8" i="22"/>
  <c r="C6" i="18" s="1"/>
  <c r="C144" s="1"/>
  <c r="C282" s="1"/>
  <c r="C420" s="1"/>
  <c r="A8" i="22"/>
  <c r="B6" i="18" s="1"/>
  <c r="B144" s="1"/>
  <c r="B282" s="1"/>
  <c r="B420" s="1"/>
  <c r="N7" i="22"/>
  <c r="L419" i="18" s="1"/>
  <c r="M7" i="22"/>
  <c r="K419" i="18" s="1"/>
  <c r="L7" i="22"/>
  <c r="K281" i="18" s="1"/>
  <c r="K7" i="22"/>
  <c r="K143" i="18" s="1"/>
  <c r="F7" i="22"/>
  <c r="F53" s="1"/>
  <c r="E7"/>
  <c r="F5" i="18" s="1"/>
  <c r="F143" s="1"/>
  <c r="F281" s="1"/>
  <c r="F419" s="1"/>
  <c r="D7" i="22"/>
  <c r="E5" i="18" s="1"/>
  <c r="E143" s="1"/>
  <c r="E281" s="1"/>
  <c r="E419" s="1"/>
  <c r="C7" i="22"/>
  <c r="B7"/>
  <c r="B53" s="1"/>
  <c r="A7"/>
  <c r="B5" i="18" s="1"/>
  <c r="B143" s="1"/>
  <c r="B281" s="1"/>
  <c r="B419" s="1"/>
  <c r="J7" i="22"/>
  <c r="L5" i="18" s="1"/>
  <c r="I7" i="22"/>
  <c r="K5" i="18" s="1"/>
  <c r="F98" i="22"/>
  <c r="C98"/>
  <c r="B98"/>
  <c r="D97"/>
  <c r="F95"/>
  <c r="B95"/>
  <c r="F94"/>
  <c r="B94"/>
  <c r="D93"/>
  <c r="C93"/>
  <c r="F91"/>
  <c r="B91"/>
  <c r="F90"/>
  <c r="F136" s="1"/>
  <c r="G134" i="18" s="1"/>
  <c r="G272" s="1"/>
  <c r="G410" s="1"/>
  <c r="G548" s="1"/>
  <c r="C90" i="22"/>
  <c r="B90"/>
  <c r="D89"/>
  <c r="E88"/>
  <c r="D88"/>
  <c r="A88"/>
  <c r="A134" s="1"/>
  <c r="B132" i="18" s="1"/>
  <c r="B270" s="1"/>
  <c r="B408" s="1"/>
  <c r="B546" s="1"/>
  <c r="B87" i="22"/>
  <c r="B86"/>
  <c r="D85"/>
  <c r="D131" s="1"/>
  <c r="E129" i="18" s="1"/>
  <c r="E267" s="1"/>
  <c r="E405" s="1"/>
  <c r="E543" s="1"/>
  <c r="E84" i="22"/>
  <c r="D84"/>
  <c r="A84"/>
  <c r="B83"/>
  <c r="B82"/>
  <c r="B128" s="1"/>
  <c r="C126" i="18" s="1"/>
  <c r="C264" s="1"/>
  <c r="C402" s="1"/>
  <c r="C540" s="1"/>
  <c r="D81" i="22"/>
  <c r="E80"/>
  <c r="D80"/>
  <c r="A80"/>
  <c r="A126" s="1"/>
  <c r="B124" i="18" s="1"/>
  <c r="B262" s="1"/>
  <c r="B400" s="1"/>
  <c r="B538" s="1"/>
  <c r="B79" i="22"/>
  <c r="F78"/>
  <c r="D77"/>
  <c r="D123" s="1"/>
  <c r="E121" i="18" s="1"/>
  <c r="E259" s="1"/>
  <c r="E397" s="1"/>
  <c r="E535" s="1"/>
  <c r="E76" i="22"/>
  <c r="D76"/>
  <c r="A76"/>
  <c r="F75"/>
  <c r="E75"/>
  <c r="F74"/>
  <c r="D73"/>
  <c r="D119" s="1"/>
  <c r="E117" i="18" s="1"/>
  <c r="E255" s="1"/>
  <c r="E393" s="1"/>
  <c r="E531" s="1"/>
  <c r="E72" i="22"/>
  <c r="F70" i="18" s="1"/>
  <c r="F208" s="1"/>
  <c r="F346" s="1"/>
  <c r="F484" s="1"/>
  <c r="D72" i="22"/>
  <c r="A72"/>
  <c r="A118" s="1"/>
  <c r="B116" i="18" s="1"/>
  <c r="B254" s="1"/>
  <c r="B392" s="1"/>
  <c r="B530" s="1"/>
  <c r="F71" i="22"/>
  <c r="E71"/>
  <c r="F70"/>
  <c r="D69"/>
  <c r="D115" s="1"/>
  <c r="E113" i="18" s="1"/>
  <c r="E251" s="1"/>
  <c r="E389" s="1"/>
  <c r="E527" s="1"/>
  <c r="A68" i="22"/>
  <c r="A114" s="1"/>
  <c r="B112" i="18" s="1"/>
  <c r="B250" s="1"/>
  <c r="B388" s="1"/>
  <c r="B526" s="1"/>
  <c r="F67" i="22"/>
  <c r="E67"/>
  <c r="F66"/>
  <c r="D65"/>
  <c r="D111" s="1"/>
  <c r="E109" i="18" s="1"/>
  <c r="E247" s="1"/>
  <c r="E385" s="1"/>
  <c r="E523" s="1"/>
  <c r="A64" i="22"/>
  <c r="A110" s="1"/>
  <c r="B108" i="18" s="1"/>
  <c r="B246" s="1"/>
  <c r="B384" s="1"/>
  <c r="B522" s="1"/>
  <c r="F63" i="22"/>
  <c r="E63"/>
  <c r="F62"/>
  <c r="F58"/>
  <c r="D57"/>
  <c r="D103" s="1"/>
  <c r="E101" i="18" s="1"/>
  <c r="E239" s="1"/>
  <c r="E377" s="1"/>
  <c r="E515" s="1"/>
  <c r="D56" i="22"/>
  <c r="E55"/>
  <c r="F97"/>
  <c r="B97"/>
  <c r="F96"/>
  <c r="C96"/>
  <c r="D94" i="18" s="1"/>
  <c r="D232" s="1"/>
  <c r="D370" s="1"/>
  <c r="D508" s="1"/>
  <c r="B96" i="22"/>
  <c r="C95"/>
  <c r="D93" i="18" s="1"/>
  <c r="D231" s="1"/>
  <c r="D369" s="1"/>
  <c r="D507" s="1"/>
  <c r="F93" i="22"/>
  <c r="B93"/>
  <c r="F92"/>
  <c r="F138" s="1"/>
  <c r="G136" i="18" s="1"/>
  <c r="G274" s="1"/>
  <c r="G412" s="1"/>
  <c r="G550" s="1"/>
  <c r="C92" i="22"/>
  <c r="D90" i="18" s="1"/>
  <c r="D228" s="1"/>
  <c r="D366" s="1"/>
  <c r="D504" s="1"/>
  <c r="B92" i="22"/>
  <c r="D91"/>
  <c r="F89"/>
  <c r="B89"/>
  <c r="F88"/>
  <c r="D87"/>
  <c r="D133" s="1"/>
  <c r="E131" i="18" s="1"/>
  <c r="E269" s="1"/>
  <c r="E407" s="1"/>
  <c r="E545" s="1"/>
  <c r="C87" i="22"/>
  <c r="D85" i="18" s="1"/>
  <c r="D223" s="1"/>
  <c r="D361" s="1"/>
  <c r="D499" s="1"/>
  <c r="D86" i="22"/>
  <c r="F85"/>
  <c r="A85"/>
  <c r="D83"/>
  <c r="D82"/>
  <c r="F81"/>
  <c r="A81"/>
  <c r="D79"/>
  <c r="D78"/>
  <c r="E77"/>
  <c r="B77"/>
  <c r="A77"/>
  <c r="B76"/>
  <c r="B122" s="1"/>
  <c r="C120" i="18" s="1"/>
  <c r="C258" s="1"/>
  <c r="C396" s="1"/>
  <c r="C534" s="1"/>
  <c r="D75" i="22"/>
  <c r="E74"/>
  <c r="D74"/>
  <c r="A74"/>
  <c r="A120" s="1"/>
  <c r="B118" i="18" s="1"/>
  <c r="B256" s="1"/>
  <c r="B394" s="1"/>
  <c r="B532" s="1"/>
  <c r="F73" i="22"/>
  <c r="E73"/>
  <c r="H26"/>
  <c r="I24" i="18" s="1"/>
  <c r="I162" s="1"/>
  <c r="I300" s="1"/>
  <c r="I438" s="1"/>
  <c r="B72" i="22"/>
  <c r="H25"/>
  <c r="I23" i="18" s="1"/>
  <c r="I161" s="1"/>
  <c r="I299" s="1"/>
  <c r="I437" s="1"/>
  <c r="D71" i="22"/>
  <c r="D117" s="1"/>
  <c r="E115" i="18" s="1"/>
  <c r="E253" s="1"/>
  <c r="E391" s="1"/>
  <c r="E529" s="1"/>
  <c r="D70" i="22"/>
  <c r="E69"/>
  <c r="F67" i="18" s="1"/>
  <c r="F205" s="1"/>
  <c r="F343" s="1"/>
  <c r="F481" s="1"/>
  <c r="A69" i="22"/>
  <c r="B68"/>
  <c r="D67"/>
  <c r="D113" s="1"/>
  <c r="E111" i="18" s="1"/>
  <c r="E249" s="1"/>
  <c r="E387" s="1"/>
  <c r="E525" s="1"/>
  <c r="D66" i="22"/>
  <c r="A66"/>
  <c r="A112" s="1"/>
  <c r="B110" i="18" s="1"/>
  <c r="B248" s="1"/>
  <c r="B386" s="1"/>
  <c r="B524" s="1"/>
  <c r="B65" i="22"/>
  <c r="F64"/>
  <c r="F110" s="1"/>
  <c r="G108" i="18" s="1"/>
  <c r="G246" s="1"/>
  <c r="G384" s="1"/>
  <c r="G522" s="1"/>
  <c r="D63" i="22"/>
  <c r="D109" s="1"/>
  <c r="E107" i="18" s="1"/>
  <c r="E245" s="1"/>
  <c r="E383" s="1"/>
  <c r="E521" s="1"/>
  <c r="E62" i="22"/>
  <c r="E108" s="1"/>
  <c r="F106" i="18" s="1"/>
  <c r="F244" s="1"/>
  <c r="F382" s="1"/>
  <c r="F520" s="1"/>
  <c r="F61" i="22"/>
  <c r="B61"/>
  <c r="F60"/>
  <c r="F106" s="1"/>
  <c r="G104" i="18" s="1"/>
  <c r="G242" s="1"/>
  <c r="G380" s="1"/>
  <c r="G518" s="1"/>
  <c r="B60" i="22"/>
  <c r="D59"/>
  <c r="D105" s="1"/>
  <c r="E103" i="18" s="1"/>
  <c r="E241" s="1"/>
  <c r="E379" s="1"/>
  <c r="E517" s="1"/>
  <c r="C59" i="22"/>
  <c r="D57" i="18" s="1"/>
  <c r="D195" s="1"/>
  <c r="D333" s="1"/>
  <c r="D471" s="1"/>
  <c r="D58" i="22"/>
  <c r="A57"/>
  <c r="F54"/>
  <c r="F100" s="1"/>
  <c r="G98" i="18" s="1"/>
  <c r="G236" s="1"/>
  <c r="G374" s="1"/>
  <c r="G512" s="1"/>
  <c r="E53" i="22"/>
  <c r="D53"/>
  <c r="D99" s="1"/>
  <c r="E97" i="18" s="1"/>
  <c r="E235" s="1"/>
  <c r="E373" s="1"/>
  <c r="E511" s="1"/>
  <c r="A53" i="22" l="1"/>
  <c r="A99" s="1"/>
  <c r="B97" i="18" s="1"/>
  <c r="B235" s="1"/>
  <c r="B373" s="1"/>
  <c r="B511" s="1"/>
  <c r="H8" i="22"/>
  <c r="I6" i="18" s="1"/>
  <c r="I144" s="1"/>
  <c r="I282" s="1"/>
  <c r="I420" s="1"/>
  <c r="C54" i="22"/>
  <c r="C100" s="1"/>
  <c r="D98" i="18" s="1"/>
  <c r="D236" s="1"/>
  <c r="D374" s="1"/>
  <c r="D512" s="1"/>
  <c r="C65" i="22"/>
  <c r="C69"/>
  <c r="B54"/>
  <c r="A58"/>
  <c r="A104" s="1"/>
  <c r="B102" i="18" s="1"/>
  <c r="B240" s="1"/>
  <c r="B378" s="1"/>
  <c r="B516" s="1"/>
  <c r="A61" i="22"/>
  <c r="A62"/>
  <c r="A108" s="1"/>
  <c r="B106" i="18" s="1"/>
  <c r="B244" s="1"/>
  <c r="B382" s="1"/>
  <c r="B520" s="1"/>
  <c r="A65" i="22"/>
  <c r="B69"/>
  <c r="B115" s="1"/>
  <c r="C113" i="18" s="1"/>
  <c r="C251" s="1"/>
  <c r="C389" s="1"/>
  <c r="C527" s="1"/>
  <c r="A73" i="22"/>
  <c r="C76"/>
  <c r="D74" i="18" s="1"/>
  <c r="D212" s="1"/>
  <c r="D350" s="1"/>
  <c r="D488" s="1"/>
  <c r="A78" i="22"/>
  <c r="F80"/>
  <c r="F126" s="1"/>
  <c r="G124" i="18" s="1"/>
  <c r="G262" s="1"/>
  <c r="G400" s="1"/>
  <c r="G538" s="1"/>
  <c r="A82" i="22"/>
  <c r="F84"/>
  <c r="A86"/>
  <c r="C91"/>
  <c r="D89" i="18" s="1"/>
  <c r="D227" s="1"/>
  <c r="D365" s="1"/>
  <c r="D503" s="1"/>
  <c r="F55" i="22"/>
  <c r="C58"/>
  <c r="A63"/>
  <c r="E64"/>
  <c r="F62" i="18" s="1"/>
  <c r="F200" s="1"/>
  <c r="F338" s="1"/>
  <c r="F476" s="1"/>
  <c r="A67" i="22"/>
  <c r="E68"/>
  <c r="F66" i="18" s="1"/>
  <c r="F204" s="1"/>
  <c r="F342" s="1"/>
  <c r="F480" s="1"/>
  <c r="A71" i="22"/>
  <c r="A75"/>
  <c r="A121" s="1"/>
  <c r="B119" i="18" s="1"/>
  <c r="B257" s="1"/>
  <c r="B395" s="1"/>
  <c r="B533" s="1"/>
  <c r="A79" i="22"/>
  <c r="A83"/>
  <c r="A129" s="1"/>
  <c r="B127" i="18" s="1"/>
  <c r="B265" s="1"/>
  <c r="B403" s="1"/>
  <c r="B541" s="1"/>
  <c r="A87" i="22"/>
  <c r="C94"/>
  <c r="C140" s="1"/>
  <c r="D138" i="18" s="1"/>
  <c r="D276" s="1"/>
  <c r="D414" s="1"/>
  <c r="D552" s="1"/>
  <c r="C97" i="22"/>
  <c r="E58"/>
  <c r="E104" s="1"/>
  <c r="F102" i="18" s="1"/>
  <c r="F240" s="1"/>
  <c r="F378" s="1"/>
  <c r="F516" s="1"/>
  <c r="C60" i="22"/>
  <c r="E61"/>
  <c r="F59" i="18" s="1"/>
  <c r="F197" s="1"/>
  <c r="F335" s="1"/>
  <c r="F473" s="1"/>
  <c r="E65" i="22"/>
  <c r="F63" i="18" s="1"/>
  <c r="F201" s="1"/>
  <c r="F339" s="1"/>
  <c r="F477" s="1"/>
  <c r="A70" i="22"/>
  <c r="A116" s="1"/>
  <c r="B114" i="18" s="1"/>
  <c r="B252" s="1"/>
  <c r="B390" s="1"/>
  <c r="B528" s="1"/>
  <c r="E78" i="22"/>
  <c r="E124" s="1"/>
  <c r="F122" i="18" s="1"/>
  <c r="F260" s="1"/>
  <c r="F398" s="1"/>
  <c r="F536" s="1"/>
  <c r="E81" i="22"/>
  <c r="E127" s="1"/>
  <c r="F125" i="18" s="1"/>
  <c r="F263" s="1"/>
  <c r="F401" s="1"/>
  <c r="F539" s="1"/>
  <c r="E82" i="22"/>
  <c r="E85"/>
  <c r="E86"/>
  <c r="E132" s="1"/>
  <c r="F130" i="18" s="1"/>
  <c r="F268" s="1"/>
  <c r="F406" s="1"/>
  <c r="F544" s="1"/>
  <c r="A55" i="22"/>
  <c r="B53" i="18" s="1"/>
  <c r="B191" s="1"/>
  <c r="B329" s="1"/>
  <c r="B467" s="1"/>
  <c r="C57" i="22"/>
  <c r="E59"/>
  <c r="E79"/>
  <c r="E83"/>
  <c r="F81" i="18" s="1"/>
  <c r="F219" s="1"/>
  <c r="F357" s="1"/>
  <c r="F495" s="1"/>
  <c r="E87" i="22"/>
  <c r="E133" s="1"/>
  <c r="F131" i="18" s="1"/>
  <c r="F269" s="1"/>
  <c r="F407" s="1"/>
  <c r="F545" s="1"/>
  <c r="C89" i="22"/>
  <c r="H21"/>
  <c r="I19" i="18" s="1"/>
  <c r="I157" s="1"/>
  <c r="I295" s="1"/>
  <c r="I433" s="1"/>
  <c r="B11"/>
  <c r="B149" s="1"/>
  <c r="B287" s="1"/>
  <c r="B425" s="1"/>
  <c r="E14"/>
  <c r="E152" s="1"/>
  <c r="E290" s="1"/>
  <c r="E428" s="1"/>
  <c r="G29"/>
  <c r="G167" s="1"/>
  <c r="G305" s="1"/>
  <c r="G443" s="1"/>
  <c r="E46"/>
  <c r="E184" s="1"/>
  <c r="E322" s="1"/>
  <c r="E460" s="1"/>
  <c r="B60"/>
  <c r="B198" s="1"/>
  <c r="B336" s="1"/>
  <c r="B474" s="1"/>
  <c r="E63"/>
  <c r="E201" s="1"/>
  <c r="E339" s="1"/>
  <c r="E477" s="1"/>
  <c r="B68"/>
  <c r="B206" s="1"/>
  <c r="B344" s="1"/>
  <c r="B482" s="1"/>
  <c r="E71"/>
  <c r="E209" s="1"/>
  <c r="E347" s="1"/>
  <c r="E485" s="1"/>
  <c r="D92"/>
  <c r="D230" s="1"/>
  <c r="D368" s="1"/>
  <c r="D506" s="1"/>
  <c r="C5"/>
  <c r="C143" s="1"/>
  <c r="C281" s="1"/>
  <c r="C419" s="1"/>
  <c r="E12"/>
  <c r="E150" s="1"/>
  <c r="E288" s="1"/>
  <c r="E426" s="1"/>
  <c r="E20"/>
  <c r="E158" s="1"/>
  <c r="E296" s="1"/>
  <c r="E434" s="1"/>
  <c r="E51"/>
  <c r="E189" s="1"/>
  <c r="E327" s="1"/>
  <c r="E465" s="1"/>
  <c r="D55" i="22"/>
  <c r="D101" s="1"/>
  <c r="E99" i="18" s="1"/>
  <c r="E237" s="1"/>
  <c r="E375" s="1"/>
  <c r="E513" s="1"/>
  <c r="E56" i="22"/>
  <c r="E102" s="1"/>
  <c r="F100" i="18" s="1"/>
  <c r="F238" s="1"/>
  <c r="F376" s="1"/>
  <c r="F514" s="1"/>
  <c r="H32" i="22"/>
  <c r="I30" i="18" s="1"/>
  <c r="I168" s="1"/>
  <c r="I306" s="1"/>
  <c r="I444" s="1"/>
  <c r="G17"/>
  <c r="G155" s="1"/>
  <c r="G293" s="1"/>
  <c r="G431" s="1"/>
  <c r="E47"/>
  <c r="E185" s="1"/>
  <c r="E323" s="1"/>
  <c r="E461" s="1"/>
  <c r="B64"/>
  <c r="B202" s="1"/>
  <c r="B340" s="1"/>
  <c r="B478" s="1"/>
  <c r="E67"/>
  <c r="E205" s="1"/>
  <c r="E343" s="1"/>
  <c r="E481" s="1"/>
  <c r="E75"/>
  <c r="E213" s="1"/>
  <c r="E351" s="1"/>
  <c r="E489" s="1"/>
  <c r="F85"/>
  <c r="F223" s="1"/>
  <c r="F361" s="1"/>
  <c r="F499" s="1"/>
  <c r="G88"/>
  <c r="G226" s="1"/>
  <c r="G364" s="1"/>
  <c r="G502" s="1"/>
  <c r="E55"/>
  <c r="E193" s="1"/>
  <c r="E331" s="1"/>
  <c r="E469" s="1"/>
  <c r="G58"/>
  <c r="G196" s="1"/>
  <c r="G334" s="1"/>
  <c r="G472" s="1"/>
  <c r="G90"/>
  <c r="G228" s="1"/>
  <c r="G366" s="1"/>
  <c r="G504" s="1"/>
  <c r="E120" i="22"/>
  <c r="F118" i="18" s="1"/>
  <c r="F256" s="1"/>
  <c r="F394" s="1"/>
  <c r="F532" s="1"/>
  <c r="F72"/>
  <c r="F210" s="1"/>
  <c r="F348" s="1"/>
  <c r="F486" s="1"/>
  <c r="D125" i="22"/>
  <c r="E123" i="18" s="1"/>
  <c r="E261" s="1"/>
  <c r="E399" s="1"/>
  <c r="E537" s="1"/>
  <c r="E77"/>
  <c r="E215" s="1"/>
  <c r="E353" s="1"/>
  <c r="E491" s="1"/>
  <c r="D129" i="22"/>
  <c r="E127" i="18" s="1"/>
  <c r="E265" s="1"/>
  <c r="E403" s="1"/>
  <c r="E541" s="1"/>
  <c r="E81"/>
  <c r="E219" s="1"/>
  <c r="E357" s="1"/>
  <c r="E495" s="1"/>
  <c r="F131" i="22"/>
  <c r="G129" i="18" s="1"/>
  <c r="G267" s="1"/>
  <c r="G405" s="1"/>
  <c r="G543" s="1"/>
  <c r="G83"/>
  <c r="G221" s="1"/>
  <c r="G359" s="1"/>
  <c r="G497" s="1"/>
  <c r="F135" i="22"/>
  <c r="G133" i="18" s="1"/>
  <c r="G271" s="1"/>
  <c r="G409" s="1"/>
  <c r="G547" s="1"/>
  <c r="G87"/>
  <c r="G225" s="1"/>
  <c r="G363" s="1"/>
  <c r="G501" s="1"/>
  <c r="C111" i="22"/>
  <c r="D109" i="18" s="1"/>
  <c r="D247" s="1"/>
  <c r="D385" s="1"/>
  <c r="D523" s="1"/>
  <c r="D63"/>
  <c r="D201" s="1"/>
  <c r="D339" s="1"/>
  <c r="D477" s="1"/>
  <c r="C115" i="22"/>
  <c r="D113" i="18" s="1"/>
  <c r="D251" s="1"/>
  <c r="D389" s="1"/>
  <c r="D527" s="1"/>
  <c r="D67"/>
  <c r="D205" s="1"/>
  <c r="D343" s="1"/>
  <c r="D481" s="1"/>
  <c r="D114" i="22"/>
  <c r="E112" i="18" s="1"/>
  <c r="E250" s="1"/>
  <c r="E388" s="1"/>
  <c r="E526" s="1"/>
  <c r="E66"/>
  <c r="E204" s="1"/>
  <c r="E342" s="1"/>
  <c r="E480" s="1"/>
  <c r="C67"/>
  <c r="C205" s="1"/>
  <c r="C343" s="1"/>
  <c r="C481" s="1"/>
  <c r="F139" i="22"/>
  <c r="G137" i="18" s="1"/>
  <c r="G275" s="1"/>
  <c r="G413" s="1"/>
  <c r="G551" s="1"/>
  <c r="G91"/>
  <c r="G229" s="1"/>
  <c r="G367" s="1"/>
  <c r="G505" s="1"/>
  <c r="D5"/>
  <c r="D143" s="1"/>
  <c r="D281" s="1"/>
  <c r="D419" s="1"/>
  <c r="C53" i="22"/>
  <c r="D51" i="18" s="1"/>
  <c r="D189" s="1"/>
  <c r="D327" s="1"/>
  <c r="D465" s="1"/>
  <c r="C8"/>
  <c r="C146" s="1"/>
  <c r="C284" s="1"/>
  <c r="C422" s="1"/>
  <c r="B56" i="22"/>
  <c r="G8" i="18"/>
  <c r="G146" s="1"/>
  <c r="G284" s="1"/>
  <c r="G422" s="1"/>
  <c r="F56" i="22"/>
  <c r="E13" i="18"/>
  <c r="E151" s="1"/>
  <c r="E289" s="1"/>
  <c r="E427" s="1"/>
  <c r="D61" i="22"/>
  <c r="C62"/>
  <c r="D14" i="18"/>
  <c r="D152" s="1"/>
  <c r="D290" s="1"/>
  <c r="D428" s="1"/>
  <c r="C112" i="22"/>
  <c r="D110" i="18" s="1"/>
  <c r="D248" s="1"/>
  <c r="D386" s="1"/>
  <c r="D524" s="1"/>
  <c r="D64"/>
  <c r="D202" s="1"/>
  <c r="D340" s="1"/>
  <c r="D478" s="1"/>
  <c r="D24"/>
  <c r="D162" s="1"/>
  <c r="D300" s="1"/>
  <c r="D438" s="1"/>
  <c r="C72" i="22"/>
  <c r="D25" i="18"/>
  <c r="D163" s="1"/>
  <c r="D301" s="1"/>
  <c r="D439" s="1"/>
  <c r="H27" i="22"/>
  <c r="I25" i="18" s="1"/>
  <c r="I163" s="1"/>
  <c r="I301" s="1"/>
  <c r="I439" s="1"/>
  <c r="D26"/>
  <c r="D164" s="1"/>
  <c r="D302" s="1"/>
  <c r="D440" s="1"/>
  <c r="C74" i="22"/>
  <c r="H28"/>
  <c r="I26" i="18" s="1"/>
  <c r="I164" s="1"/>
  <c r="I302" s="1"/>
  <c r="I440" s="1"/>
  <c r="D27"/>
  <c r="D165" s="1"/>
  <c r="D303" s="1"/>
  <c r="D441" s="1"/>
  <c r="C75" i="22"/>
  <c r="D73" i="18" s="1"/>
  <c r="D211" s="1"/>
  <c r="D349" s="1"/>
  <c r="D487" s="1"/>
  <c r="D35"/>
  <c r="D173" s="1"/>
  <c r="D311" s="1"/>
  <c r="D449" s="1"/>
  <c r="C83" i="22"/>
  <c r="D81" i="18" s="1"/>
  <c r="D219" s="1"/>
  <c r="D357" s="1"/>
  <c r="D495" s="1"/>
  <c r="D36"/>
  <c r="D174" s="1"/>
  <c r="D312" s="1"/>
  <c r="D450" s="1"/>
  <c r="C84" i="22"/>
  <c r="D82" i="18" s="1"/>
  <c r="D220" s="1"/>
  <c r="D358" s="1"/>
  <c r="D496" s="1"/>
  <c r="D37"/>
  <c r="D175" s="1"/>
  <c r="D313" s="1"/>
  <c r="D451" s="1"/>
  <c r="C85" i="22"/>
  <c r="H39"/>
  <c r="I37" i="18" s="1"/>
  <c r="I175" s="1"/>
  <c r="I313" s="1"/>
  <c r="I451" s="1"/>
  <c r="A90" i="22"/>
  <c r="B42" i="18"/>
  <c r="B180" s="1"/>
  <c r="B318" s="1"/>
  <c r="B456" s="1"/>
  <c r="E90" i="22"/>
  <c r="F42" i="18"/>
  <c r="F180" s="1"/>
  <c r="F318" s="1"/>
  <c r="F456" s="1"/>
  <c r="A91" i="22"/>
  <c r="B43" i="18"/>
  <c r="B181" s="1"/>
  <c r="B319" s="1"/>
  <c r="B457" s="1"/>
  <c r="E91" i="22"/>
  <c r="F43" i="18"/>
  <c r="F181" s="1"/>
  <c r="F319" s="1"/>
  <c r="F457" s="1"/>
  <c r="A93" i="22"/>
  <c r="B45" i="18"/>
  <c r="B183" s="1"/>
  <c r="B321" s="1"/>
  <c r="B459" s="1"/>
  <c r="E93" i="22"/>
  <c r="F45" i="18"/>
  <c r="F183" s="1"/>
  <c r="F321" s="1"/>
  <c r="F459" s="1"/>
  <c r="E95" i="22"/>
  <c r="F47" i="18"/>
  <c r="F185" s="1"/>
  <c r="F323" s="1"/>
  <c r="F461" s="1"/>
  <c r="E96" i="22"/>
  <c r="F48" i="18"/>
  <c r="F186" s="1"/>
  <c r="F324" s="1"/>
  <c r="F462" s="1"/>
  <c r="E97" i="22"/>
  <c r="H97" s="1"/>
  <c r="I95" i="18" s="1"/>
  <c r="I233" s="1"/>
  <c r="I371" s="1"/>
  <c r="I509" s="1"/>
  <c r="F49"/>
  <c r="F187" s="1"/>
  <c r="F325" s="1"/>
  <c r="F463" s="1"/>
  <c r="E144" i="22"/>
  <c r="F142" i="18" s="1"/>
  <c r="F280" s="1"/>
  <c r="F418" s="1"/>
  <c r="F556" s="1"/>
  <c r="F96"/>
  <c r="F234" s="1"/>
  <c r="F372" s="1"/>
  <c r="F510" s="1"/>
  <c r="C106" i="22"/>
  <c r="D104" i="18" s="1"/>
  <c r="D242" s="1"/>
  <c r="D380" s="1"/>
  <c r="D518" s="1"/>
  <c r="D58"/>
  <c r="D196" s="1"/>
  <c r="D334" s="1"/>
  <c r="D472" s="1"/>
  <c r="D116" i="22"/>
  <c r="E114" i="18" s="1"/>
  <c r="E252" s="1"/>
  <c r="E390" s="1"/>
  <c r="E528" s="1"/>
  <c r="E68"/>
  <c r="E206" s="1"/>
  <c r="E344" s="1"/>
  <c r="E482" s="1"/>
  <c r="D52"/>
  <c r="D190" s="1"/>
  <c r="D328" s="1"/>
  <c r="D466" s="1"/>
  <c r="F108" i="22"/>
  <c r="G106" i="18" s="1"/>
  <c r="G244" s="1"/>
  <c r="G382" s="1"/>
  <c r="G520" s="1"/>
  <c r="G60"/>
  <c r="G198" s="1"/>
  <c r="G336" s="1"/>
  <c r="G474" s="1"/>
  <c r="E99" i="22"/>
  <c r="F97" i="18" s="1"/>
  <c r="F235" s="1"/>
  <c r="F373" s="1"/>
  <c r="F511" s="1"/>
  <c r="F51"/>
  <c r="F189" s="1"/>
  <c r="F327" s="1"/>
  <c r="F465" s="1"/>
  <c r="B118" i="22"/>
  <c r="C116" i="18" s="1"/>
  <c r="C254" s="1"/>
  <c r="C392" s="1"/>
  <c r="C530" s="1"/>
  <c r="C70"/>
  <c r="C208" s="1"/>
  <c r="C346" s="1"/>
  <c r="C484" s="1"/>
  <c r="F119" i="22"/>
  <c r="G117" i="18" s="1"/>
  <c r="G255" s="1"/>
  <c r="G393" s="1"/>
  <c r="G531" s="1"/>
  <c r="G71"/>
  <c r="G209" s="1"/>
  <c r="G347" s="1"/>
  <c r="G485" s="1"/>
  <c r="A128" i="22"/>
  <c r="B126" i="18" s="1"/>
  <c r="B264" s="1"/>
  <c r="B402" s="1"/>
  <c r="B540" s="1"/>
  <c r="B80"/>
  <c r="B218" s="1"/>
  <c r="B356" s="1"/>
  <c r="B494" s="1"/>
  <c r="F101" i="22"/>
  <c r="G99" i="18" s="1"/>
  <c r="G237" s="1"/>
  <c r="G375" s="1"/>
  <c r="G513" s="1"/>
  <c r="G53"/>
  <c r="G191" s="1"/>
  <c r="G329" s="1"/>
  <c r="G467" s="1"/>
  <c r="F109" i="22"/>
  <c r="G107" i="18" s="1"/>
  <c r="G245" s="1"/>
  <c r="G383" s="1"/>
  <c r="G521" s="1"/>
  <c r="G61"/>
  <c r="G199" s="1"/>
  <c r="G337" s="1"/>
  <c r="G475" s="1"/>
  <c r="F113" i="22"/>
  <c r="G111" i="18" s="1"/>
  <c r="G249" s="1"/>
  <c r="G387" s="1"/>
  <c r="G525" s="1"/>
  <c r="G65"/>
  <c r="G203" s="1"/>
  <c r="G341" s="1"/>
  <c r="G479" s="1"/>
  <c r="F117" i="22"/>
  <c r="G115" i="18" s="1"/>
  <c r="G253" s="1"/>
  <c r="G391" s="1"/>
  <c r="G529" s="1"/>
  <c r="G69"/>
  <c r="G207" s="1"/>
  <c r="G345" s="1"/>
  <c r="G483" s="1"/>
  <c r="B132" i="22"/>
  <c r="C130" i="18" s="1"/>
  <c r="C268" s="1"/>
  <c r="C406" s="1"/>
  <c r="C544" s="1"/>
  <c r="C84"/>
  <c r="C222" s="1"/>
  <c r="C360" s="1"/>
  <c r="C498" s="1"/>
  <c r="B140" i="22"/>
  <c r="C138" i="18" s="1"/>
  <c r="C276" s="1"/>
  <c r="C414" s="1"/>
  <c r="C552" s="1"/>
  <c r="C92"/>
  <c r="C230" s="1"/>
  <c r="C368" s="1"/>
  <c r="C506" s="1"/>
  <c r="F141" i="22"/>
  <c r="G139" i="18" s="1"/>
  <c r="G277" s="1"/>
  <c r="G415" s="1"/>
  <c r="G553" s="1"/>
  <c r="G93"/>
  <c r="G231" s="1"/>
  <c r="G369" s="1"/>
  <c r="G507" s="1"/>
  <c r="C63" i="22"/>
  <c r="D61" i="18" s="1"/>
  <c r="D199" s="1"/>
  <c r="D337" s="1"/>
  <c r="D475" s="1"/>
  <c r="C67" i="22"/>
  <c r="H31"/>
  <c r="I29" i="18" s="1"/>
  <c r="I167" s="1"/>
  <c r="I305" s="1"/>
  <c r="I443" s="1"/>
  <c r="C55" i="22"/>
  <c r="D53" i="18" s="1"/>
  <c r="D191" s="1"/>
  <c r="D329" s="1"/>
  <c r="D467" s="1"/>
  <c r="C68" i="22"/>
  <c r="F59"/>
  <c r="H59" s="1"/>
  <c r="I57" i="18" s="1"/>
  <c r="I195" s="1"/>
  <c r="I333" s="1"/>
  <c r="I471" s="1"/>
  <c r="C73" i="22"/>
  <c r="C82"/>
  <c r="F50" i="18"/>
  <c r="F188" s="1"/>
  <c r="F326" s="1"/>
  <c r="F464" s="1"/>
  <c r="A107" i="22"/>
  <c r="B105" i="18" s="1"/>
  <c r="B243" s="1"/>
  <c r="B381" s="1"/>
  <c r="B519" s="1"/>
  <c r="B59"/>
  <c r="B197" s="1"/>
  <c r="B335" s="1"/>
  <c r="B473" s="1"/>
  <c r="C103" i="22"/>
  <c r="D101" i="18" s="1"/>
  <c r="D239" s="1"/>
  <c r="D377" s="1"/>
  <c r="D515" s="1"/>
  <c r="D55"/>
  <c r="D193" s="1"/>
  <c r="D331" s="1"/>
  <c r="D469" s="1"/>
  <c r="F124" i="22"/>
  <c r="G122" i="18" s="1"/>
  <c r="G260" s="1"/>
  <c r="G398" s="1"/>
  <c r="G536" s="1"/>
  <c r="G76"/>
  <c r="G214" s="1"/>
  <c r="G352" s="1"/>
  <c r="G490" s="1"/>
  <c r="B144" i="22"/>
  <c r="C142" i="18" s="1"/>
  <c r="C280" s="1"/>
  <c r="C418" s="1"/>
  <c r="C556" s="1"/>
  <c r="C96"/>
  <c r="C234" s="1"/>
  <c r="C372" s="1"/>
  <c r="C510" s="1"/>
  <c r="D108" i="22"/>
  <c r="E106" i="18" s="1"/>
  <c r="E244" s="1"/>
  <c r="E382" s="1"/>
  <c r="E520" s="1"/>
  <c r="E60"/>
  <c r="E198" s="1"/>
  <c r="E336" s="1"/>
  <c r="E474" s="1"/>
  <c r="A103" i="22"/>
  <c r="B101" i="18" s="1"/>
  <c r="B239" s="1"/>
  <c r="B377" s="1"/>
  <c r="B515" s="1"/>
  <c r="B55"/>
  <c r="B193" s="1"/>
  <c r="B331" s="1"/>
  <c r="B469" s="1"/>
  <c r="F107" i="22"/>
  <c r="G105" i="18" s="1"/>
  <c r="G243" s="1"/>
  <c r="G381" s="1"/>
  <c r="G519" s="1"/>
  <c r="G59"/>
  <c r="G197" s="1"/>
  <c r="G335" s="1"/>
  <c r="G473" s="1"/>
  <c r="A119" i="22"/>
  <c r="B117" i="18" s="1"/>
  <c r="B255" s="1"/>
  <c r="B393" s="1"/>
  <c r="B531" s="1"/>
  <c r="B71"/>
  <c r="B209" s="1"/>
  <c r="B347" s="1"/>
  <c r="B485" s="1"/>
  <c r="B138" i="22"/>
  <c r="C136" i="18" s="1"/>
  <c r="C274" s="1"/>
  <c r="C412" s="1"/>
  <c r="C550" s="1"/>
  <c r="C90"/>
  <c r="C228" s="1"/>
  <c r="C366" s="1"/>
  <c r="C504" s="1"/>
  <c r="F104" i="22"/>
  <c r="G102" i="18" s="1"/>
  <c r="G240" s="1"/>
  <c r="G378" s="1"/>
  <c r="G516" s="1"/>
  <c r="G56"/>
  <c r="G194" s="1"/>
  <c r="G332" s="1"/>
  <c r="G470" s="1"/>
  <c r="F120" i="22"/>
  <c r="G118" i="18" s="1"/>
  <c r="G256" s="1"/>
  <c r="G394" s="1"/>
  <c r="G532" s="1"/>
  <c r="G72"/>
  <c r="G210" s="1"/>
  <c r="G348" s="1"/>
  <c r="G486" s="1"/>
  <c r="E125" i="22"/>
  <c r="F123" i="18" s="1"/>
  <c r="F261" s="1"/>
  <c r="F399" s="1"/>
  <c r="F537" s="1"/>
  <c r="F77"/>
  <c r="F215" s="1"/>
  <c r="F353" s="1"/>
  <c r="F491" s="1"/>
  <c r="B129" i="22"/>
  <c r="C127" i="18" s="1"/>
  <c r="C265" s="1"/>
  <c r="C403" s="1"/>
  <c r="C541" s="1"/>
  <c r="C81"/>
  <c r="C219" s="1"/>
  <c r="C357" s="1"/>
  <c r="C495" s="1"/>
  <c r="B133" i="22"/>
  <c r="C131" i="18" s="1"/>
  <c r="C269" s="1"/>
  <c r="C407" s="1"/>
  <c r="C545" s="1"/>
  <c r="C85"/>
  <c r="C223" s="1"/>
  <c r="C361" s="1"/>
  <c r="C499" s="1"/>
  <c r="D54" i="22"/>
  <c r="E6" i="18"/>
  <c r="E144" s="1"/>
  <c r="E282" s="1"/>
  <c r="E420" s="1"/>
  <c r="B57" i="22"/>
  <c r="C9" i="18"/>
  <c r="C147" s="1"/>
  <c r="C285" s="1"/>
  <c r="C423" s="1"/>
  <c r="F103" i="22"/>
  <c r="G101" i="18" s="1"/>
  <c r="G239" s="1"/>
  <c r="G377" s="1"/>
  <c r="G515" s="1"/>
  <c r="G55"/>
  <c r="G193" s="1"/>
  <c r="G331" s="1"/>
  <c r="G469" s="1"/>
  <c r="C10"/>
  <c r="C148" s="1"/>
  <c r="C286" s="1"/>
  <c r="C424" s="1"/>
  <c r="B58" i="22"/>
  <c r="C11" i="18"/>
  <c r="C149" s="1"/>
  <c r="C287" s="1"/>
  <c r="C425" s="1"/>
  <c r="B59" i="22"/>
  <c r="B12" i="18"/>
  <c r="B150" s="1"/>
  <c r="B288" s="1"/>
  <c r="B426" s="1"/>
  <c r="A60" i="22"/>
  <c r="F12" i="18"/>
  <c r="F150" s="1"/>
  <c r="F288" s="1"/>
  <c r="F426" s="1"/>
  <c r="E60" i="22"/>
  <c r="H60" s="1"/>
  <c r="I58" i="18" s="1"/>
  <c r="I196" s="1"/>
  <c r="I334" s="1"/>
  <c r="I472" s="1"/>
  <c r="D16"/>
  <c r="D154" s="1"/>
  <c r="D292" s="1"/>
  <c r="D430" s="1"/>
  <c r="C64" i="22"/>
  <c r="C70"/>
  <c r="D22" i="18"/>
  <c r="D160" s="1"/>
  <c r="D298" s="1"/>
  <c r="D436" s="1"/>
  <c r="D23"/>
  <c r="D161" s="1"/>
  <c r="D299" s="1"/>
  <c r="D437" s="1"/>
  <c r="C71" i="22"/>
  <c r="D30" i="18"/>
  <c r="D168" s="1"/>
  <c r="D306" s="1"/>
  <c r="D444" s="1"/>
  <c r="C78" i="22"/>
  <c r="D31" i="18"/>
  <c r="D169" s="1"/>
  <c r="D307" s="1"/>
  <c r="D445" s="1"/>
  <c r="C79" i="22"/>
  <c r="D77" i="18" s="1"/>
  <c r="D215" s="1"/>
  <c r="D353" s="1"/>
  <c r="D491" s="1"/>
  <c r="D32"/>
  <c r="D170" s="1"/>
  <c r="D308" s="1"/>
  <c r="D446" s="1"/>
  <c r="C80" i="22"/>
  <c r="D78" i="18" s="1"/>
  <c r="D216" s="1"/>
  <c r="D354" s="1"/>
  <c r="D492" s="1"/>
  <c r="D33"/>
  <c r="D171" s="1"/>
  <c r="D309" s="1"/>
  <c r="D447" s="1"/>
  <c r="C81" i="22"/>
  <c r="D38" i="18"/>
  <c r="D176" s="1"/>
  <c r="D314" s="1"/>
  <c r="D452" s="1"/>
  <c r="C86" i="22"/>
  <c r="D40" i="18"/>
  <c r="D178" s="1"/>
  <c r="D316" s="1"/>
  <c r="D454" s="1"/>
  <c r="C88" i="22"/>
  <c r="D86" i="18" s="1"/>
  <c r="D224" s="1"/>
  <c r="D362" s="1"/>
  <c r="D500" s="1"/>
  <c r="A89" i="22"/>
  <c r="B41" i="18"/>
  <c r="B179" s="1"/>
  <c r="B317" s="1"/>
  <c r="B455" s="1"/>
  <c r="H43" i="22"/>
  <c r="I41" i="18" s="1"/>
  <c r="I179" s="1"/>
  <c r="I317" s="1"/>
  <c r="I455" s="1"/>
  <c r="F41"/>
  <c r="F179" s="1"/>
  <c r="F317" s="1"/>
  <c r="F455" s="1"/>
  <c r="E89" i="22"/>
  <c r="A92"/>
  <c r="B44" i="18"/>
  <c r="B182" s="1"/>
  <c r="B320" s="1"/>
  <c r="B458" s="1"/>
  <c r="E92" i="22"/>
  <c r="F44" i="18"/>
  <c r="F182" s="1"/>
  <c r="F320" s="1"/>
  <c r="F458" s="1"/>
  <c r="B46"/>
  <c r="B184" s="1"/>
  <c r="B322" s="1"/>
  <c r="B460" s="1"/>
  <c r="A94" i="22"/>
  <c r="E94"/>
  <c r="F46" i="18"/>
  <c r="F184" s="1"/>
  <c r="F322" s="1"/>
  <c r="F460" s="1"/>
  <c r="A95" i="22"/>
  <c r="B47" i="18"/>
  <c r="B185" s="1"/>
  <c r="B323" s="1"/>
  <c r="B461" s="1"/>
  <c r="A96" i="22"/>
  <c r="B48" i="18"/>
  <c r="B186" s="1"/>
  <c r="B324" s="1"/>
  <c r="B462" s="1"/>
  <c r="A97" i="22"/>
  <c r="B49" i="18"/>
  <c r="B187" s="1"/>
  <c r="B325" s="1"/>
  <c r="B463" s="1"/>
  <c r="A98" i="22"/>
  <c r="B50" i="18"/>
  <c r="B188" s="1"/>
  <c r="B326" s="1"/>
  <c r="B464" s="1"/>
  <c r="A127" i="22"/>
  <c r="B125" i="18" s="1"/>
  <c r="B263" s="1"/>
  <c r="B401" s="1"/>
  <c r="B539" s="1"/>
  <c r="B79"/>
  <c r="B217" s="1"/>
  <c r="B355" s="1"/>
  <c r="B493" s="1"/>
  <c r="A131" i="22"/>
  <c r="B129" i="18" s="1"/>
  <c r="B267" s="1"/>
  <c r="B405" s="1"/>
  <c r="B543" s="1"/>
  <c r="B83"/>
  <c r="B221" s="1"/>
  <c r="B359" s="1"/>
  <c r="B497" s="1"/>
  <c r="F134" i="22"/>
  <c r="G132" i="18" s="1"/>
  <c r="G270" s="1"/>
  <c r="G408" s="1"/>
  <c r="G546" s="1"/>
  <c r="G86"/>
  <c r="G224" s="1"/>
  <c r="G362" s="1"/>
  <c r="G500" s="1"/>
  <c r="F112" i="22"/>
  <c r="G110" i="18" s="1"/>
  <c r="G248" s="1"/>
  <c r="G386" s="1"/>
  <c r="G524" s="1"/>
  <c r="G64"/>
  <c r="G202" s="1"/>
  <c r="G340" s="1"/>
  <c r="G478" s="1"/>
  <c r="F116" i="22"/>
  <c r="G114" i="18" s="1"/>
  <c r="G252" s="1"/>
  <c r="G390" s="1"/>
  <c r="G528" s="1"/>
  <c r="G68"/>
  <c r="G206" s="1"/>
  <c r="G344" s="1"/>
  <c r="G482" s="1"/>
  <c r="F121" i="22"/>
  <c r="G119" i="18" s="1"/>
  <c r="G257" s="1"/>
  <c r="G395" s="1"/>
  <c r="G533" s="1"/>
  <c r="G73"/>
  <c r="G211" s="1"/>
  <c r="G349" s="1"/>
  <c r="G487" s="1"/>
  <c r="E126" i="22"/>
  <c r="F124" i="18" s="1"/>
  <c r="F262" s="1"/>
  <c r="F400" s="1"/>
  <c r="F538" s="1"/>
  <c r="F78"/>
  <c r="F216" s="1"/>
  <c r="F354" s="1"/>
  <c r="F492" s="1"/>
  <c r="D130" i="22"/>
  <c r="E128" i="18" s="1"/>
  <c r="E266" s="1"/>
  <c r="E404" s="1"/>
  <c r="E542" s="1"/>
  <c r="E82"/>
  <c r="E220" s="1"/>
  <c r="E358" s="1"/>
  <c r="E496" s="1"/>
  <c r="D134" i="22"/>
  <c r="E132" i="18" s="1"/>
  <c r="E270" s="1"/>
  <c r="E408" s="1"/>
  <c r="E546" s="1"/>
  <c r="E86"/>
  <c r="E224" s="1"/>
  <c r="E362" s="1"/>
  <c r="E500" s="1"/>
  <c r="B136" i="22"/>
  <c r="C134" i="18" s="1"/>
  <c r="C272" s="1"/>
  <c r="C410" s="1"/>
  <c r="C548" s="1"/>
  <c r="C88"/>
  <c r="C226" s="1"/>
  <c r="C364" s="1"/>
  <c r="C502" s="1"/>
  <c r="F137" i="22"/>
  <c r="G135" i="18" s="1"/>
  <c r="G273" s="1"/>
  <c r="G411" s="1"/>
  <c r="G549" s="1"/>
  <c r="G89"/>
  <c r="G227" s="1"/>
  <c r="G365" s="1"/>
  <c r="G503" s="1"/>
  <c r="B99" i="22"/>
  <c r="C97" i="18" s="1"/>
  <c r="C235" s="1"/>
  <c r="C373" s="1"/>
  <c r="C511" s="1"/>
  <c r="C51"/>
  <c r="C189" s="1"/>
  <c r="C327" s="1"/>
  <c r="C465" s="1"/>
  <c r="F99" i="22"/>
  <c r="G97" i="18" s="1"/>
  <c r="G235" s="1"/>
  <c r="G373" s="1"/>
  <c r="G511" s="1"/>
  <c r="G51"/>
  <c r="G189" s="1"/>
  <c r="G327" s="1"/>
  <c r="G465" s="1"/>
  <c r="B101" i="22"/>
  <c r="C99" i="18" s="1"/>
  <c r="C237" s="1"/>
  <c r="C375" s="1"/>
  <c r="C513" s="1"/>
  <c r="C53"/>
  <c r="C191" s="1"/>
  <c r="C329" s="1"/>
  <c r="C467" s="1"/>
  <c r="E103" i="22"/>
  <c r="F101" i="18" s="1"/>
  <c r="F239" s="1"/>
  <c r="F377" s="1"/>
  <c r="F515" s="1"/>
  <c r="F55"/>
  <c r="F193" s="1"/>
  <c r="F331" s="1"/>
  <c r="F469" s="1"/>
  <c r="A105" i="22"/>
  <c r="B103" i="18" s="1"/>
  <c r="B241" s="1"/>
  <c r="B379" s="1"/>
  <c r="B517" s="1"/>
  <c r="B57"/>
  <c r="B195" s="1"/>
  <c r="B333" s="1"/>
  <c r="B471" s="1"/>
  <c r="D106" i="22"/>
  <c r="E104" i="18" s="1"/>
  <c r="E242" s="1"/>
  <c r="E380" s="1"/>
  <c r="E518" s="1"/>
  <c r="E58"/>
  <c r="E196" s="1"/>
  <c r="E334" s="1"/>
  <c r="E472" s="1"/>
  <c r="B109" i="22"/>
  <c r="C107" i="18" s="1"/>
  <c r="C245" s="1"/>
  <c r="C383" s="1"/>
  <c r="C521" s="1"/>
  <c r="C61"/>
  <c r="C199" s="1"/>
  <c r="C337" s="1"/>
  <c r="C475" s="1"/>
  <c r="F111" i="22"/>
  <c r="G109" i="18" s="1"/>
  <c r="G247" s="1"/>
  <c r="G385" s="1"/>
  <c r="G523" s="1"/>
  <c r="G63"/>
  <c r="G201" s="1"/>
  <c r="G339" s="1"/>
  <c r="G477" s="1"/>
  <c r="B117" i="22"/>
  <c r="C115" i="18" s="1"/>
  <c r="C253" s="1"/>
  <c r="C391" s="1"/>
  <c r="C529" s="1"/>
  <c r="C69"/>
  <c r="C207" s="1"/>
  <c r="C345" s="1"/>
  <c r="C483" s="1"/>
  <c r="B119" i="22"/>
  <c r="C117" i="18" s="1"/>
  <c r="C255" s="1"/>
  <c r="C393" s="1"/>
  <c r="C531" s="1"/>
  <c r="C71"/>
  <c r="C209" s="1"/>
  <c r="C347" s="1"/>
  <c r="C485" s="1"/>
  <c r="F122" i="22"/>
  <c r="G120" i="18" s="1"/>
  <c r="G258" s="1"/>
  <c r="G396" s="1"/>
  <c r="G534" s="1"/>
  <c r="G74"/>
  <c r="G212" s="1"/>
  <c r="G350" s="1"/>
  <c r="G488" s="1"/>
  <c r="F123" i="22"/>
  <c r="G121" i="18" s="1"/>
  <c r="G259" s="1"/>
  <c r="G397" s="1"/>
  <c r="G535" s="1"/>
  <c r="G75"/>
  <c r="G213" s="1"/>
  <c r="G351" s="1"/>
  <c r="G489" s="1"/>
  <c r="F125" i="22"/>
  <c r="G123" i="18" s="1"/>
  <c r="G261" s="1"/>
  <c r="G399" s="1"/>
  <c r="G537" s="1"/>
  <c r="G77"/>
  <c r="G215" s="1"/>
  <c r="G353" s="1"/>
  <c r="G491" s="1"/>
  <c r="D138" i="22"/>
  <c r="E136" i="18" s="1"/>
  <c r="E274" s="1"/>
  <c r="E412" s="1"/>
  <c r="E550" s="1"/>
  <c r="E90"/>
  <c r="E228" s="1"/>
  <c r="E366" s="1"/>
  <c r="E504" s="1"/>
  <c r="D18"/>
  <c r="D156" s="1"/>
  <c r="D294" s="1"/>
  <c r="D432" s="1"/>
  <c r="C77" i="22"/>
  <c r="G9" i="18"/>
  <c r="G147" s="1"/>
  <c r="G285" s="1"/>
  <c r="G423" s="1"/>
  <c r="G62"/>
  <c r="G200" s="1"/>
  <c r="G338" s="1"/>
  <c r="G476" s="1"/>
  <c r="B100" i="22"/>
  <c r="C98" i="18" s="1"/>
  <c r="C236" s="1"/>
  <c r="C374" s="1"/>
  <c r="C512" s="1"/>
  <c r="C52"/>
  <c r="C190" s="1"/>
  <c r="C328" s="1"/>
  <c r="C466" s="1"/>
  <c r="E107" i="22"/>
  <c r="F105" i="18" s="1"/>
  <c r="F243" s="1"/>
  <c r="F381" s="1"/>
  <c r="F519" s="1"/>
  <c r="B111" i="22"/>
  <c r="C109" i="18" s="1"/>
  <c r="C247" s="1"/>
  <c r="C385" s="1"/>
  <c r="C523" s="1"/>
  <c r="C63"/>
  <c r="C201" s="1"/>
  <c r="C339" s="1"/>
  <c r="C477" s="1"/>
  <c r="D112" i="22"/>
  <c r="E110" i="18" s="1"/>
  <c r="E248" s="1"/>
  <c r="E386" s="1"/>
  <c r="E524" s="1"/>
  <c r="E64"/>
  <c r="E202" s="1"/>
  <c r="E340" s="1"/>
  <c r="E478" s="1"/>
  <c r="A115" i="22"/>
  <c r="B113" i="18" s="1"/>
  <c r="B251" s="1"/>
  <c r="B389" s="1"/>
  <c r="B527" s="1"/>
  <c r="B67"/>
  <c r="B205" s="1"/>
  <c r="B343" s="1"/>
  <c r="B481" s="1"/>
  <c r="E119" i="22"/>
  <c r="F117" i="18" s="1"/>
  <c r="F255" s="1"/>
  <c r="F393" s="1"/>
  <c r="F531" s="1"/>
  <c r="F71"/>
  <c r="F209" s="1"/>
  <c r="F347" s="1"/>
  <c r="F485" s="1"/>
  <c r="D137" i="22"/>
  <c r="E135" i="18" s="1"/>
  <c r="E273" s="1"/>
  <c r="E411" s="1"/>
  <c r="E549" s="1"/>
  <c r="E89"/>
  <c r="E227" s="1"/>
  <c r="E365" s="1"/>
  <c r="E503" s="1"/>
  <c r="B142" i="22"/>
  <c r="C140" i="18" s="1"/>
  <c r="C278" s="1"/>
  <c r="C416" s="1"/>
  <c r="C554" s="1"/>
  <c r="C94"/>
  <c r="C232" s="1"/>
  <c r="C370" s="1"/>
  <c r="C508" s="1"/>
  <c r="F143" i="22"/>
  <c r="G141" i="18" s="1"/>
  <c r="G279" s="1"/>
  <c r="G417" s="1"/>
  <c r="G555" s="1"/>
  <c r="G95"/>
  <c r="G233" s="1"/>
  <c r="G371" s="1"/>
  <c r="G509" s="1"/>
  <c r="E101" i="22"/>
  <c r="F99" i="18" s="1"/>
  <c r="F237" s="1"/>
  <c r="F375" s="1"/>
  <c r="F513" s="1"/>
  <c r="F53"/>
  <c r="F191" s="1"/>
  <c r="F329" s="1"/>
  <c r="F467" s="1"/>
  <c r="C104" i="22"/>
  <c r="D102" i="18" s="1"/>
  <c r="D240" s="1"/>
  <c r="D378" s="1"/>
  <c r="D516" s="1"/>
  <c r="D56"/>
  <c r="D194" s="1"/>
  <c r="D332" s="1"/>
  <c r="D470" s="1"/>
  <c r="E109" i="22"/>
  <c r="F107" i="18" s="1"/>
  <c r="F245" s="1"/>
  <c r="F383" s="1"/>
  <c r="F521" s="1"/>
  <c r="F61"/>
  <c r="F199" s="1"/>
  <c r="F337" s="1"/>
  <c r="F475" s="1"/>
  <c r="E113" i="22"/>
  <c r="F111" i="18" s="1"/>
  <c r="F249" s="1"/>
  <c r="F387" s="1"/>
  <c r="F525" s="1"/>
  <c r="F65"/>
  <c r="F203" s="1"/>
  <c r="F341" s="1"/>
  <c r="F479" s="1"/>
  <c r="E117" i="22"/>
  <c r="F115" i="18" s="1"/>
  <c r="F253" s="1"/>
  <c r="F391" s="1"/>
  <c r="F529" s="1"/>
  <c r="F69"/>
  <c r="F207" s="1"/>
  <c r="F345" s="1"/>
  <c r="F483" s="1"/>
  <c r="E121" i="22"/>
  <c r="F119" i="18" s="1"/>
  <c r="F257" s="1"/>
  <c r="F395" s="1"/>
  <c r="F533" s="1"/>
  <c r="F73"/>
  <c r="F211" s="1"/>
  <c r="F349" s="1"/>
  <c r="F487" s="1"/>
  <c r="A133" i="22"/>
  <c r="B131" i="18" s="1"/>
  <c r="B269" s="1"/>
  <c r="B407" s="1"/>
  <c r="B545" s="1"/>
  <c r="B85"/>
  <c r="B223" s="1"/>
  <c r="B361" s="1"/>
  <c r="B499" s="1"/>
  <c r="B137" i="22"/>
  <c r="C135" i="18" s="1"/>
  <c r="C273" s="1"/>
  <c r="C411" s="1"/>
  <c r="C549" s="1"/>
  <c r="C89"/>
  <c r="C227" s="1"/>
  <c r="C365" s="1"/>
  <c r="C503" s="1"/>
  <c r="B141" i="22"/>
  <c r="C139" i="18" s="1"/>
  <c r="C277" s="1"/>
  <c r="C415" s="1"/>
  <c r="C553" s="1"/>
  <c r="C93"/>
  <c r="C231" s="1"/>
  <c r="C369" s="1"/>
  <c r="C507" s="1"/>
  <c r="D143" i="22"/>
  <c r="E141" i="18" s="1"/>
  <c r="E279" s="1"/>
  <c r="E417" s="1"/>
  <c r="E555" s="1"/>
  <c r="E95"/>
  <c r="E233" s="1"/>
  <c r="E371" s="1"/>
  <c r="E509" s="1"/>
  <c r="D140" i="22"/>
  <c r="E138" i="18" s="1"/>
  <c r="E276" s="1"/>
  <c r="E414" s="1"/>
  <c r="E552" s="1"/>
  <c r="E92"/>
  <c r="E230" s="1"/>
  <c r="E368" s="1"/>
  <c r="E506" s="1"/>
  <c r="D141" i="22"/>
  <c r="E139" i="18" s="1"/>
  <c r="E277" s="1"/>
  <c r="E415" s="1"/>
  <c r="E553" s="1"/>
  <c r="E93"/>
  <c r="E231" s="1"/>
  <c r="E369" s="1"/>
  <c r="E507" s="1"/>
  <c r="D104" i="22"/>
  <c r="E102" i="18" s="1"/>
  <c r="E240" s="1"/>
  <c r="E378" s="1"/>
  <c r="E516" s="1"/>
  <c r="E56"/>
  <c r="E194" s="1"/>
  <c r="E332" s="1"/>
  <c r="E470" s="1"/>
  <c r="A111" i="22"/>
  <c r="B109" i="18" s="1"/>
  <c r="B247" s="1"/>
  <c r="B385" s="1"/>
  <c r="B523" s="1"/>
  <c r="B63"/>
  <c r="B201" s="1"/>
  <c r="B339" s="1"/>
  <c r="B477" s="1"/>
  <c r="D121" i="22"/>
  <c r="E119" i="18" s="1"/>
  <c r="E257" s="1"/>
  <c r="E395" s="1"/>
  <c r="E533" s="1"/>
  <c r="E73"/>
  <c r="E211" s="1"/>
  <c r="E349" s="1"/>
  <c r="E487" s="1"/>
  <c r="A123" i="22"/>
  <c r="B121" i="18" s="1"/>
  <c r="B259" s="1"/>
  <c r="B397" s="1"/>
  <c r="B535" s="1"/>
  <c r="B75"/>
  <c r="B213" s="1"/>
  <c r="B351" s="1"/>
  <c r="B489" s="1"/>
  <c r="E128" i="22"/>
  <c r="F126" i="18" s="1"/>
  <c r="F264" s="1"/>
  <c r="F402" s="1"/>
  <c r="F540" s="1"/>
  <c r="F80"/>
  <c r="F218" s="1"/>
  <c r="F356" s="1"/>
  <c r="F494" s="1"/>
  <c r="D132" i="22"/>
  <c r="E130" i="18" s="1"/>
  <c r="E268" s="1"/>
  <c r="E406" s="1"/>
  <c r="E544" s="1"/>
  <c r="E84"/>
  <c r="E222" s="1"/>
  <c r="E360" s="1"/>
  <c r="E498" s="1"/>
  <c r="B143" i="22"/>
  <c r="C141" i="18" s="1"/>
  <c r="C279" s="1"/>
  <c r="C417" s="1"/>
  <c r="C555" s="1"/>
  <c r="C95"/>
  <c r="C233" s="1"/>
  <c r="C371" s="1"/>
  <c r="C509" s="1"/>
  <c r="D102" i="22"/>
  <c r="E100" i="18" s="1"/>
  <c r="E238" s="1"/>
  <c r="E376" s="1"/>
  <c r="E514" s="1"/>
  <c r="E54"/>
  <c r="E192" s="1"/>
  <c r="E330" s="1"/>
  <c r="E468" s="1"/>
  <c r="D118" i="22"/>
  <c r="E116" i="18" s="1"/>
  <c r="E254" s="1"/>
  <c r="E392" s="1"/>
  <c r="E530" s="1"/>
  <c r="E70"/>
  <c r="E208" s="1"/>
  <c r="E346" s="1"/>
  <c r="E484" s="1"/>
  <c r="D122" i="22"/>
  <c r="E120" i="18" s="1"/>
  <c r="E258" s="1"/>
  <c r="E396" s="1"/>
  <c r="E534" s="1"/>
  <c r="E74"/>
  <c r="E212" s="1"/>
  <c r="E350" s="1"/>
  <c r="E488" s="1"/>
  <c r="A125" i="22"/>
  <c r="B123" i="18" s="1"/>
  <c r="B261" s="1"/>
  <c r="B399" s="1"/>
  <c r="B537" s="1"/>
  <c r="B77"/>
  <c r="B215" s="1"/>
  <c r="B353" s="1"/>
  <c r="B491" s="1"/>
  <c r="D127" i="22"/>
  <c r="E125" i="18" s="1"/>
  <c r="E263" s="1"/>
  <c r="E401" s="1"/>
  <c r="E539" s="1"/>
  <c r="E79"/>
  <c r="E217" s="1"/>
  <c r="E355" s="1"/>
  <c r="E493" s="1"/>
  <c r="C135" i="22"/>
  <c r="D133" i="18" s="1"/>
  <c r="D271" s="1"/>
  <c r="D409" s="1"/>
  <c r="D547" s="1"/>
  <c r="D87"/>
  <c r="D225" s="1"/>
  <c r="D363" s="1"/>
  <c r="D501" s="1"/>
  <c r="C139" i="22"/>
  <c r="D137" i="18" s="1"/>
  <c r="D275" s="1"/>
  <c r="D413" s="1"/>
  <c r="D551" s="1"/>
  <c r="D91"/>
  <c r="D229" s="1"/>
  <c r="D367" s="1"/>
  <c r="D505" s="1"/>
  <c r="F140" i="22"/>
  <c r="G138" i="18" s="1"/>
  <c r="G276" s="1"/>
  <c r="G414" s="1"/>
  <c r="G552" s="1"/>
  <c r="G92"/>
  <c r="G230" s="1"/>
  <c r="G368" s="1"/>
  <c r="G506" s="1"/>
  <c r="C143" i="22"/>
  <c r="D141" i="18" s="1"/>
  <c r="D279" s="1"/>
  <c r="D417" s="1"/>
  <c r="D555" s="1"/>
  <c r="D95"/>
  <c r="D233" s="1"/>
  <c r="D371" s="1"/>
  <c r="D509" s="1"/>
  <c r="F144" i="22"/>
  <c r="G142" i="18" s="1"/>
  <c r="G280" s="1"/>
  <c r="G418" s="1"/>
  <c r="G556" s="1"/>
  <c r="G96"/>
  <c r="G234" s="1"/>
  <c r="G372" s="1"/>
  <c r="G510" s="1"/>
  <c r="C7"/>
  <c r="C145" s="1"/>
  <c r="C283" s="1"/>
  <c r="C421" s="1"/>
  <c r="F9"/>
  <c r="F147" s="1"/>
  <c r="F285" s="1"/>
  <c r="F423" s="1"/>
  <c r="C15"/>
  <c r="C153" s="1"/>
  <c r="C291" s="1"/>
  <c r="C429" s="1"/>
  <c r="G19"/>
  <c r="G157" s="1"/>
  <c r="G295" s="1"/>
  <c r="G433" s="1"/>
  <c r="C23"/>
  <c r="C161" s="1"/>
  <c r="C299" s="1"/>
  <c r="C437" s="1"/>
  <c r="G28"/>
  <c r="G166" s="1"/>
  <c r="G304" s="1"/>
  <c r="G442" s="1"/>
  <c r="E50"/>
  <c r="E188" s="1"/>
  <c r="E326" s="1"/>
  <c r="E464" s="1"/>
  <c r="F54"/>
  <c r="F192" s="1"/>
  <c r="F330" s="1"/>
  <c r="F468" s="1"/>
  <c r="B72"/>
  <c r="B210" s="1"/>
  <c r="B348" s="1"/>
  <c r="B486" s="1"/>
  <c r="C74"/>
  <c r="C212" s="1"/>
  <c r="C350" s="1"/>
  <c r="C488" s="1"/>
  <c r="F84"/>
  <c r="F222" s="1"/>
  <c r="F360" s="1"/>
  <c r="F498" s="1"/>
  <c r="E85"/>
  <c r="E223" s="1"/>
  <c r="E361" s="1"/>
  <c r="E499" s="1"/>
  <c r="B86"/>
  <c r="B224" s="1"/>
  <c r="B362" s="1"/>
  <c r="B500" s="1"/>
  <c r="E96"/>
  <c r="E234" s="1"/>
  <c r="E372" s="1"/>
  <c r="E510" s="1"/>
  <c r="A54" i="22"/>
  <c r="E54"/>
  <c r="C61"/>
  <c r="D59" i="18" s="1"/>
  <c r="D197" s="1"/>
  <c r="D335" s="1"/>
  <c r="D473" s="1"/>
  <c r="B64" i="22"/>
  <c r="H22"/>
  <c r="I20" i="18" s="1"/>
  <c r="I158" s="1"/>
  <c r="I296" s="1"/>
  <c r="I434" s="1"/>
  <c r="F69" i="22"/>
  <c r="F72"/>
  <c r="H72" s="1"/>
  <c r="I70" i="18" s="1"/>
  <c r="I208" s="1"/>
  <c r="I346" s="1"/>
  <c r="I484" s="1"/>
  <c r="B88" i="22"/>
  <c r="B62"/>
  <c r="D64"/>
  <c r="B66"/>
  <c r="B67"/>
  <c r="B70"/>
  <c r="B74"/>
  <c r="B75"/>
  <c r="B78"/>
  <c r="F83"/>
  <c r="F86"/>
  <c r="F87"/>
  <c r="H87" s="1"/>
  <c r="I85" i="18" s="1"/>
  <c r="I223" s="1"/>
  <c r="I361" s="1"/>
  <c r="I499" s="1"/>
  <c r="G5"/>
  <c r="G143" s="1"/>
  <c r="G281" s="1"/>
  <c r="G419" s="1"/>
  <c r="C25"/>
  <c r="C163" s="1"/>
  <c r="C301" s="1"/>
  <c r="C439" s="1"/>
  <c r="G31"/>
  <c r="G169" s="1"/>
  <c r="G307" s="1"/>
  <c r="G445" s="1"/>
  <c r="E44"/>
  <c r="E182" s="1"/>
  <c r="E320" s="1"/>
  <c r="E458" s="1"/>
  <c r="G52"/>
  <c r="G190" s="1"/>
  <c r="G328" s="1"/>
  <c r="G466" s="1"/>
  <c r="E53"/>
  <c r="E191" s="1"/>
  <c r="E329" s="1"/>
  <c r="E467" s="1"/>
  <c r="E57"/>
  <c r="E195" s="1"/>
  <c r="E333" s="1"/>
  <c r="E471" s="1"/>
  <c r="E61"/>
  <c r="E199" s="1"/>
  <c r="E337" s="1"/>
  <c r="E475" s="1"/>
  <c r="B62"/>
  <c r="B200" s="1"/>
  <c r="B338" s="1"/>
  <c r="B476" s="1"/>
  <c r="E65"/>
  <c r="E203" s="1"/>
  <c r="E341" s="1"/>
  <c r="E479" s="1"/>
  <c r="B66"/>
  <c r="B204" s="1"/>
  <c r="B342" s="1"/>
  <c r="B480" s="1"/>
  <c r="E69"/>
  <c r="E207" s="1"/>
  <c r="E345" s="1"/>
  <c r="E483" s="1"/>
  <c r="B70"/>
  <c r="B208" s="1"/>
  <c r="B346" s="1"/>
  <c r="B484" s="1"/>
  <c r="C80"/>
  <c r="C218" s="1"/>
  <c r="C356" s="1"/>
  <c r="C494" s="1"/>
  <c r="E83"/>
  <c r="E221" s="1"/>
  <c r="E359" s="1"/>
  <c r="E497" s="1"/>
  <c r="B106" i="22"/>
  <c r="C104" i="18" s="1"/>
  <c r="C242" s="1"/>
  <c r="C380" s="1"/>
  <c r="C518" s="1"/>
  <c r="C58"/>
  <c r="C196" s="1"/>
  <c r="C334" s="1"/>
  <c r="C472" s="1"/>
  <c r="B114" i="22"/>
  <c r="C112" i="18" s="1"/>
  <c r="C250" s="1"/>
  <c r="C388" s="1"/>
  <c r="C526" s="1"/>
  <c r="C66"/>
  <c r="C204" s="1"/>
  <c r="C342" s="1"/>
  <c r="C480" s="1"/>
  <c r="D120" i="22"/>
  <c r="E118" i="18" s="1"/>
  <c r="E256" s="1"/>
  <c r="E394" s="1"/>
  <c r="E532" s="1"/>
  <c r="E72"/>
  <c r="E210" s="1"/>
  <c r="E348" s="1"/>
  <c r="E486" s="1"/>
  <c r="B123" i="22"/>
  <c r="C121" i="18" s="1"/>
  <c r="C259" s="1"/>
  <c r="C397" s="1"/>
  <c r="C535" s="1"/>
  <c r="C75"/>
  <c r="C213" s="1"/>
  <c r="C351" s="1"/>
  <c r="C489" s="1"/>
  <c r="A124" i="22"/>
  <c r="B122" i="18" s="1"/>
  <c r="B260" s="1"/>
  <c r="B398" s="1"/>
  <c r="B536" s="1"/>
  <c r="B76"/>
  <c r="B214" s="1"/>
  <c r="B352" s="1"/>
  <c r="B490" s="1"/>
  <c r="F127" i="22"/>
  <c r="G125" i="18" s="1"/>
  <c r="G263" s="1"/>
  <c r="G401" s="1"/>
  <c r="G539" s="1"/>
  <c r="G79"/>
  <c r="G217" s="1"/>
  <c r="G355" s="1"/>
  <c r="G493" s="1"/>
  <c r="F130" i="22"/>
  <c r="G128" i="18" s="1"/>
  <c r="G266" s="1"/>
  <c r="G404" s="1"/>
  <c r="G542" s="1"/>
  <c r="G82"/>
  <c r="G220" s="1"/>
  <c r="G358" s="1"/>
  <c r="G496" s="1"/>
  <c r="E131" i="22"/>
  <c r="F129" i="18" s="1"/>
  <c r="F267" s="1"/>
  <c r="F405" s="1"/>
  <c r="F543" s="1"/>
  <c r="F83"/>
  <c r="F221" s="1"/>
  <c r="F359" s="1"/>
  <c r="F497" s="1"/>
  <c r="B139" i="22"/>
  <c r="C137" i="18" s="1"/>
  <c r="C275" s="1"/>
  <c r="C413" s="1"/>
  <c r="C551" s="1"/>
  <c r="C91"/>
  <c r="C229" s="1"/>
  <c r="C367" s="1"/>
  <c r="C505" s="1"/>
  <c r="E105" i="22"/>
  <c r="F103" i="18" s="1"/>
  <c r="F241" s="1"/>
  <c r="F379" s="1"/>
  <c r="F517" s="1"/>
  <c r="F57"/>
  <c r="F195" s="1"/>
  <c r="F333" s="1"/>
  <c r="F471" s="1"/>
  <c r="E122" i="22"/>
  <c r="F120" i="18" s="1"/>
  <c r="F258" s="1"/>
  <c r="F396" s="1"/>
  <c r="F534" s="1"/>
  <c r="F74"/>
  <c r="F212" s="1"/>
  <c r="F350" s="1"/>
  <c r="F488" s="1"/>
  <c r="B125" i="22"/>
  <c r="C123" i="18" s="1"/>
  <c r="C261" s="1"/>
  <c r="C399" s="1"/>
  <c r="C537" s="1"/>
  <c r="C77"/>
  <c r="C215" s="1"/>
  <c r="C353" s="1"/>
  <c r="C491" s="1"/>
  <c r="D126" i="22"/>
  <c r="E124" i="18" s="1"/>
  <c r="E262" s="1"/>
  <c r="E400" s="1"/>
  <c r="E538" s="1"/>
  <c r="E78"/>
  <c r="E216" s="1"/>
  <c r="E354" s="1"/>
  <c r="E492" s="1"/>
  <c r="A130" i="22"/>
  <c r="B128" i="18" s="1"/>
  <c r="B266" s="1"/>
  <c r="B404" s="1"/>
  <c r="B542" s="1"/>
  <c r="B82"/>
  <c r="B220" s="1"/>
  <c r="B358" s="1"/>
  <c r="B496" s="1"/>
  <c r="D135" i="22"/>
  <c r="E133" i="18" s="1"/>
  <c r="E271" s="1"/>
  <c r="E409" s="1"/>
  <c r="E547" s="1"/>
  <c r="E87"/>
  <c r="E225" s="1"/>
  <c r="E363" s="1"/>
  <c r="E501" s="1"/>
  <c r="D139" i="22"/>
  <c r="E137" i="18" s="1"/>
  <c r="E275" s="1"/>
  <c r="E413" s="1"/>
  <c r="E551" s="1"/>
  <c r="E91"/>
  <c r="E229" s="1"/>
  <c r="E367" s="1"/>
  <c r="E505" s="1"/>
  <c r="B107" i="22"/>
  <c r="C105" i="18" s="1"/>
  <c r="C243" s="1"/>
  <c r="C381" s="1"/>
  <c r="C519" s="1"/>
  <c r="C59"/>
  <c r="C197" s="1"/>
  <c r="C335" s="1"/>
  <c r="C473" s="1"/>
  <c r="E123" i="22"/>
  <c r="F121" i="18" s="1"/>
  <c r="F259" s="1"/>
  <c r="F397" s="1"/>
  <c r="F535" s="1"/>
  <c r="F75"/>
  <c r="F213" s="1"/>
  <c r="F351" s="1"/>
  <c r="F489" s="1"/>
  <c r="D124" i="22"/>
  <c r="E122" i="18" s="1"/>
  <c r="E260" s="1"/>
  <c r="E398" s="1"/>
  <c r="E536" s="1"/>
  <c r="E76"/>
  <c r="E214" s="1"/>
  <c r="E352" s="1"/>
  <c r="E490" s="1"/>
  <c r="D128" i="22"/>
  <c r="E126" i="18" s="1"/>
  <c r="E264" s="1"/>
  <c r="E402" s="1"/>
  <c r="E540" s="1"/>
  <c r="E80"/>
  <c r="E218" s="1"/>
  <c r="E356" s="1"/>
  <c r="E494" s="1"/>
  <c r="A132" i="22"/>
  <c r="B130" i="18" s="1"/>
  <c r="B268" s="1"/>
  <c r="B406" s="1"/>
  <c r="B544" s="1"/>
  <c r="B84"/>
  <c r="B222" s="1"/>
  <c r="B360" s="1"/>
  <c r="B498" s="1"/>
  <c r="B135" i="22"/>
  <c r="C133" i="18" s="1"/>
  <c r="C271" s="1"/>
  <c r="C409" s="1"/>
  <c r="C547" s="1"/>
  <c r="C87"/>
  <c r="C225" s="1"/>
  <c r="C363" s="1"/>
  <c r="C501" s="1"/>
  <c r="F142" i="22"/>
  <c r="G140" i="18" s="1"/>
  <c r="G278" s="1"/>
  <c r="G416" s="1"/>
  <c r="G554" s="1"/>
  <c r="G94"/>
  <c r="G232" s="1"/>
  <c r="G370" s="1"/>
  <c r="G508" s="1"/>
  <c r="A109" i="22"/>
  <c r="B107" i="18" s="1"/>
  <c r="B245" s="1"/>
  <c r="B383" s="1"/>
  <c r="B521" s="1"/>
  <c r="B61"/>
  <c r="B199" s="1"/>
  <c r="B337" s="1"/>
  <c r="B475" s="1"/>
  <c r="A113" i="22"/>
  <c r="B111" i="18" s="1"/>
  <c r="B249" s="1"/>
  <c r="B387" s="1"/>
  <c r="B525" s="1"/>
  <c r="B65"/>
  <c r="B203" s="1"/>
  <c r="B341" s="1"/>
  <c r="B479" s="1"/>
  <c r="A117" i="22"/>
  <c r="B115" i="18" s="1"/>
  <c r="B253" s="1"/>
  <c r="B391" s="1"/>
  <c r="B529" s="1"/>
  <c r="B69"/>
  <c r="B207" s="1"/>
  <c r="B345" s="1"/>
  <c r="B483" s="1"/>
  <c r="A122" i="22"/>
  <c r="B120" i="18" s="1"/>
  <c r="B258" s="1"/>
  <c r="B396" s="1"/>
  <c r="B534" s="1"/>
  <c r="B74"/>
  <c r="B212" s="1"/>
  <c r="B350" s="1"/>
  <c r="B488" s="1"/>
  <c r="E129" i="22"/>
  <c r="F127" i="18" s="1"/>
  <c r="F265" s="1"/>
  <c r="F403" s="1"/>
  <c r="F541" s="1"/>
  <c r="E130" i="22"/>
  <c r="F128" i="18" s="1"/>
  <c r="F266" s="1"/>
  <c r="F404" s="1"/>
  <c r="F542" s="1"/>
  <c r="F82"/>
  <c r="F220" s="1"/>
  <c r="F358" s="1"/>
  <c r="F496" s="1"/>
  <c r="E134" i="22"/>
  <c r="F132" i="18" s="1"/>
  <c r="F270" s="1"/>
  <c r="F408" s="1"/>
  <c r="F546" s="1"/>
  <c r="F86"/>
  <c r="F224" s="1"/>
  <c r="F362" s="1"/>
  <c r="F500" s="1"/>
  <c r="C136" i="22"/>
  <c r="D134" i="18" s="1"/>
  <c r="D272" s="1"/>
  <c r="D410" s="1"/>
  <c r="D548" s="1"/>
  <c r="D88"/>
  <c r="D226" s="1"/>
  <c r="D364" s="1"/>
  <c r="D502" s="1"/>
  <c r="C144" i="22"/>
  <c r="D142" i="18" s="1"/>
  <c r="D280" s="1"/>
  <c r="D418" s="1"/>
  <c r="D556" s="1"/>
  <c r="D96"/>
  <c r="D234" s="1"/>
  <c r="D372" s="1"/>
  <c r="D510" s="1"/>
  <c r="H12" i="22"/>
  <c r="I10" i="18" s="1"/>
  <c r="I148" s="1"/>
  <c r="I286" s="1"/>
  <c r="I424" s="1"/>
  <c r="H18" i="22"/>
  <c r="I16" i="18" s="1"/>
  <c r="I154" s="1"/>
  <c r="I292" s="1"/>
  <c r="I430" s="1"/>
  <c r="F68" i="22"/>
  <c r="B80"/>
  <c r="B81"/>
  <c r="B84"/>
  <c r="B85"/>
  <c r="D90"/>
  <c r="A56"/>
  <c r="F82"/>
  <c r="D96"/>
  <c r="F56" i="18"/>
  <c r="F194" s="1"/>
  <c r="F332" s="1"/>
  <c r="F470" s="1"/>
  <c r="F60"/>
  <c r="F198" s="1"/>
  <c r="F336" s="1"/>
  <c r="F474" s="1"/>
  <c r="F76"/>
  <c r="F214" s="1"/>
  <c r="F352" s="1"/>
  <c r="F490" s="1"/>
  <c r="B78"/>
  <c r="B216" s="1"/>
  <c r="B354" s="1"/>
  <c r="B492" s="1"/>
  <c r="B81"/>
  <c r="B219" s="1"/>
  <c r="B357" s="1"/>
  <c r="B495" s="1"/>
  <c r="B51"/>
  <c r="B189" s="1"/>
  <c r="B327" s="1"/>
  <c r="B465" s="1"/>
  <c r="K134" i="23"/>
  <c r="L127"/>
  <c r="L128"/>
  <c r="L133" s="1"/>
  <c r="K127"/>
  <c r="K128"/>
  <c r="K133" s="1"/>
  <c r="M123"/>
  <c r="M133" s="1"/>
  <c r="M124"/>
  <c r="M125"/>
  <c r="K125"/>
  <c r="H44" i="22"/>
  <c r="I42" i="18" s="1"/>
  <c r="I180" s="1"/>
  <c r="I318" s="1"/>
  <c r="I456" s="1"/>
  <c r="H47" i="22"/>
  <c r="I45" i="18" s="1"/>
  <c r="I183" s="1"/>
  <c r="I321" s="1"/>
  <c r="I459" s="1"/>
  <c r="H48" i="22"/>
  <c r="I46" i="18" s="1"/>
  <c r="I184" s="1"/>
  <c r="I322" s="1"/>
  <c r="I460" s="1"/>
  <c r="H58" i="22"/>
  <c r="I56" i="18" s="1"/>
  <c r="I194" s="1"/>
  <c r="I332" s="1"/>
  <c r="I470" s="1"/>
  <c r="H98" i="22"/>
  <c r="I96" i="18" s="1"/>
  <c r="I234" s="1"/>
  <c r="I372" s="1"/>
  <c r="I510" s="1"/>
  <c r="E115" i="22"/>
  <c r="H69"/>
  <c r="I67" i="18" s="1"/>
  <c r="I205" s="1"/>
  <c r="I343" s="1"/>
  <c r="I481" s="1"/>
  <c r="E114" i="22"/>
  <c r="H68"/>
  <c r="I66" i="18" s="1"/>
  <c r="I204" s="1"/>
  <c r="I342" s="1"/>
  <c r="I480" s="1"/>
  <c r="C105" i="22"/>
  <c r="E111"/>
  <c r="H65"/>
  <c r="I63" i="18" s="1"/>
  <c r="I201" s="1"/>
  <c r="I339" s="1"/>
  <c r="I477" s="1"/>
  <c r="E66" i="22"/>
  <c r="F64" i="18" s="1"/>
  <c r="F202" s="1"/>
  <c r="F340" s="1"/>
  <c r="F478" s="1"/>
  <c r="H20" i="22"/>
  <c r="I18" i="18" s="1"/>
  <c r="I156" s="1"/>
  <c r="I294" s="1"/>
  <c r="I432" s="1"/>
  <c r="C129" i="22"/>
  <c r="H15"/>
  <c r="I13" i="18" s="1"/>
  <c r="I151" s="1"/>
  <c r="I289" s="1"/>
  <c r="I427" s="1"/>
  <c r="H34" i="22"/>
  <c r="I32" i="18" s="1"/>
  <c r="I170" s="1"/>
  <c r="I308" s="1"/>
  <c r="I446" s="1"/>
  <c r="H10" i="22"/>
  <c r="I8" i="18" s="1"/>
  <c r="I146" s="1"/>
  <c r="I284" s="1"/>
  <c r="I422" s="1"/>
  <c r="H11" i="22"/>
  <c r="I9" i="18" s="1"/>
  <c r="I147" s="1"/>
  <c r="I285" s="1"/>
  <c r="I423" s="1"/>
  <c r="H13" i="22"/>
  <c r="I11" i="18" s="1"/>
  <c r="I149" s="1"/>
  <c r="I287" s="1"/>
  <c r="I425" s="1"/>
  <c r="H35" i="22"/>
  <c r="I33" i="18" s="1"/>
  <c r="I171" s="1"/>
  <c r="I309" s="1"/>
  <c r="I447" s="1"/>
  <c r="H36" i="22"/>
  <c r="I34" i="18" s="1"/>
  <c r="I172" s="1"/>
  <c r="I310" s="1"/>
  <c r="I448" s="1"/>
  <c r="H38" i="22"/>
  <c r="I36" i="18" s="1"/>
  <c r="I174" s="1"/>
  <c r="I312" s="1"/>
  <c r="I450" s="1"/>
  <c r="H51" i="22"/>
  <c r="I49" i="18" s="1"/>
  <c r="I187" s="1"/>
  <c r="I325" s="1"/>
  <c r="I463" s="1"/>
  <c r="H52" i="22"/>
  <c r="I50" i="18" s="1"/>
  <c r="I188" s="1"/>
  <c r="I326" s="1"/>
  <c r="I464" s="1"/>
  <c r="C141" i="22"/>
  <c r="C142"/>
  <c r="H96"/>
  <c r="I94" i="18" s="1"/>
  <c r="I232" s="1"/>
  <c r="I370" s="1"/>
  <c r="I508" s="1"/>
  <c r="E118" i="22"/>
  <c r="E70"/>
  <c r="F68" i="18" s="1"/>
  <c r="F206" s="1"/>
  <c r="F344" s="1"/>
  <c r="F482" s="1"/>
  <c r="H24" i="22"/>
  <c r="I22" i="18" s="1"/>
  <c r="I160" s="1"/>
  <c r="I298" s="1"/>
  <c r="I436" s="1"/>
  <c r="C121" i="22"/>
  <c r="C122"/>
  <c r="H76"/>
  <c r="I74" i="18" s="1"/>
  <c r="I212" s="1"/>
  <c r="I350" s="1"/>
  <c r="I488" s="1"/>
  <c r="C138" i="22"/>
  <c r="H92"/>
  <c r="I90" i="18" s="1"/>
  <c r="I228" s="1"/>
  <c r="I366" s="1"/>
  <c r="I504" s="1"/>
  <c r="H63" i="22"/>
  <c r="I61" i="18" s="1"/>
  <c r="I199" s="1"/>
  <c r="I337" s="1"/>
  <c r="I475" s="1"/>
  <c r="C109" i="22"/>
  <c r="C133"/>
  <c r="E110"/>
  <c r="H50"/>
  <c r="I48" i="18" s="1"/>
  <c r="I186" s="1"/>
  <c r="I324" s="1"/>
  <c r="I462" s="1"/>
  <c r="H30" i="22"/>
  <c r="I28" i="18" s="1"/>
  <c r="I166" s="1"/>
  <c r="I304" s="1"/>
  <c r="I442" s="1"/>
  <c r="H46" i="22"/>
  <c r="I44" i="18" s="1"/>
  <c r="I182" s="1"/>
  <c r="I320" s="1"/>
  <c r="I458" s="1"/>
  <c r="H16" i="22"/>
  <c r="I14" i="18" s="1"/>
  <c r="I152" s="1"/>
  <c r="I290" s="1"/>
  <c r="I428" s="1"/>
  <c r="H40" i="22"/>
  <c r="I38" i="18" s="1"/>
  <c r="I176" s="1"/>
  <c r="I314" s="1"/>
  <c r="I452" s="1"/>
  <c r="H42" i="22"/>
  <c r="I40" i="18" s="1"/>
  <c r="I178" s="1"/>
  <c r="I316" s="1"/>
  <c r="I454" s="1"/>
  <c r="H90" i="22"/>
  <c r="I88" i="18" s="1"/>
  <c r="I226" s="1"/>
  <c r="I364" s="1"/>
  <c r="I502" s="1"/>
  <c r="H7" i="22"/>
  <c r="I5" i="18" s="1"/>
  <c r="I143" s="1"/>
  <c r="I281" s="1"/>
  <c r="I419" s="1"/>
  <c r="H9" i="22"/>
  <c r="I7" i="18" s="1"/>
  <c r="I145" s="1"/>
  <c r="I283" s="1"/>
  <c r="I421" s="1"/>
  <c r="H29" i="22"/>
  <c r="I27" i="18" s="1"/>
  <c r="I165" s="1"/>
  <c r="I303" s="1"/>
  <c r="I441" s="1"/>
  <c r="H33" i="22"/>
  <c r="I31" i="18" s="1"/>
  <c r="I169" s="1"/>
  <c r="I307" s="1"/>
  <c r="I445" s="1"/>
  <c r="H49" i="22"/>
  <c r="I47" i="18" s="1"/>
  <c r="I185" s="1"/>
  <c r="I323" s="1"/>
  <c r="I461" s="1"/>
  <c r="H85" i="22"/>
  <c r="I83" i="18" s="1"/>
  <c r="I221" s="1"/>
  <c r="I359" s="1"/>
  <c r="I497" s="1"/>
  <c r="H93" i="22"/>
  <c r="I91" i="18" s="1"/>
  <c r="I229" s="1"/>
  <c r="I367" s="1"/>
  <c r="I505" s="1"/>
  <c r="H14" i="22"/>
  <c r="I12" i="18" s="1"/>
  <c r="I150" s="1"/>
  <c r="I288" s="1"/>
  <c r="I426" s="1"/>
  <c r="C56" i="22"/>
  <c r="D54" i="18" s="1"/>
  <c r="D192" s="1"/>
  <c r="D330" s="1"/>
  <c r="D468" s="1"/>
  <c r="H17" i="22"/>
  <c r="I15" i="18" s="1"/>
  <c r="I153" s="1"/>
  <c r="I291" s="1"/>
  <c r="I429" s="1"/>
  <c r="H37" i="22"/>
  <c r="I35" i="18" s="1"/>
  <c r="I173" s="1"/>
  <c r="I311" s="1"/>
  <c r="I449" s="1"/>
  <c r="H41" i="22"/>
  <c r="I39" i="18" s="1"/>
  <c r="I177" s="1"/>
  <c r="I315" s="1"/>
  <c r="I453" s="1"/>
  <c r="H45" i="22"/>
  <c r="I43" i="18" s="1"/>
  <c r="I181" s="1"/>
  <c r="I319" s="1"/>
  <c r="I457" s="1"/>
  <c r="H57" i="22"/>
  <c r="I55" i="18" s="1"/>
  <c r="I193" s="1"/>
  <c r="I331" s="1"/>
  <c r="I469" s="1"/>
  <c r="H19" i="22"/>
  <c r="I17" i="18" s="1"/>
  <c r="I155" s="1"/>
  <c r="I293" s="1"/>
  <c r="I431" s="1"/>
  <c r="H23" i="22"/>
  <c r="I21" i="18" s="1"/>
  <c r="I159" s="1"/>
  <c r="I297" s="1"/>
  <c r="I435" s="1"/>
  <c r="H67" i="22"/>
  <c r="I65" i="18" s="1"/>
  <c r="I203" s="1"/>
  <c r="I341" s="1"/>
  <c r="I479" s="1"/>
  <c r="H71" i="22"/>
  <c r="I69" i="18" s="1"/>
  <c r="I207" s="1"/>
  <c r="I345" s="1"/>
  <c r="I483" s="1"/>
  <c r="H55" i="22" l="1"/>
  <c r="I53" i="18" s="1"/>
  <c r="I191" s="1"/>
  <c r="I329" s="1"/>
  <c r="I467" s="1"/>
  <c r="H83" i="22"/>
  <c r="I81" i="18" s="1"/>
  <c r="I219" s="1"/>
  <c r="I357" s="1"/>
  <c r="I495" s="1"/>
  <c r="C137" i="22"/>
  <c r="C126"/>
  <c r="A101"/>
  <c r="B99" i="18" s="1"/>
  <c r="B237" s="1"/>
  <c r="B375" s="1"/>
  <c r="B513" s="1"/>
  <c r="H94" i="22"/>
  <c r="I92" i="18" s="1"/>
  <c r="I230" s="1"/>
  <c r="I368" s="1"/>
  <c r="I506" s="1"/>
  <c r="H81" i="22"/>
  <c r="I79" i="18" s="1"/>
  <c r="I217" s="1"/>
  <c r="I355" s="1"/>
  <c r="I493" s="1"/>
  <c r="B56"/>
  <c r="B194" s="1"/>
  <c r="B332" s="1"/>
  <c r="B470" s="1"/>
  <c r="C99" i="22"/>
  <c r="D97" i="18" s="1"/>
  <c r="D235" s="1"/>
  <c r="D373" s="1"/>
  <c r="D511" s="1"/>
  <c r="B73"/>
  <c r="B211" s="1"/>
  <c r="B349" s="1"/>
  <c r="B487" s="1"/>
  <c r="H64" i="22"/>
  <c r="I62" i="18" s="1"/>
  <c r="I200" s="1"/>
  <c r="I338" s="1"/>
  <c r="I476" s="1"/>
  <c r="H91" i="22"/>
  <c r="I89" i="18" s="1"/>
  <c r="I227" s="1"/>
  <c r="I365" s="1"/>
  <c r="I503" s="1"/>
  <c r="C107" i="22"/>
  <c r="D105" i="18" s="1"/>
  <c r="D243" s="1"/>
  <c r="D381" s="1"/>
  <c r="D519" s="1"/>
  <c r="G78"/>
  <c r="G216" s="1"/>
  <c r="G354" s="1"/>
  <c r="G492" s="1"/>
  <c r="F79"/>
  <c r="F217" s="1"/>
  <c r="F355" s="1"/>
  <c r="F493" s="1"/>
  <c r="C134" i="22"/>
  <c r="C125"/>
  <c r="D123" i="18" s="1"/>
  <c r="D261" s="1"/>
  <c r="D399" s="1"/>
  <c r="D537" s="1"/>
  <c r="H86" i="22"/>
  <c r="I84" i="18" s="1"/>
  <c r="I222" s="1"/>
  <c r="I360" s="1"/>
  <c r="I498" s="1"/>
  <c r="H88" i="22"/>
  <c r="I86" i="18" s="1"/>
  <c r="I224" s="1"/>
  <c r="I362" s="1"/>
  <c r="I500" s="1"/>
  <c r="H104" i="22"/>
  <c r="I102" i="18" s="1"/>
  <c r="I240" s="1"/>
  <c r="I378" s="1"/>
  <c r="I516" s="1"/>
  <c r="H79" i="22"/>
  <c r="I77" i="18" s="1"/>
  <c r="I215" s="1"/>
  <c r="I353" s="1"/>
  <c r="I491" s="1"/>
  <c r="H109" i="22"/>
  <c r="I107" i="18" s="1"/>
  <c r="I245" s="1"/>
  <c r="I383" s="1"/>
  <c r="I521" s="1"/>
  <c r="D107"/>
  <c r="D245" s="1"/>
  <c r="D383" s="1"/>
  <c r="D521" s="1"/>
  <c r="D139"/>
  <c r="D277" s="1"/>
  <c r="D415" s="1"/>
  <c r="D553" s="1"/>
  <c r="H125" i="22"/>
  <c r="I123" i="18" s="1"/>
  <c r="I261" s="1"/>
  <c r="I399" s="1"/>
  <c r="I537" s="1"/>
  <c r="B120" i="22"/>
  <c r="C118" i="18" s="1"/>
  <c r="C256" s="1"/>
  <c r="C394" s="1"/>
  <c r="C532" s="1"/>
  <c r="C72"/>
  <c r="C210" s="1"/>
  <c r="C348" s="1"/>
  <c r="C486" s="1"/>
  <c r="C116" i="22"/>
  <c r="D114" i="18" s="1"/>
  <c r="D252" s="1"/>
  <c r="D390" s="1"/>
  <c r="D528" s="1"/>
  <c r="D68"/>
  <c r="D206" s="1"/>
  <c r="D344" s="1"/>
  <c r="D482" s="1"/>
  <c r="E141" i="22"/>
  <c r="F139" i="18" s="1"/>
  <c r="F277" s="1"/>
  <c r="F415" s="1"/>
  <c r="F553" s="1"/>
  <c r="F93"/>
  <c r="F231" s="1"/>
  <c r="F369" s="1"/>
  <c r="F507" s="1"/>
  <c r="A137" i="22"/>
  <c r="B135" i="18" s="1"/>
  <c r="B273" s="1"/>
  <c r="B411" s="1"/>
  <c r="B549" s="1"/>
  <c r="B89"/>
  <c r="B227" s="1"/>
  <c r="B365" s="1"/>
  <c r="B503" s="1"/>
  <c r="A136" i="22"/>
  <c r="B134" i="18" s="1"/>
  <c r="B272" s="1"/>
  <c r="B410" s="1"/>
  <c r="B548" s="1"/>
  <c r="B88"/>
  <c r="B226" s="1"/>
  <c r="B364" s="1"/>
  <c r="B502" s="1"/>
  <c r="C108" i="22"/>
  <c r="D60" i="18"/>
  <c r="D198" s="1"/>
  <c r="D336" s="1"/>
  <c r="D474" s="1"/>
  <c r="H122" i="22"/>
  <c r="I120" i="18" s="1"/>
  <c r="I258" s="1"/>
  <c r="I396" s="1"/>
  <c r="I534" s="1"/>
  <c r="D120"/>
  <c r="D258" s="1"/>
  <c r="D396" s="1"/>
  <c r="D534" s="1"/>
  <c r="D142" i="22"/>
  <c r="E140" i="18" s="1"/>
  <c r="E278" s="1"/>
  <c r="E416" s="1"/>
  <c r="E554" s="1"/>
  <c r="E94"/>
  <c r="E232" s="1"/>
  <c r="E370" s="1"/>
  <c r="E508" s="1"/>
  <c r="B121" i="22"/>
  <c r="C119" i="18" s="1"/>
  <c r="C257" s="1"/>
  <c r="C395" s="1"/>
  <c r="C533" s="1"/>
  <c r="C73"/>
  <c r="C211" s="1"/>
  <c r="C349" s="1"/>
  <c r="C487" s="1"/>
  <c r="A138" i="22"/>
  <c r="B136" i="18" s="1"/>
  <c r="B274" s="1"/>
  <c r="B412" s="1"/>
  <c r="B550" s="1"/>
  <c r="B90"/>
  <c r="B228" s="1"/>
  <c r="B366" s="1"/>
  <c r="B504" s="1"/>
  <c r="C124" i="22"/>
  <c r="H78"/>
  <c r="I76" i="18" s="1"/>
  <c r="I214" s="1"/>
  <c r="I352" s="1"/>
  <c r="I490" s="1"/>
  <c r="D76"/>
  <c r="D214" s="1"/>
  <c r="D352" s="1"/>
  <c r="D490" s="1"/>
  <c r="C128" i="22"/>
  <c r="D80" i="18"/>
  <c r="D218" s="1"/>
  <c r="D356" s="1"/>
  <c r="D494" s="1"/>
  <c r="H82" i="22"/>
  <c r="I80" i="18" s="1"/>
  <c r="I218" s="1"/>
  <c r="I356" s="1"/>
  <c r="I494" s="1"/>
  <c r="C120" i="22"/>
  <c r="D72" i="18"/>
  <c r="D210" s="1"/>
  <c r="D348" s="1"/>
  <c r="D486" s="1"/>
  <c r="C118" i="22"/>
  <c r="D116" i="18" s="1"/>
  <c r="D254" s="1"/>
  <c r="D392" s="1"/>
  <c r="D530" s="1"/>
  <c r="D70"/>
  <c r="D208" s="1"/>
  <c r="D346" s="1"/>
  <c r="D484" s="1"/>
  <c r="F102" i="22"/>
  <c r="G100" i="18" s="1"/>
  <c r="G238" s="1"/>
  <c r="G376" s="1"/>
  <c r="G514" s="1"/>
  <c r="G54"/>
  <c r="G192" s="1"/>
  <c r="G330" s="1"/>
  <c r="G468" s="1"/>
  <c r="D131"/>
  <c r="D269" s="1"/>
  <c r="D407" s="1"/>
  <c r="D545" s="1"/>
  <c r="D103"/>
  <c r="D241" s="1"/>
  <c r="D379" s="1"/>
  <c r="D517" s="1"/>
  <c r="D135"/>
  <c r="D273" s="1"/>
  <c r="D411" s="1"/>
  <c r="D549" s="1"/>
  <c r="D136" i="22"/>
  <c r="E134" i="18" s="1"/>
  <c r="E272" s="1"/>
  <c r="E410" s="1"/>
  <c r="E548" s="1"/>
  <c r="E88"/>
  <c r="E226" s="1"/>
  <c r="E364" s="1"/>
  <c r="E502" s="1"/>
  <c r="B126" i="22"/>
  <c r="C124" i="18" s="1"/>
  <c r="C262" s="1"/>
  <c r="C400" s="1"/>
  <c r="C538" s="1"/>
  <c r="C78"/>
  <c r="C216" s="1"/>
  <c r="C354" s="1"/>
  <c r="C492" s="1"/>
  <c r="B124" i="22"/>
  <c r="C122" i="18" s="1"/>
  <c r="C260" s="1"/>
  <c r="C398" s="1"/>
  <c r="C536" s="1"/>
  <c r="C76"/>
  <c r="C214" s="1"/>
  <c r="C352" s="1"/>
  <c r="C490" s="1"/>
  <c r="B113" i="22"/>
  <c r="C111" i="18" s="1"/>
  <c r="C249" s="1"/>
  <c r="C387" s="1"/>
  <c r="C525" s="1"/>
  <c r="C65"/>
  <c r="C203" s="1"/>
  <c r="C341" s="1"/>
  <c r="C479" s="1"/>
  <c r="B134" i="22"/>
  <c r="C132" i="18" s="1"/>
  <c r="C270" s="1"/>
  <c r="C408" s="1"/>
  <c r="C546" s="1"/>
  <c r="C86"/>
  <c r="C224" s="1"/>
  <c r="C362" s="1"/>
  <c r="C500" s="1"/>
  <c r="B110" i="22"/>
  <c r="C108" i="18" s="1"/>
  <c r="C246" s="1"/>
  <c r="C384" s="1"/>
  <c r="C522" s="1"/>
  <c r="C62"/>
  <c r="C200" s="1"/>
  <c r="C338" s="1"/>
  <c r="C476" s="1"/>
  <c r="A140" i="22"/>
  <c r="B138" i="18" s="1"/>
  <c r="B276" s="1"/>
  <c r="B414" s="1"/>
  <c r="B552" s="1"/>
  <c r="B92"/>
  <c r="B230" s="1"/>
  <c r="B368" s="1"/>
  <c r="B506" s="1"/>
  <c r="B103" i="22"/>
  <c r="C101" i="18" s="1"/>
  <c r="C239" s="1"/>
  <c r="C377" s="1"/>
  <c r="C515" s="1"/>
  <c r="C55"/>
  <c r="C193" s="1"/>
  <c r="C331" s="1"/>
  <c r="C469" s="1"/>
  <c r="C114" i="22"/>
  <c r="D112" i="18" s="1"/>
  <c r="D250" s="1"/>
  <c r="D388" s="1"/>
  <c r="D526" s="1"/>
  <c r="D66"/>
  <c r="D204" s="1"/>
  <c r="D342" s="1"/>
  <c r="D480" s="1"/>
  <c r="E142" i="22"/>
  <c r="F140" i="18" s="1"/>
  <c r="F278" s="1"/>
  <c r="F416" s="1"/>
  <c r="F554" s="1"/>
  <c r="F94"/>
  <c r="F232" s="1"/>
  <c r="F370" s="1"/>
  <c r="F508" s="1"/>
  <c r="E139" i="22"/>
  <c r="F91" i="18"/>
  <c r="F229" s="1"/>
  <c r="F367" s="1"/>
  <c r="F505" s="1"/>
  <c r="E137" i="22"/>
  <c r="F135" i="18" s="1"/>
  <c r="F273" s="1"/>
  <c r="F411" s="1"/>
  <c r="F549" s="1"/>
  <c r="F89"/>
  <c r="F227" s="1"/>
  <c r="F365" s="1"/>
  <c r="F503" s="1"/>
  <c r="E136" i="22"/>
  <c r="F88" i="18"/>
  <c r="F226" s="1"/>
  <c r="F364" s="1"/>
  <c r="F502" s="1"/>
  <c r="C131" i="22"/>
  <c r="D83" i="18"/>
  <c r="D221" s="1"/>
  <c r="D359" s="1"/>
  <c r="D497" s="1"/>
  <c r="H103" i="22"/>
  <c r="I101" i="18" s="1"/>
  <c r="I239" s="1"/>
  <c r="I377" s="1"/>
  <c r="I515" s="1"/>
  <c r="C130" i="22"/>
  <c r="H117"/>
  <c r="I115" i="18" s="1"/>
  <c r="I253" s="1"/>
  <c r="I391" s="1"/>
  <c r="I529" s="1"/>
  <c r="H53" i="22"/>
  <c r="I51" i="18" s="1"/>
  <c r="I189" s="1"/>
  <c r="I327" s="1"/>
  <c r="I465" s="1"/>
  <c r="C101" i="22"/>
  <c r="H84"/>
  <c r="I82" i="18" s="1"/>
  <c r="I220" s="1"/>
  <c r="I358" s="1"/>
  <c r="I496" s="1"/>
  <c r="H80" i="22"/>
  <c r="I78" i="18" s="1"/>
  <c r="I216" s="1"/>
  <c r="I354" s="1"/>
  <c r="I492" s="1"/>
  <c r="H61" i="22"/>
  <c r="I59" i="18" s="1"/>
  <c r="I197" s="1"/>
  <c r="I335" s="1"/>
  <c r="I473" s="1"/>
  <c r="H121" i="22"/>
  <c r="I119" i="18" s="1"/>
  <c r="I257" s="1"/>
  <c r="I395" s="1"/>
  <c r="I533" s="1"/>
  <c r="D119"/>
  <c r="D257" s="1"/>
  <c r="D395" s="1"/>
  <c r="D533" s="1"/>
  <c r="D127"/>
  <c r="D265" s="1"/>
  <c r="D403" s="1"/>
  <c r="D541" s="1"/>
  <c r="F128" i="22"/>
  <c r="G126" i="18" s="1"/>
  <c r="G264" s="1"/>
  <c r="G402" s="1"/>
  <c r="G540" s="1"/>
  <c r="G80"/>
  <c r="G218" s="1"/>
  <c r="G356" s="1"/>
  <c r="G494" s="1"/>
  <c r="B130" i="22"/>
  <c r="C128" i="18" s="1"/>
  <c r="C266" s="1"/>
  <c r="C404" s="1"/>
  <c r="C542" s="1"/>
  <c r="C82"/>
  <c r="C220" s="1"/>
  <c r="C358" s="1"/>
  <c r="C496" s="1"/>
  <c r="F132" i="22"/>
  <c r="G130" i="18" s="1"/>
  <c r="G268" s="1"/>
  <c r="G406" s="1"/>
  <c r="G544" s="1"/>
  <c r="G84"/>
  <c r="G222" s="1"/>
  <c r="G360" s="1"/>
  <c r="G498" s="1"/>
  <c r="D110" i="22"/>
  <c r="E108" i="18" s="1"/>
  <c r="E246" s="1"/>
  <c r="E384" s="1"/>
  <c r="E522" s="1"/>
  <c r="E62"/>
  <c r="E200" s="1"/>
  <c r="E338" s="1"/>
  <c r="E476" s="1"/>
  <c r="F115" i="22"/>
  <c r="G113" i="18" s="1"/>
  <c r="G251" s="1"/>
  <c r="G389" s="1"/>
  <c r="G527" s="1"/>
  <c r="G67"/>
  <c r="G205" s="1"/>
  <c r="G343" s="1"/>
  <c r="G481" s="1"/>
  <c r="E100" i="22"/>
  <c r="F52" i="18"/>
  <c r="F190" s="1"/>
  <c r="F328" s="1"/>
  <c r="F466" s="1"/>
  <c r="C123" i="22"/>
  <c r="D75" i="18"/>
  <c r="D213" s="1"/>
  <c r="D351" s="1"/>
  <c r="D489" s="1"/>
  <c r="E135" i="22"/>
  <c r="F87" i="18"/>
  <c r="F225" s="1"/>
  <c r="F363" s="1"/>
  <c r="F501" s="1"/>
  <c r="A135" i="22"/>
  <c r="B133" i="18" s="1"/>
  <c r="B271" s="1"/>
  <c r="B409" s="1"/>
  <c r="B547" s="1"/>
  <c r="B87"/>
  <c r="B225" s="1"/>
  <c r="B363" s="1"/>
  <c r="B501" s="1"/>
  <c r="D100" i="22"/>
  <c r="E98" i="18" s="1"/>
  <c r="E236" s="1"/>
  <c r="E374" s="1"/>
  <c r="E512" s="1"/>
  <c r="E52"/>
  <c r="E190" s="1"/>
  <c r="E328" s="1"/>
  <c r="E466" s="1"/>
  <c r="C119" i="22"/>
  <c r="D71" i="18"/>
  <c r="D209" s="1"/>
  <c r="D347" s="1"/>
  <c r="D485" s="1"/>
  <c r="E143" i="22"/>
  <c r="F95" i="18"/>
  <c r="F233" s="1"/>
  <c r="F371" s="1"/>
  <c r="F509" s="1"/>
  <c r="A139" i="22"/>
  <c r="B137" i="18" s="1"/>
  <c r="B275" s="1"/>
  <c r="B413" s="1"/>
  <c r="B551" s="1"/>
  <c r="B91"/>
  <c r="B229" s="1"/>
  <c r="B367" s="1"/>
  <c r="B505" s="1"/>
  <c r="H110" i="22"/>
  <c r="I108" i="18" s="1"/>
  <c r="I246" s="1"/>
  <c r="I384" s="1"/>
  <c r="I522" s="1"/>
  <c r="F108"/>
  <c r="F246" s="1"/>
  <c r="F384" s="1"/>
  <c r="F522" s="1"/>
  <c r="H99" i="22"/>
  <c r="I97" i="18" s="1"/>
  <c r="I235" s="1"/>
  <c r="I373" s="1"/>
  <c r="I511" s="1"/>
  <c r="H142" i="22"/>
  <c r="I140" i="18" s="1"/>
  <c r="I278" s="1"/>
  <c r="I416" s="1"/>
  <c r="I554" s="1"/>
  <c r="D140"/>
  <c r="D278" s="1"/>
  <c r="D416" s="1"/>
  <c r="D554" s="1"/>
  <c r="H126" i="22"/>
  <c r="I124" i="18" s="1"/>
  <c r="I262" s="1"/>
  <c r="I400" s="1"/>
  <c r="I538" s="1"/>
  <c r="D124"/>
  <c r="D262" s="1"/>
  <c r="D400" s="1"/>
  <c r="D538" s="1"/>
  <c r="B131" i="22"/>
  <c r="C129" i="18" s="1"/>
  <c r="C267" s="1"/>
  <c r="C405" s="1"/>
  <c r="C543" s="1"/>
  <c r="C83"/>
  <c r="C221" s="1"/>
  <c r="C359" s="1"/>
  <c r="C497" s="1"/>
  <c r="F114" i="22"/>
  <c r="G112" i="18" s="1"/>
  <c r="G250" s="1"/>
  <c r="G388" s="1"/>
  <c r="G526" s="1"/>
  <c r="G66"/>
  <c r="G204" s="1"/>
  <c r="G342" s="1"/>
  <c r="G480" s="1"/>
  <c r="F133" i="22"/>
  <c r="G131" i="18" s="1"/>
  <c r="G269" s="1"/>
  <c r="G407" s="1"/>
  <c r="G545" s="1"/>
  <c r="G85"/>
  <c r="G223" s="1"/>
  <c r="G361" s="1"/>
  <c r="G499" s="1"/>
  <c r="B112" i="22"/>
  <c r="C110" i="18" s="1"/>
  <c r="C248" s="1"/>
  <c r="C386" s="1"/>
  <c r="C524" s="1"/>
  <c r="C64"/>
  <c r="C202" s="1"/>
  <c r="C340" s="1"/>
  <c r="C478" s="1"/>
  <c r="F118" i="22"/>
  <c r="G116" i="18" s="1"/>
  <c r="G254" s="1"/>
  <c r="G392" s="1"/>
  <c r="G530" s="1"/>
  <c r="G70"/>
  <c r="G208" s="1"/>
  <c r="G346" s="1"/>
  <c r="G484" s="1"/>
  <c r="A143" i="22"/>
  <c r="B141" i="18" s="1"/>
  <c r="B279" s="1"/>
  <c r="B417" s="1"/>
  <c r="B555" s="1"/>
  <c r="B95"/>
  <c r="B233" s="1"/>
  <c r="B371" s="1"/>
  <c r="B509" s="1"/>
  <c r="A141" i="22"/>
  <c r="B139" i="18" s="1"/>
  <c r="B277" s="1"/>
  <c r="B415" s="1"/>
  <c r="B553" s="1"/>
  <c r="B93"/>
  <c r="B231" s="1"/>
  <c r="B369" s="1"/>
  <c r="B507" s="1"/>
  <c r="C132" i="22"/>
  <c r="D84" i="18"/>
  <c r="D222" s="1"/>
  <c r="D360" s="1"/>
  <c r="D498" s="1"/>
  <c r="E106" i="22"/>
  <c r="F58" i="18"/>
  <c r="F196" s="1"/>
  <c r="F334" s="1"/>
  <c r="F472" s="1"/>
  <c r="B105" i="22"/>
  <c r="C103" i="18" s="1"/>
  <c r="C241" s="1"/>
  <c r="C379" s="1"/>
  <c r="C517" s="1"/>
  <c r="C57"/>
  <c r="C195" s="1"/>
  <c r="C333" s="1"/>
  <c r="C471" s="1"/>
  <c r="H134" i="22"/>
  <c r="I132" i="18" s="1"/>
  <c r="I270" s="1"/>
  <c r="I408" s="1"/>
  <c r="I546" s="1"/>
  <c r="D132"/>
  <c r="D270" s="1"/>
  <c r="D408" s="1"/>
  <c r="D546" s="1"/>
  <c r="D136"/>
  <c r="D274" s="1"/>
  <c r="D412" s="1"/>
  <c r="D550" s="1"/>
  <c r="F116"/>
  <c r="F254" s="1"/>
  <c r="F392" s="1"/>
  <c r="F530" s="1"/>
  <c r="H111" i="22"/>
  <c r="I109" i="18" s="1"/>
  <c r="I247" s="1"/>
  <c r="I385" s="1"/>
  <c r="I523" s="1"/>
  <c r="F109"/>
  <c r="F247" s="1"/>
  <c r="F385" s="1"/>
  <c r="F523" s="1"/>
  <c r="H114" i="22"/>
  <c r="I112" i="18" s="1"/>
  <c r="I250" s="1"/>
  <c r="I388" s="1"/>
  <c r="I526" s="1"/>
  <c r="F112"/>
  <c r="F250" s="1"/>
  <c r="F388" s="1"/>
  <c r="F526" s="1"/>
  <c r="F113"/>
  <c r="F251" s="1"/>
  <c r="F389" s="1"/>
  <c r="F527" s="1"/>
  <c r="A102" i="22"/>
  <c r="B100" i="18" s="1"/>
  <c r="B238" s="1"/>
  <c r="B376" s="1"/>
  <c r="B514" s="1"/>
  <c r="B54"/>
  <c r="B192" s="1"/>
  <c r="B330" s="1"/>
  <c r="B468" s="1"/>
  <c r="B127" i="22"/>
  <c r="C125" i="18" s="1"/>
  <c r="C263" s="1"/>
  <c r="C401" s="1"/>
  <c r="C539" s="1"/>
  <c r="C79"/>
  <c r="C217" s="1"/>
  <c r="C355" s="1"/>
  <c r="C493" s="1"/>
  <c r="F129" i="22"/>
  <c r="G127" i="18" s="1"/>
  <c r="G265" s="1"/>
  <c r="G403" s="1"/>
  <c r="G541" s="1"/>
  <c r="G81"/>
  <c r="G219" s="1"/>
  <c r="G357" s="1"/>
  <c r="G495" s="1"/>
  <c r="B116" i="22"/>
  <c r="C114" i="18" s="1"/>
  <c r="C252" s="1"/>
  <c r="C390" s="1"/>
  <c r="C528" s="1"/>
  <c r="C68"/>
  <c r="C206" s="1"/>
  <c r="C344" s="1"/>
  <c r="C482" s="1"/>
  <c r="B108" i="22"/>
  <c r="C106" i="18" s="1"/>
  <c r="C244" s="1"/>
  <c r="C382" s="1"/>
  <c r="C520" s="1"/>
  <c r="C60"/>
  <c r="C198" s="1"/>
  <c r="C336" s="1"/>
  <c r="C474" s="1"/>
  <c r="A100" i="22"/>
  <c r="B98" i="18" s="1"/>
  <c r="B236" s="1"/>
  <c r="B374" s="1"/>
  <c r="B512" s="1"/>
  <c r="B52"/>
  <c r="B190" s="1"/>
  <c r="B328" s="1"/>
  <c r="B466" s="1"/>
  <c r="A144" i="22"/>
  <c r="B142" i="18" s="1"/>
  <c r="B280" s="1"/>
  <c r="B418" s="1"/>
  <c r="B556" s="1"/>
  <c r="B96"/>
  <c r="B234" s="1"/>
  <c r="B372" s="1"/>
  <c r="B510" s="1"/>
  <c r="A142" i="22"/>
  <c r="B140" i="18" s="1"/>
  <c r="B278" s="1"/>
  <c r="B416" s="1"/>
  <c r="B554" s="1"/>
  <c r="B94"/>
  <c r="B232" s="1"/>
  <c r="B370" s="1"/>
  <c r="B508" s="1"/>
  <c r="E140" i="22"/>
  <c r="F92" i="18"/>
  <c r="F230" s="1"/>
  <c r="F368" s="1"/>
  <c r="F506" s="1"/>
  <c r="E138" i="22"/>
  <c r="F136" i="18" s="1"/>
  <c r="F274" s="1"/>
  <c r="F412" s="1"/>
  <c r="F550" s="1"/>
  <c r="F90"/>
  <c r="F228" s="1"/>
  <c r="F366" s="1"/>
  <c r="F504" s="1"/>
  <c r="C127" i="22"/>
  <c r="D79" i="18"/>
  <c r="D217" s="1"/>
  <c r="D355" s="1"/>
  <c r="D493" s="1"/>
  <c r="C117" i="22"/>
  <c r="D115" i="18" s="1"/>
  <c r="D253" s="1"/>
  <c r="D391" s="1"/>
  <c r="D529" s="1"/>
  <c r="D69"/>
  <c r="D207" s="1"/>
  <c r="D345" s="1"/>
  <c r="D483" s="1"/>
  <c r="D62"/>
  <c r="D200" s="1"/>
  <c r="D338" s="1"/>
  <c r="D476" s="1"/>
  <c r="C110" i="22"/>
  <c r="D108" i="18" s="1"/>
  <c r="D246" s="1"/>
  <c r="D384" s="1"/>
  <c r="D522" s="1"/>
  <c r="A106" i="22"/>
  <c r="B104" i="18" s="1"/>
  <c r="B242" s="1"/>
  <c r="B380" s="1"/>
  <c r="B518" s="1"/>
  <c r="B58"/>
  <c r="B196" s="1"/>
  <c r="B334" s="1"/>
  <c r="B472" s="1"/>
  <c r="B104" i="22"/>
  <c r="C102" i="18" s="1"/>
  <c r="C240" s="1"/>
  <c r="C378" s="1"/>
  <c r="C516" s="1"/>
  <c r="C56"/>
  <c r="C194" s="1"/>
  <c r="C332" s="1"/>
  <c r="C470" s="1"/>
  <c r="F105" i="22"/>
  <c r="G103" i="18" s="1"/>
  <c r="G241" s="1"/>
  <c r="G379" s="1"/>
  <c r="G517" s="1"/>
  <c r="G57"/>
  <c r="G195" s="1"/>
  <c r="G333" s="1"/>
  <c r="G471" s="1"/>
  <c r="C113" i="22"/>
  <c r="D111" i="18" s="1"/>
  <c r="D249" s="1"/>
  <c r="D387" s="1"/>
  <c r="D525" s="1"/>
  <c r="D65"/>
  <c r="D203" s="1"/>
  <c r="D341" s="1"/>
  <c r="D479" s="1"/>
  <c r="D107" i="22"/>
  <c r="E105" i="18" s="1"/>
  <c r="E243" s="1"/>
  <c r="E381" s="1"/>
  <c r="E519" s="1"/>
  <c r="E59"/>
  <c r="E197" s="1"/>
  <c r="E335" s="1"/>
  <c r="E473" s="1"/>
  <c r="B102" i="22"/>
  <c r="C100" i="18" s="1"/>
  <c r="C238" s="1"/>
  <c r="C376" s="1"/>
  <c r="C514" s="1"/>
  <c r="C54"/>
  <c r="C192" s="1"/>
  <c r="C330" s="1"/>
  <c r="C468" s="1"/>
  <c r="H89" i="22"/>
  <c r="I87" i="18" s="1"/>
  <c r="I225" s="1"/>
  <c r="I363" s="1"/>
  <c r="I501" s="1"/>
  <c r="H73" i="22"/>
  <c r="I71" i="18" s="1"/>
  <c r="I209" s="1"/>
  <c r="I347" s="1"/>
  <c r="I485" s="1"/>
  <c r="H54" i="22"/>
  <c r="I52" i="18" s="1"/>
  <c r="I190" s="1"/>
  <c r="I328" s="1"/>
  <c r="I466" s="1"/>
  <c r="H77" i="22"/>
  <c r="I75" i="18" s="1"/>
  <c r="I213" s="1"/>
  <c r="I351" s="1"/>
  <c r="I489" s="1"/>
  <c r="H144" i="22"/>
  <c r="I142" i="18" s="1"/>
  <c r="I280" s="1"/>
  <c r="I418" s="1"/>
  <c r="I556" s="1"/>
  <c r="H74" i="22"/>
  <c r="I72" i="18" s="1"/>
  <c r="I210" s="1"/>
  <c r="I348" s="1"/>
  <c r="I486" s="1"/>
  <c r="H62" i="22"/>
  <c r="I60" i="18" s="1"/>
  <c r="I198" s="1"/>
  <c r="I336" s="1"/>
  <c r="I474" s="1"/>
  <c r="H75" i="22"/>
  <c r="I73" i="18" s="1"/>
  <c r="I211" s="1"/>
  <c r="I349" s="1"/>
  <c r="I487" s="1"/>
  <c r="H95" i="22"/>
  <c r="I93" i="18" s="1"/>
  <c r="I231" s="1"/>
  <c r="I369" s="1"/>
  <c r="I507" s="1"/>
  <c r="H113" i="22"/>
  <c r="I111" i="18" s="1"/>
  <c r="I249" s="1"/>
  <c r="I387" s="1"/>
  <c r="I525" s="1"/>
  <c r="L134" i="23"/>
  <c r="H56" i="22"/>
  <c r="I54" i="18" s="1"/>
  <c r="I192" s="1"/>
  <c r="I330" s="1"/>
  <c r="I468" s="1"/>
  <c r="C102" i="22"/>
  <c r="E116"/>
  <c r="H70"/>
  <c r="I68" i="18" s="1"/>
  <c r="I206" s="1"/>
  <c r="I344" s="1"/>
  <c r="I482" s="1"/>
  <c r="H66" i="22"/>
  <c r="I64" i="18" s="1"/>
  <c r="I202" s="1"/>
  <c r="I340" s="1"/>
  <c r="I478" s="1"/>
  <c r="E112" i="22"/>
  <c r="H107" l="1"/>
  <c r="I105" i="18" s="1"/>
  <c r="I243" s="1"/>
  <c r="I381" s="1"/>
  <c r="I519" s="1"/>
  <c r="H105" i="22"/>
  <c r="I103" i="18" s="1"/>
  <c r="I241" s="1"/>
  <c r="I379" s="1"/>
  <c r="I517" s="1"/>
  <c r="H118" i="22"/>
  <c r="I116" i="18" s="1"/>
  <c r="I254" s="1"/>
  <c r="I392" s="1"/>
  <c r="I530" s="1"/>
  <c r="D125"/>
  <c r="D263" s="1"/>
  <c r="D401" s="1"/>
  <c r="D539" s="1"/>
  <c r="H127" i="22"/>
  <c r="I125" i="18" s="1"/>
  <c r="I263" s="1"/>
  <c r="I401" s="1"/>
  <c r="I539" s="1"/>
  <c r="F138"/>
  <c r="F276" s="1"/>
  <c r="F414" s="1"/>
  <c r="F552" s="1"/>
  <c r="H140" i="22"/>
  <c r="I138" i="18" s="1"/>
  <c r="I276" s="1"/>
  <c r="I414" s="1"/>
  <c r="I552" s="1"/>
  <c r="H119" i="22"/>
  <c r="I117" i="18" s="1"/>
  <c r="I255" s="1"/>
  <c r="I393" s="1"/>
  <c r="I531" s="1"/>
  <c r="D117"/>
  <c r="D255" s="1"/>
  <c r="D393" s="1"/>
  <c r="D531" s="1"/>
  <c r="F134"/>
  <c r="F272" s="1"/>
  <c r="F410" s="1"/>
  <c r="F548" s="1"/>
  <c r="H136" i="22"/>
  <c r="I134" i="18" s="1"/>
  <c r="I272" s="1"/>
  <c r="I410" s="1"/>
  <c r="I548" s="1"/>
  <c r="F137"/>
  <c r="F275" s="1"/>
  <c r="F413" s="1"/>
  <c r="F551" s="1"/>
  <c r="H139" i="22"/>
  <c r="I137" i="18" s="1"/>
  <c r="I275" s="1"/>
  <c r="I413" s="1"/>
  <c r="I551" s="1"/>
  <c r="D118"/>
  <c r="D256" s="1"/>
  <c r="D394" s="1"/>
  <c r="D532" s="1"/>
  <c r="H120" i="22"/>
  <c r="I118" i="18" s="1"/>
  <c r="I256" s="1"/>
  <c r="I394" s="1"/>
  <c r="I532" s="1"/>
  <c r="D106"/>
  <c r="D244" s="1"/>
  <c r="D382" s="1"/>
  <c r="D520" s="1"/>
  <c r="H108" i="22"/>
  <c r="I106" i="18" s="1"/>
  <c r="I244" s="1"/>
  <c r="I382" s="1"/>
  <c r="I520" s="1"/>
  <c r="H130" i="22"/>
  <c r="I128" i="18" s="1"/>
  <c r="I266" s="1"/>
  <c r="I404" s="1"/>
  <c r="I542" s="1"/>
  <c r="D128"/>
  <c r="D266" s="1"/>
  <c r="D404" s="1"/>
  <c r="D542" s="1"/>
  <c r="H112" i="22"/>
  <c r="I110" i="18" s="1"/>
  <c r="I248" s="1"/>
  <c r="I386" s="1"/>
  <c r="I524" s="1"/>
  <c r="F110"/>
  <c r="F248" s="1"/>
  <c r="F386" s="1"/>
  <c r="F524" s="1"/>
  <c r="H102" i="22"/>
  <c r="I100" i="18" s="1"/>
  <c r="I238" s="1"/>
  <c r="I376" s="1"/>
  <c r="I514" s="1"/>
  <c r="D100"/>
  <c r="D238" s="1"/>
  <c r="D376" s="1"/>
  <c r="D514" s="1"/>
  <c r="D130"/>
  <c r="D268" s="1"/>
  <c r="D406" s="1"/>
  <c r="D544" s="1"/>
  <c r="H132" i="22"/>
  <c r="I130" i="18" s="1"/>
  <c r="I268" s="1"/>
  <c r="I406" s="1"/>
  <c r="I544" s="1"/>
  <c r="F141"/>
  <c r="F279" s="1"/>
  <c r="F417" s="1"/>
  <c r="F555" s="1"/>
  <c r="H143" i="22"/>
  <c r="I141" i="18" s="1"/>
  <c r="I279" s="1"/>
  <c r="I417" s="1"/>
  <c r="I555" s="1"/>
  <c r="F133"/>
  <c r="F271" s="1"/>
  <c r="F409" s="1"/>
  <c r="F547" s="1"/>
  <c r="H135" i="22"/>
  <c r="I133" i="18" s="1"/>
  <c r="I271" s="1"/>
  <c r="I409" s="1"/>
  <c r="I547" s="1"/>
  <c r="F98"/>
  <c r="F236" s="1"/>
  <c r="F374" s="1"/>
  <c r="F512" s="1"/>
  <c r="H100" i="22"/>
  <c r="I98" i="18" s="1"/>
  <c r="I236" s="1"/>
  <c r="I374" s="1"/>
  <c r="I512" s="1"/>
  <c r="D129"/>
  <c r="D267" s="1"/>
  <c r="D405" s="1"/>
  <c r="D543" s="1"/>
  <c r="H131" i="22"/>
  <c r="I129" i="18" s="1"/>
  <c r="I267" s="1"/>
  <c r="I405" s="1"/>
  <c r="I543" s="1"/>
  <c r="D122"/>
  <c r="D260" s="1"/>
  <c r="D398" s="1"/>
  <c r="D536" s="1"/>
  <c r="H124" i="22"/>
  <c r="I122" i="18" s="1"/>
  <c r="I260" s="1"/>
  <c r="I398" s="1"/>
  <c r="I536" s="1"/>
  <c r="H115" i="22"/>
  <c r="I113" i="18" s="1"/>
  <c r="I251" s="1"/>
  <c r="I389" s="1"/>
  <c r="I527" s="1"/>
  <c r="H138" i="22"/>
  <c r="I136" i="18" s="1"/>
  <c r="I274" s="1"/>
  <c r="I412" s="1"/>
  <c r="I550" s="1"/>
  <c r="H129" i="22"/>
  <c r="I127" i="18" s="1"/>
  <c r="I265" s="1"/>
  <c r="I403" s="1"/>
  <c r="I541" s="1"/>
  <c r="H137" i="22"/>
  <c r="I135" i="18" s="1"/>
  <c r="I273" s="1"/>
  <c r="I411" s="1"/>
  <c r="I549" s="1"/>
  <c r="H133" i="22"/>
  <c r="I131" i="18" s="1"/>
  <c r="I269" s="1"/>
  <c r="I407" s="1"/>
  <c r="I545" s="1"/>
  <c r="H141" i="22"/>
  <c r="I139" i="18" s="1"/>
  <c r="I277" s="1"/>
  <c r="I415" s="1"/>
  <c r="I553" s="1"/>
  <c r="F104"/>
  <c r="F242" s="1"/>
  <c r="F380" s="1"/>
  <c r="F518" s="1"/>
  <c r="H106" i="22"/>
  <c r="I104" i="18" s="1"/>
  <c r="I242" s="1"/>
  <c r="I380" s="1"/>
  <c r="I518" s="1"/>
  <c r="H123" i="22"/>
  <c r="I121" i="18" s="1"/>
  <c r="I259" s="1"/>
  <c r="I397" s="1"/>
  <c r="I535" s="1"/>
  <c r="D121"/>
  <c r="D259" s="1"/>
  <c r="D397" s="1"/>
  <c r="D535" s="1"/>
  <c r="H101" i="22"/>
  <c r="I99" i="18" s="1"/>
  <c r="I237" s="1"/>
  <c r="I375" s="1"/>
  <c r="I513" s="1"/>
  <c r="D99"/>
  <c r="D237" s="1"/>
  <c r="D375" s="1"/>
  <c r="D513" s="1"/>
  <c r="D126"/>
  <c r="D264" s="1"/>
  <c r="D402" s="1"/>
  <c r="D540" s="1"/>
  <c r="H128" i="22"/>
  <c r="I126" i="18" s="1"/>
  <c r="I264" s="1"/>
  <c r="I402" s="1"/>
  <c r="I540" s="1"/>
  <c r="H116" i="22"/>
  <c r="I114" i="18" s="1"/>
  <c r="I252" s="1"/>
  <c r="I390" s="1"/>
  <c r="I528" s="1"/>
  <c r="F114"/>
  <c r="F252" s="1"/>
  <c r="F390" s="1"/>
  <c r="F528" s="1"/>
  <c r="G42" i="20"/>
  <c r="G41"/>
  <c r="G40"/>
  <c r="G39"/>
  <c r="G38"/>
  <c r="G37"/>
  <c r="G36"/>
  <c r="H35"/>
  <c r="G35"/>
  <c r="H34"/>
  <c r="G34"/>
  <c r="H33"/>
  <c r="G33"/>
  <c r="G29"/>
  <c r="G28"/>
  <c r="G27"/>
  <c r="G26"/>
  <c r="G25"/>
  <c r="G24"/>
  <c r="G23"/>
  <c r="H22"/>
  <c r="G22"/>
  <c r="H21"/>
  <c r="G21"/>
  <c r="H20"/>
  <c r="G20"/>
  <c r="B14"/>
  <c r="F5"/>
  <c r="C5"/>
  <c r="D5" s="1"/>
  <c r="G4"/>
  <c r="D4"/>
  <c r="D3"/>
  <c r="G2"/>
  <c r="D2"/>
  <c r="C8" i="1" l="1"/>
  <c r="D8" s="1"/>
  <c r="C9"/>
  <c r="D9" s="1"/>
  <c r="C10"/>
  <c r="D10" s="1"/>
  <c r="C11"/>
  <c r="C12"/>
  <c r="C13"/>
  <c r="D13" s="1"/>
  <c r="C14"/>
  <c r="C15"/>
  <c r="C16"/>
  <c r="D16" s="1"/>
  <c r="C17"/>
  <c r="C18"/>
  <c r="C19"/>
  <c r="C20"/>
  <c r="C21"/>
  <c r="D21" s="1"/>
  <c r="C22"/>
  <c r="D22" s="1"/>
  <c r="C23"/>
  <c r="B235"/>
  <c r="B234"/>
  <c r="B233"/>
  <c r="B232"/>
  <c r="B231"/>
  <c r="B119" i="3" s="1"/>
  <c r="B230" i="1"/>
  <c r="B118" i="3" s="1"/>
  <c r="B229" i="1"/>
  <c r="B228"/>
  <c r="B227"/>
  <c r="B115" i="3" s="1"/>
  <c r="B226" i="1"/>
  <c r="B225"/>
  <c r="B224"/>
  <c r="B223"/>
  <c r="B114" i="3" s="1"/>
  <c r="B222" i="1"/>
  <c r="B221"/>
  <c r="B220"/>
  <c r="B219"/>
  <c r="B111" i="3" s="1"/>
  <c r="B218" i="1"/>
  <c r="B110" i="3" s="1"/>
  <c r="B217" i="1"/>
  <c r="B216"/>
  <c r="B215"/>
  <c r="B214"/>
  <c r="B213"/>
  <c r="B212"/>
  <c r="B211"/>
  <c r="B105" i="3" s="1"/>
  <c r="B210" i="1"/>
  <c r="B104" i="3" s="1"/>
  <c r="B209" i="1"/>
  <c r="B208"/>
  <c r="B207"/>
  <c r="B206"/>
  <c r="B205"/>
  <c r="B204"/>
  <c r="B203"/>
  <c r="B202"/>
  <c r="B201"/>
  <c r="B200"/>
  <c r="B199"/>
  <c r="B97" i="3" s="1"/>
  <c r="B198" i="1"/>
  <c r="B96" i="3" s="1"/>
  <c r="B197" i="1"/>
  <c r="B196"/>
  <c r="B195"/>
  <c r="B95" i="3" s="1"/>
  <c r="B194" i="1"/>
  <c r="B94" i="3" s="1"/>
  <c r="B193" i="1"/>
  <c r="B192"/>
  <c r="B191"/>
  <c r="B91" i="3" s="1"/>
  <c r="B190" i="1"/>
  <c r="B189"/>
  <c r="B188"/>
  <c r="B187"/>
  <c r="B186"/>
  <c r="B185"/>
  <c r="B184"/>
  <c r="B183"/>
  <c r="B86" i="3" s="1"/>
  <c r="B182" i="1"/>
  <c r="B181"/>
  <c r="B180"/>
  <c r="B179"/>
  <c r="B83" i="3" s="1"/>
  <c r="B178" i="1"/>
  <c r="B177"/>
  <c r="B176"/>
  <c r="B175"/>
  <c r="B81" i="3" s="1"/>
  <c r="B174" i="1"/>
  <c r="B80" i="3" s="1"/>
  <c r="B173" i="1"/>
  <c r="B172"/>
  <c r="B171"/>
  <c r="B77" i="3" s="1"/>
  <c r="B170" i="1"/>
  <c r="B76" i="3" s="1"/>
  <c r="B169" i="1"/>
  <c r="B168"/>
  <c r="B167"/>
  <c r="B166"/>
  <c r="B165"/>
  <c r="B164"/>
  <c r="B163"/>
  <c r="B162"/>
  <c r="B161"/>
  <c r="B160"/>
  <c r="B159"/>
  <c r="B158"/>
  <c r="B157"/>
  <c r="B156"/>
  <c r="B155"/>
  <c r="B67" i="3" s="1"/>
  <c r="B154" i="1"/>
  <c r="B66" i="3" s="1"/>
  <c r="B153" i="1"/>
  <c r="B152"/>
  <c r="B151"/>
  <c r="B63" i="3" s="1"/>
  <c r="B150" i="1"/>
  <c r="B149"/>
  <c r="B148"/>
  <c r="B147"/>
  <c r="B146"/>
  <c r="B145"/>
  <c r="B144"/>
  <c r="B143"/>
  <c r="B59" i="3" s="1"/>
  <c r="B142" i="1"/>
  <c r="B58" i="3" s="1"/>
  <c r="B141" i="1"/>
  <c r="B140"/>
  <c r="B139"/>
  <c r="B138"/>
  <c r="B137"/>
  <c r="B136"/>
  <c r="B135"/>
  <c r="B53" i="3" s="1"/>
  <c r="B134" i="1"/>
  <c r="B52" i="3" s="1"/>
  <c r="B133" i="1"/>
  <c r="B132"/>
  <c r="B131"/>
  <c r="B130"/>
  <c r="B129"/>
  <c r="B128"/>
  <c r="B127"/>
  <c r="B48" i="3" s="1"/>
  <c r="B126" i="1"/>
  <c r="B125"/>
  <c r="B124"/>
  <c r="B123"/>
  <c r="B45" i="3" s="1"/>
  <c r="B122" i="1"/>
  <c r="B44" i="3" s="1"/>
  <c r="B121" i="1"/>
  <c r="B120"/>
  <c r="B119"/>
  <c r="B43" i="3" s="1"/>
  <c r="B118" i="1"/>
  <c r="B42" i="3" s="1"/>
  <c r="B117" i="1"/>
  <c r="B116"/>
  <c r="B115"/>
  <c r="B39" i="3" s="1"/>
  <c r="B114" i="1"/>
  <c r="B113"/>
  <c r="B112"/>
  <c r="B111"/>
  <c r="B110"/>
  <c r="B109"/>
  <c r="B108"/>
  <c r="B107"/>
  <c r="B106"/>
  <c r="B105"/>
  <c r="B104"/>
  <c r="B103"/>
  <c r="B31" i="3" s="1"/>
  <c r="B102" i="1"/>
  <c r="B101"/>
  <c r="B100"/>
  <c r="B99"/>
  <c r="B29" i="3" s="1"/>
  <c r="B98" i="1"/>
  <c r="B28" i="3" s="1"/>
  <c r="B97" i="1"/>
  <c r="B96"/>
  <c r="B95"/>
  <c r="B25" i="3" s="1"/>
  <c r="B94" i="1"/>
  <c r="B24" i="3" s="1"/>
  <c r="B93" i="1"/>
  <c r="B92"/>
  <c r="B91"/>
  <c r="B90"/>
  <c r="B89"/>
  <c r="B88"/>
  <c r="B87"/>
  <c r="B86"/>
  <c r="B85"/>
  <c r="B84"/>
  <c r="B83"/>
  <c r="B82"/>
  <c r="B81"/>
  <c r="B80"/>
  <c r="B79"/>
  <c r="B15" i="3" s="1"/>
  <c r="B78" i="1"/>
  <c r="B14" i="3" s="1"/>
  <c r="B77" i="1"/>
  <c r="B76"/>
  <c r="B75"/>
  <c r="B11" i="3" s="1"/>
  <c r="B74" i="1"/>
  <c r="B73"/>
  <c r="B72"/>
  <c r="B71"/>
  <c r="B10" i="3" s="1"/>
  <c r="B70" i="1"/>
  <c r="B69"/>
  <c r="B68"/>
  <c r="B67"/>
  <c r="B7" i="3" s="1"/>
  <c r="B66" i="1"/>
  <c r="B6" i="3" s="1"/>
  <c r="B65" i="1"/>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C235"/>
  <c r="D235" s="1"/>
  <c r="C234"/>
  <c r="C233"/>
  <c r="C232"/>
  <c r="C231"/>
  <c r="C230"/>
  <c r="D230" s="1"/>
  <c r="C229"/>
  <c r="C228"/>
  <c r="C227"/>
  <c r="C226"/>
  <c r="D226" s="1"/>
  <c r="C225"/>
  <c r="D225" s="1"/>
  <c r="C224"/>
  <c r="C223"/>
  <c r="C222"/>
  <c r="D222" s="1"/>
  <c r="C221"/>
  <c r="D221" s="1"/>
  <c r="C220"/>
  <c r="C219"/>
  <c r="C218"/>
  <c r="C217"/>
  <c r="C216"/>
  <c r="D216" s="1"/>
  <c r="C215"/>
  <c r="C214"/>
  <c r="C213"/>
  <c r="C212"/>
  <c r="C211"/>
  <c r="D211" s="1"/>
  <c r="C210"/>
  <c r="C209"/>
  <c r="C208"/>
  <c r="C207"/>
  <c r="C206"/>
  <c r="C205"/>
  <c r="C204"/>
  <c r="C203"/>
  <c r="D203" s="1"/>
  <c r="C202"/>
  <c r="C201"/>
  <c r="C200"/>
  <c r="D200" s="1"/>
  <c r="C199"/>
  <c r="D199" s="1"/>
  <c r="C198"/>
  <c r="D198" s="1"/>
  <c r="C197"/>
  <c r="D197" s="1"/>
  <c r="C196"/>
  <c r="C195"/>
  <c r="D195" s="1"/>
  <c r="C194"/>
  <c r="C193"/>
  <c r="D193" s="1"/>
  <c r="C192"/>
  <c r="C191"/>
  <c r="C190"/>
  <c r="C189"/>
  <c r="D189" s="1"/>
  <c r="C188"/>
  <c r="C187"/>
  <c r="D187" s="1"/>
  <c r="C186"/>
  <c r="C185"/>
  <c r="C184"/>
  <c r="C183"/>
  <c r="C182"/>
  <c r="C181"/>
  <c r="D181" s="1"/>
  <c r="C180"/>
  <c r="C179"/>
  <c r="C178"/>
  <c r="C177"/>
  <c r="D177" s="1"/>
  <c r="C176"/>
  <c r="C175"/>
  <c r="C174"/>
  <c r="D174" s="1"/>
  <c r="C173"/>
  <c r="C172"/>
  <c r="C171"/>
  <c r="C170"/>
  <c r="D170" s="1"/>
  <c r="C169"/>
  <c r="D169" s="1"/>
  <c r="C168"/>
  <c r="C167"/>
  <c r="C166"/>
  <c r="D166" s="1"/>
  <c r="C165"/>
  <c r="D165" s="1"/>
  <c r="C164"/>
  <c r="C163"/>
  <c r="C162"/>
  <c r="C161"/>
  <c r="D161" s="1"/>
  <c r="C160"/>
  <c r="C159"/>
  <c r="D159" s="1"/>
  <c r="C158"/>
  <c r="D158" s="1"/>
  <c r="C157"/>
  <c r="D157" s="1"/>
  <c r="C156"/>
  <c r="C155"/>
  <c r="D155" s="1"/>
  <c r="C154"/>
  <c r="D154" s="1"/>
  <c r="C153"/>
  <c r="D153" s="1"/>
  <c r="C152"/>
  <c r="C151"/>
  <c r="D151" s="1"/>
  <c r="C150"/>
  <c r="C149"/>
  <c r="D149" s="1"/>
  <c r="C148"/>
  <c r="C147"/>
  <c r="D147" s="1"/>
  <c r="C146"/>
  <c r="C145"/>
  <c r="C144"/>
  <c r="C143"/>
  <c r="D143" s="1"/>
  <c r="C142"/>
  <c r="D142" s="1"/>
  <c r="C141"/>
  <c r="D141" s="1"/>
  <c r="C140"/>
  <c r="D140" s="1"/>
  <c r="C139"/>
  <c r="D139" s="1"/>
  <c r="C138"/>
  <c r="C137"/>
  <c r="D137" s="1"/>
  <c r="C136"/>
  <c r="C135"/>
  <c r="C134"/>
  <c r="C133"/>
  <c r="D133" s="1"/>
  <c r="C132"/>
  <c r="D132" s="1"/>
  <c r="C131"/>
  <c r="C130"/>
  <c r="C129"/>
  <c r="D129" s="1"/>
  <c r="C128"/>
  <c r="D128" s="1"/>
  <c r="C127"/>
  <c r="C126"/>
  <c r="C125"/>
  <c r="D125" s="1"/>
  <c r="C124"/>
  <c r="D124" s="1"/>
  <c r="C123"/>
  <c r="D123" s="1"/>
  <c r="D45" i="3" s="1"/>
  <c r="C122" i="1"/>
  <c r="C121"/>
  <c r="D121" s="1"/>
  <c r="C120"/>
  <c r="C119"/>
  <c r="C118"/>
  <c r="C117"/>
  <c r="D117" s="1"/>
  <c r="C116"/>
  <c r="D116" s="1"/>
  <c r="C115"/>
  <c r="C114"/>
  <c r="C113"/>
  <c r="C112"/>
  <c r="D112" s="1"/>
  <c r="C111"/>
  <c r="C110"/>
  <c r="C109"/>
  <c r="D109" s="1"/>
  <c r="C108"/>
  <c r="C107"/>
  <c r="C106"/>
  <c r="C105"/>
  <c r="D105" s="1"/>
  <c r="C104"/>
  <c r="C103"/>
  <c r="D103" s="1"/>
  <c r="D31" i="3" s="1"/>
  <c r="C102" i="1"/>
  <c r="C101"/>
  <c r="D101" s="1"/>
  <c r="C100"/>
  <c r="C99"/>
  <c r="C98"/>
  <c r="C97"/>
  <c r="D97" s="1"/>
  <c r="C96"/>
  <c r="C95"/>
  <c r="C94"/>
  <c r="C93"/>
  <c r="D93" s="1"/>
  <c r="C92"/>
  <c r="D92" s="1"/>
  <c r="C91"/>
  <c r="D91" s="1"/>
  <c r="C90"/>
  <c r="C89"/>
  <c r="D89" s="1"/>
  <c r="C88"/>
  <c r="D88" s="1"/>
  <c r="C87"/>
  <c r="C86"/>
  <c r="C85"/>
  <c r="D85" s="1"/>
  <c r="C84"/>
  <c r="C83"/>
  <c r="C82"/>
  <c r="C81"/>
  <c r="D81" s="1"/>
  <c r="C80"/>
  <c r="C79"/>
  <c r="D79" s="1"/>
  <c r="C78"/>
  <c r="D78" s="1"/>
  <c r="C77"/>
  <c r="D77" s="1"/>
  <c r="C76"/>
  <c r="C75"/>
  <c r="C74"/>
  <c r="D74" s="1"/>
  <c r="C73"/>
  <c r="D73" s="1"/>
  <c r="C72"/>
  <c r="C71"/>
  <c r="D71" s="1"/>
  <c r="C70"/>
  <c r="D70" s="1"/>
  <c r="C69"/>
  <c r="D69" s="1"/>
  <c r="C68"/>
  <c r="C67"/>
  <c r="C66"/>
  <c r="C65"/>
  <c r="D65" s="1"/>
  <c r="C64"/>
  <c r="C63"/>
  <c r="D63" s="1"/>
  <c r="C62"/>
  <c r="C61"/>
  <c r="D61" s="1"/>
  <c r="C60"/>
  <c r="C59"/>
  <c r="D59" s="1"/>
  <c r="C58"/>
  <c r="D58" s="1"/>
  <c r="C57"/>
  <c r="D57" s="1"/>
  <c r="C56"/>
  <c r="C55"/>
  <c r="D55" s="1"/>
  <c r="C54"/>
  <c r="D54" s="1"/>
  <c r="C53"/>
  <c r="D53" s="1"/>
  <c r="C52"/>
  <c r="C51"/>
  <c r="C50"/>
  <c r="C49"/>
  <c r="D49" s="1"/>
  <c r="C48"/>
  <c r="C47"/>
  <c r="D47" s="1"/>
  <c r="C46"/>
  <c r="C45"/>
  <c r="D45" s="1"/>
  <c r="C44"/>
  <c r="D44" s="1"/>
  <c r="C43"/>
  <c r="C42"/>
  <c r="C41"/>
  <c r="D41" s="1"/>
  <c r="C40"/>
  <c r="C39"/>
  <c r="D39" s="1"/>
  <c r="C38"/>
  <c r="C37"/>
  <c r="D37" s="1"/>
  <c r="C36"/>
  <c r="C35"/>
  <c r="C34"/>
  <c r="C33"/>
  <c r="C32"/>
  <c r="D32" s="1"/>
  <c r="C31"/>
  <c r="C30"/>
  <c r="C29"/>
  <c r="D29" s="1"/>
  <c r="C28"/>
  <c r="D28" s="1"/>
  <c r="C27"/>
  <c r="D27" s="1"/>
  <c r="C26"/>
  <c r="D26" s="1"/>
  <c r="C25"/>
  <c r="D25" s="1"/>
  <c r="C24"/>
  <c r="D14"/>
  <c r="D17"/>
  <c r="D33"/>
  <c r="D113"/>
  <c r="D145"/>
  <c r="D173"/>
  <c r="D185"/>
  <c r="D201"/>
  <c r="D205"/>
  <c r="D209"/>
  <c r="D213"/>
  <c r="D217"/>
  <c r="D229"/>
  <c r="D233"/>
  <c r="B113" i="3"/>
  <c r="B108"/>
  <c r="B100"/>
  <c r="B75"/>
  <c r="B72"/>
  <c r="B62"/>
  <c r="B61"/>
  <c r="B56"/>
  <c r="B34"/>
  <c r="B23"/>
  <c r="B20"/>
  <c r="B9"/>
  <c r="B5"/>
  <c r="B8"/>
  <c r="B12"/>
  <c r="B13"/>
  <c r="B16"/>
  <c r="B17"/>
  <c r="B18"/>
  <c r="B19"/>
  <c r="B21"/>
  <c r="B22"/>
  <c r="B26"/>
  <c r="B27"/>
  <c r="B30"/>
  <c r="B32"/>
  <c r="B33"/>
  <c r="B35"/>
  <c r="B36"/>
  <c r="B37"/>
  <c r="B38"/>
  <c r="B40"/>
  <c r="B41"/>
  <c r="B46"/>
  <c r="B47"/>
  <c r="B49"/>
  <c r="B50"/>
  <c r="B51"/>
  <c r="B54"/>
  <c r="B55"/>
  <c r="B57"/>
  <c r="B60"/>
  <c r="B64"/>
  <c r="B65"/>
  <c r="B68"/>
  <c r="B69"/>
  <c r="B70"/>
  <c r="B71"/>
  <c r="B73"/>
  <c r="B74"/>
  <c r="B78"/>
  <c r="B79"/>
  <c r="B82"/>
  <c r="B84"/>
  <c r="B85"/>
  <c r="B87"/>
  <c r="B88"/>
  <c r="B89"/>
  <c r="B90"/>
  <c r="B92"/>
  <c r="B93"/>
  <c r="B98"/>
  <c r="B99"/>
  <c r="B101"/>
  <c r="B102"/>
  <c r="B103"/>
  <c r="B106"/>
  <c r="B107"/>
  <c r="B109"/>
  <c r="B112"/>
  <c r="B116"/>
  <c r="B117"/>
  <c r="B120"/>
  <c r="B121"/>
  <c r="D234" i="1"/>
  <c r="D232"/>
  <c r="D231"/>
  <c r="D228"/>
  <c r="D227"/>
  <c r="D224"/>
  <c r="D223"/>
  <c r="D220"/>
  <c r="D219"/>
  <c r="D218"/>
  <c r="D215"/>
  <c r="D214"/>
  <c r="D212"/>
  <c r="D210"/>
  <c r="D208"/>
  <c r="D207"/>
  <c r="D206"/>
  <c r="D204"/>
  <c r="D202"/>
  <c r="D196"/>
  <c r="D194"/>
  <c r="D192"/>
  <c r="D191"/>
  <c r="D190"/>
  <c r="D188"/>
  <c r="D186"/>
  <c r="D184"/>
  <c r="D183"/>
  <c r="D182"/>
  <c r="D180"/>
  <c r="D179"/>
  <c r="D178"/>
  <c r="D176"/>
  <c r="D175"/>
  <c r="D172"/>
  <c r="D171"/>
  <c r="D168"/>
  <c r="D167"/>
  <c r="D164"/>
  <c r="D163"/>
  <c r="D162"/>
  <c r="D160"/>
  <c r="D156"/>
  <c r="D152"/>
  <c r="D150"/>
  <c r="D148"/>
  <c r="D146"/>
  <c r="D144"/>
  <c r="D138"/>
  <c r="D136"/>
  <c r="D135"/>
  <c r="D134"/>
  <c r="D131"/>
  <c r="D130"/>
  <c r="D127"/>
  <c r="D126"/>
  <c r="D122"/>
  <c r="D120"/>
  <c r="D119"/>
  <c r="D118"/>
  <c r="D115"/>
  <c r="D114"/>
  <c r="D111"/>
  <c r="D110"/>
  <c r="D108"/>
  <c r="D107"/>
  <c r="D106"/>
  <c r="D104"/>
  <c r="D102"/>
  <c r="D100"/>
  <c r="D99"/>
  <c r="D98"/>
  <c r="D96"/>
  <c r="D95"/>
  <c r="D94"/>
  <c r="D90"/>
  <c r="D87"/>
  <c r="D86"/>
  <c r="D84"/>
  <c r="D83"/>
  <c r="D82"/>
  <c r="D80"/>
  <c r="D76"/>
  <c r="D75"/>
  <c r="D72"/>
  <c r="D68"/>
  <c r="D67"/>
  <c r="D66"/>
  <c r="D64"/>
  <c r="D62"/>
  <c r="D60"/>
  <c r="D56"/>
  <c r="D52"/>
  <c r="D51"/>
  <c r="D50"/>
  <c r="D48"/>
  <c r="D46"/>
  <c r="D43"/>
  <c r="D42"/>
  <c r="D40"/>
  <c r="D38"/>
  <c r="D36"/>
  <c r="D35"/>
  <c r="D34"/>
  <c r="D31"/>
  <c r="D30"/>
  <c r="D24"/>
  <c r="D23"/>
  <c r="D20"/>
  <c r="D19"/>
  <c r="D18"/>
  <c r="D15"/>
  <c r="D12"/>
  <c r="D11"/>
  <c r="B20" i="19"/>
  <c r="F26" i="1" s="1"/>
  <c r="B18" i="19"/>
  <c r="F24" i="1" s="1"/>
  <c r="F23"/>
  <c r="B15" i="19"/>
  <c r="B16" s="1"/>
  <c r="F22" i="1" s="1"/>
  <c r="B14" i="19"/>
  <c r="F20" i="1" s="1"/>
  <c r="B13" i="19"/>
  <c r="F19" i="1" s="1"/>
  <c r="B12" i="19"/>
  <c r="F18" i="1" s="1"/>
  <c r="B11" i="19"/>
  <c r="F17" i="1" s="1"/>
  <c r="F36" s="1"/>
  <c r="F55" s="1"/>
  <c r="F74" s="1"/>
  <c r="F93" s="1"/>
  <c r="F112" s="1"/>
  <c r="F131" s="1"/>
  <c r="F150" s="1"/>
  <c r="F169" s="1"/>
  <c r="F188" s="1"/>
  <c r="F207" s="1"/>
  <c r="F226" s="1"/>
  <c r="B10" i="19"/>
  <c r="F16" i="1" s="1"/>
  <c r="F35" s="1"/>
  <c r="F54" s="1"/>
  <c r="F73" s="1"/>
  <c r="F92" s="1"/>
  <c r="F111" s="1"/>
  <c r="F130" s="1"/>
  <c r="F149" s="1"/>
  <c r="F168" s="1"/>
  <c r="F187" s="1"/>
  <c r="F206" s="1"/>
  <c r="F225" s="1"/>
  <c r="B9" i="19"/>
  <c r="F15" i="1" s="1"/>
  <c r="F34" s="1"/>
  <c r="F53" s="1"/>
  <c r="F72" s="1"/>
  <c r="F91" s="1"/>
  <c r="F110" s="1"/>
  <c r="F129" s="1"/>
  <c r="F148" s="1"/>
  <c r="F167" s="1"/>
  <c r="F186" s="1"/>
  <c r="F205" s="1"/>
  <c r="F224" s="1"/>
  <c r="B8" i="19"/>
  <c r="F14" i="1" s="1"/>
  <c r="B7" i="19"/>
  <c r="F13" i="1" s="1"/>
  <c r="B6" i="19"/>
  <c r="F12" i="1" s="1"/>
  <c r="B5" i="19"/>
  <c r="F11" i="1" s="1"/>
  <c r="B4" i="19"/>
  <c r="F10" i="1" s="1"/>
  <c r="B3" i="19"/>
  <c r="F9" i="1" s="1"/>
  <c r="B2" i="19"/>
  <c r="F8" i="1" s="1"/>
  <c r="J118" i="17"/>
  <c r="D14" i="3" l="1"/>
  <c r="D58"/>
  <c r="D66"/>
  <c r="D76"/>
  <c r="D80"/>
  <c r="D96"/>
  <c r="D118"/>
  <c r="D61"/>
  <c r="D86"/>
  <c r="D70"/>
  <c r="D9"/>
  <c r="D34"/>
  <c r="D78"/>
  <c r="D116"/>
  <c r="D10"/>
  <c r="D18"/>
  <c r="D26"/>
  <c r="D120"/>
  <c r="D87"/>
  <c r="D102"/>
  <c r="D59"/>
  <c r="D67"/>
  <c r="D113"/>
  <c r="D101"/>
  <c r="D82"/>
  <c r="D23"/>
  <c r="D35"/>
  <c r="D39"/>
  <c r="D81"/>
  <c r="D91"/>
  <c r="D119"/>
  <c r="D16"/>
  <c r="D48"/>
  <c r="D6"/>
  <c r="D20"/>
  <c r="D24"/>
  <c r="D94"/>
  <c r="D99"/>
  <c r="D106"/>
  <c r="D60"/>
  <c r="D103"/>
  <c r="D79"/>
  <c r="D110"/>
  <c r="D30"/>
  <c r="D38"/>
  <c r="D54"/>
  <c r="D68"/>
  <c r="D73"/>
  <c r="D100"/>
  <c r="D108"/>
  <c r="D117"/>
  <c r="D55"/>
  <c r="D27"/>
  <c r="D62"/>
  <c r="D37"/>
  <c r="D28"/>
  <c r="D42"/>
  <c r="D47"/>
  <c r="D52"/>
  <c r="D12"/>
  <c r="D44"/>
  <c r="D56"/>
  <c r="D84"/>
  <c r="D104"/>
  <c r="D114"/>
  <c r="F8" i="2"/>
  <c r="N7" i="3"/>
  <c r="J7"/>
  <c r="E7"/>
  <c r="I7"/>
  <c r="O7"/>
  <c r="K7"/>
  <c r="G7"/>
  <c r="Q7"/>
  <c r="P7"/>
  <c r="L7"/>
  <c r="H7"/>
  <c r="M7"/>
  <c r="F12" i="2"/>
  <c r="N11" i="3"/>
  <c r="J11"/>
  <c r="E11"/>
  <c r="M11"/>
  <c r="O11"/>
  <c r="K11"/>
  <c r="G11"/>
  <c r="I11"/>
  <c r="P11"/>
  <c r="L11"/>
  <c r="H11"/>
  <c r="Q11"/>
  <c r="F26" i="2"/>
  <c r="N25" i="3"/>
  <c r="J25"/>
  <c r="E25"/>
  <c r="M25"/>
  <c r="O25"/>
  <c r="K25"/>
  <c r="G25"/>
  <c r="I25"/>
  <c r="P25"/>
  <c r="L25"/>
  <c r="H25"/>
  <c r="Q25"/>
  <c r="F32" i="2"/>
  <c r="N31" i="3"/>
  <c r="J31"/>
  <c r="E31"/>
  <c r="O31"/>
  <c r="K31"/>
  <c r="G31"/>
  <c r="Q31"/>
  <c r="I31"/>
  <c r="P31"/>
  <c r="L31"/>
  <c r="H31"/>
  <c r="M31"/>
  <c r="F40" i="2"/>
  <c r="N39" i="3"/>
  <c r="J39"/>
  <c r="E39"/>
  <c r="O39"/>
  <c r="K39"/>
  <c r="G39"/>
  <c r="M39"/>
  <c r="P39"/>
  <c r="L39"/>
  <c r="H39"/>
  <c r="Q39"/>
  <c r="I39"/>
  <c r="F44" i="2"/>
  <c r="N43" i="3"/>
  <c r="J43"/>
  <c r="E43"/>
  <c r="I43"/>
  <c r="O43"/>
  <c r="K43"/>
  <c r="G43"/>
  <c r="Q43"/>
  <c r="P43"/>
  <c r="L43"/>
  <c r="H43"/>
  <c r="M43"/>
  <c r="F46" i="2"/>
  <c r="N45" i="3"/>
  <c r="J45"/>
  <c r="E45"/>
  <c r="O45"/>
  <c r="K45"/>
  <c r="G45"/>
  <c r="Q45"/>
  <c r="I45"/>
  <c r="P45"/>
  <c r="L45"/>
  <c r="H45"/>
  <c r="M45"/>
  <c r="F60" i="2"/>
  <c r="N59" i="3"/>
  <c r="J59"/>
  <c r="E59"/>
  <c r="O59"/>
  <c r="K59"/>
  <c r="G59"/>
  <c r="P59"/>
  <c r="L59"/>
  <c r="H59"/>
  <c r="Q59"/>
  <c r="M59"/>
  <c r="I59"/>
  <c r="F64" i="2"/>
  <c r="N63" i="3"/>
  <c r="J63"/>
  <c r="E63"/>
  <c r="O63"/>
  <c r="K63"/>
  <c r="G63"/>
  <c r="P63"/>
  <c r="L63"/>
  <c r="H63"/>
  <c r="I63"/>
  <c r="Q63"/>
  <c r="M63"/>
  <c r="F68" i="2"/>
  <c r="N67" i="3"/>
  <c r="J67"/>
  <c r="E67"/>
  <c r="O67"/>
  <c r="K67"/>
  <c r="G67"/>
  <c r="P67"/>
  <c r="L67"/>
  <c r="H67"/>
  <c r="I67"/>
  <c r="M67"/>
  <c r="Q67"/>
  <c r="F78" i="2"/>
  <c r="N77" i="3"/>
  <c r="J77"/>
  <c r="E77"/>
  <c r="O77"/>
  <c r="K77"/>
  <c r="G77"/>
  <c r="P77"/>
  <c r="L77"/>
  <c r="H77"/>
  <c r="I77"/>
  <c r="M77"/>
  <c r="Q77"/>
  <c r="F82" i="2"/>
  <c r="N81" i="3"/>
  <c r="J81"/>
  <c r="E81"/>
  <c r="O81"/>
  <c r="K81"/>
  <c r="G81"/>
  <c r="P81"/>
  <c r="L81"/>
  <c r="H81"/>
  <c r="I81"/>
  <c r="M81"/>
  <c r="Q81"/>
  <c r="F84" i="2"/>
  <c r="N83" i="3"/>
  <c r="J83"/>
  <c r="E83"/>
  <c r="O83"/>
  <c r="K83"/>
  <c r="G83"/>
  <c r="P83"/>
  <c r="L83"/>
  <c r="H83"/>
  <c r="I83"/>
  <c r="M83"/>
  <c r="Q83"/>
  <c r="F92" i="2"/>
  <c r="N91" i="3"/>
  <c r="J91"/>
  <c r="E91"/>
  <c r="O91"/>
  <c r="K91"/>
  <c r="G91"/>
  <c r="P91"/>
  <c r="L91"/>
  <c r="H91"/>
  <c r="M91"/>
  <c r="Q91"/>
  <c r="I91"/>
  <c r="F96" i="2"/>
  <c r="N95" i="3"/>
  <c r="J95"/>
  <c r="E95"/>
  <c r="O95"/>
  <c r="K95"/>
  <c r="G95"/>
  <c r="P95"/>
  <c r="L95"/>
  <c r="H95"/>
  <c r="M95"/>
  <c r="Q95"/>
  <c r="I95"/>
  <c r="F98" i="2"/>
  <c r="N97" i="3"/>
  <c r="J97"/>
  <c r="E97"/>
  <c r="O97"/>
  <c r="K97"/>
  <c r="G97"/>
  <c r="P97"/>
  <c r="L97"/>
  <c r="H97"/>
  <c r="M97"/>
  <c r="Q97"/>
  <c r="I97"/>
  <c r="F106" i="2"/>
  <c r="N105" i="3"/>
  <c r="J105"/>
  <c r="E105"/>
  <c r="O105"/>
  <c r="K105"/>
  <c r="G105"/>
  <c r="P105"/>
  <c r="L105"/>
  <c r="H105"/>
  <c r="Q105"/>
  <c r="M105"/>
  <c r="I105"/>
  <c r="F112" i="2"/>
  <c r="N111" i="3"/>
  <c r="J111"/>
  <c r="E111"/>
  <c r="O111"/>
  <c r="K111"/>
  <c r="G111"/>
  <c r="P111"/>
  <c r="L111"/>
  <c r="H111"/>
  <c r="Q111"/>
  <c r="M111"/>
  <c r="I111"/>
  <c r="F116" i="2"/>
  <c r="N115" i="3"/>
  <c r="J115"/>
  <c r="E115"/>
  <c r="O115"/>
  <c r="K115"/>
  <c r="G115"/>
  <c r="P115"/>
  <c r="L115"/>
  <c r="H115"/>
  <c r="I115"/>
  <c r="Q115"/>
  <c r="M115"/>
  <c r="F120" i="2"/>
  <c r="N119" i="3"/>
  <c r="J119"/>
  <c r="E119"/>
  <c r="O119"/>
  <c r="K119"/>
  <c r="G119"/>
  <c r="P119"/>
  <c r="L119"/>
  <c r="H119"/>
  <c r="I119"/>
  <c r="Q119"/>
  <c r="M119"/>
  <c r="F117" i="2"/>
  <c r="N116" i="3"/>
  <c r="J116"/>
  <c r="E116"/>
  <c r="O116"/>
  <c r="K116"/>
  <c r="G116"/>
  <c r="P116"/>
  <c r="L116"/>
  <c r="H116"/>
  <c r="I116"/>
  <c r="M116"/>
  <c r="Q116"/>
  <c r="F103" i="2"/>
  <c r="N102" i="3"/>
  <c r="J102"/>
  <c r="E102"/>
  <c r="O102"/>
  <c r="K102"/>
  <c r="G102"/>
  <c r="P102"/>
  <c r="L102"/>
  <c r="H102"/>
  <c r="I102"/>
  <c r="Q102"/>
  <c r="M102"/>
  <c r="F99" i="2"/>
  <c r="N98" i="3"/>
  <c r="J98"/>
  <c r="E98"/>
  <c r="O98"/>
  <c r="K98"/>
  <c r="G98"/>
  <c r="P98"/>
  <c r="L98"/>
  <c r="H98"/>
  <c r="Q98"/>
  <c r="M98"/>
  <c r="I98"/>
  <c r="F93" i="2"/>
  <c r="N92" i="3"/>
  <c r="J92"/>
  <c r="E92"/>
  <c r="O92"/>
  <c r="K92"/>
  <c r="G92"/>
  <c r="P92"/>
  <c r="L92"/>
  <c r="H92"/>
  <c r="Q92"/>
  <c r="M92"/>
  <c r="I92"/>
  <c r="F88" i="2"/>
  <c r="N87" i="3"/>
  <c r="J87"/>
  <c r="E87"/>
  <c r="O87"/>
  <c r="K87"/>
  <c r="G87"/>
  <c r="P87"/>
  <c r="L87"/>
  <c r="H87"/>
  <c r="M87"/>
  <c r="Q87"/>
  <c r="I87"/>
  <c r="F79" i="2"/>
  <c r="N78" i="3"/>
  <c r="J78"/>
  <c r="E78"/>
  <c r="O78"/>
  <c r="K78"/>
  <c r="G78"/>
  <c r="P78"/>
  <c r="L78"/>
  <c r="H78"/>
  <c r="M78"/>
  <c r="Q78"/>
  <c r="I78"/>
  <c r="F72" i="2"/>
  <c r="N71" i="3"/>
  <c r="J71"/>
  <c r="E71"/>
  <c r="O71"/>
  <c r="K71"/>
  <c r="G71"/>
  <c r="P71"/>
  <c r="L71"/>
  <c r="H71"/>
  <c r="M71"/>
  <c r="Q71"/>
  <c r="I71"/>
  <c r="F66" i="2"/>
  <c r="N65" i="3"/>
  <c r="J65"/>
  <c r="E65"/>
  <c r="O65"/>
  <c r="K65"/>
  <c r="G65"/>
  <c r="P65"/>
  <c r="L65"/>
  <c r="H65"/>
  <c r="M65"/>
  <c r="Q65"/>
  <c r="I65"/>
  <c r="F58" i="2"/>
  <c r="N57" i="3"/>
  <c r="J57"/>
  <c r="E57"/>
  <c r="O57"/>
  <c r="K57"/>
  <c r="G57"/>
  <c r="P57"/>
  <c r="L57"/>
  <c r="H57"/>
  <c r="I57"/>
  <c r="M57"/>
  <c r="Q57"/>
  <c r="F52" i="2"/>
  <c r="N51" i="3"/>
  <c r="J51"/>
  <c r="E51"/>
  <c r="O51"/>
  <c r="K51"/>
  <c r="G51"/>
  <c r="M51"/>
  <c r="P51"/>
  <c r="L51"/>
  <c r="H51"/>
  <c r="Q51"/>
  <c r="I51"/>
  <c r="F42" i="2"/>
  <c r="N41" i="3"/>
  <c r="J41"/>
  <c r="E41"/>
  <c r="O41"/>
  <c r="K41"/>
  <c r="G41"/>
  <c r="M41"/>
  <c r="P41"/>
  <c r="L41"/>
  <c r="H41"/>
  <c r="Q41"/>
  <c r="I41"/>
  <c r="F37" i="2"/>
  <c r="N36" i="3"/>
  <c r="J36"/>
  <c r="E36"/>
  <c r="O36"/>
  <c r="K36"/>
  <c r="G36"/>
  <c r="Q36"/>
  <c r="I36"/>
  <c r="P36"/>
  <c r="L36"/>
  <c r="H36"/>
  <c r="M36"/>
  <c r="F33" i="2"/>
  <c r="N32" i="3"/>
  <c r="J32"/>
  <c r="E32"/>
  <c r="O32"/>
  <c r="K32"/>
  <c r="G32"/>
  <c r="M32"/>
  <c r="P32"/>
  <c r="L32"/>
  <c r="H32"/>
  <c r="Q32"/>
  <c r="I32"/>
  <c r="F28" i="2"/>
  <c r="N27" i="3"/>
  <c r="J27"/>
  <c r="E27"/>
  <c r="Q27"/>
  <c r="O27"/>
  <c r="K27"/>
  <c r="G27"/>
  <c r="M27"/>
  <c r="P27"/>
  <c r="L27"/>
  <c r="H27"/>
  <c r="I27"/>
  <c r="F17" i="2"/>
  <c r="N16" i="3"/>
  <c r="J16"/>
  <c r="E16"/>
  <c r="M16"/>
  <c r="O16"/>
  <c r="K16"/>
  <c r="G16"/>
  <c r="I16"/>
  <c r="P16"/>
  <c r="L16"/>
  <c r="H16"/>
  <c r="Q16"/>
  <c r="F21" i="2"/>
  <c r="N20" i="3"/>
  <c r="J20"/>
  <c r="E20"/>
  <c r="O20"/>
  <c r="K20"/>
  <c r="G20"/>
  <c r="M20"/>
  <c r="P20"/>
  <c r="L20"/>
  <c r="H20"/>
  <c r="Q20"/>
  <c r="I20"/>
  <c r="F57" i="2"/>
  <c r="N56" i="3"/>
  <c r="J56"/>
  <c r="E56"/>
  <c r="O56"/>
  <c r="K56"/>
  <c r="G56"/>
  <c r="P56"/>
  <c r="L56"/>
  <c r="H56"/>
  <c r="M56"/>
  <c r="Q56"/>
  <c r="I56"/>
  <c r="F73" i="2"/>
  <c r="N72" i="3"/>
  <c r="J72"/>
  <c r="E72"/>
  <c r="O72"/>
  <c r="K72"/>
  <c r="G72"/>
  <c r="P72"/>
  <c r="L72"/>
  <c r="H72"/>
  <c r="Q72"/>
  <c r="M72"/>
  <c r="I72"/>
  <c r="F109" i="2"/>
  <c r="N108" i="3"/>
  <c r="J108"/>
  <c r="E108"/>
  <c r="O108"/>
  <c r="K108"/>
  <c r="G108"/>
  <c r="P108"/>
  <c r="L108"/>
  <c r="H108"/>
  <c r="M108"/>
  <c r="Q108"/>
  <c r="I108"/>
  <c r="F7" i="2"/>
  <c r="N6" i="3"/>
  <c r="J6"/>
  <c r="E6"/>
  <c r="I6"/>
  <c r="O6"/>
  <c r="K6"/>
  <c r="G6"/>
  <c r="Q6"/>
  <c r="P6"/>
  <c r="L6"/>
  <c r="H6"/>
  <c r="M6"/>
  <c r="F15" i="2"/>
  <c r="N14" i="3"/>
  <c r="J14"/>
  <c r="E14"/>
  <c r="M14"/>
  <c r="O14"/>
  <c r="K14"/>
  <c r="G14"/>
  <c r="I14"/>
  <c r="P14"/>
  <c r="L14"/>
  <c r="H14"/>
  <c r="Q14"/>
  <c r="F25" i="2"/>
  <c r="N24" i="3"/>
  <c r="J24"/>
  <c r="E24"/>
  <c r="M24"/>
  <c r="O24"/>
  <c r="K24"/>
  <c r="G24"/>
  <c r="I24"/>
  <c r="P24"/>
  <c r="L24"/>
  <c r="H24"/>
  <c r="Q24"/>
  <c r="F29" i="2"/>
  <c r="N28" i="3"/>
  <c r="J28"/>
  <c r="E28"/>
  <c r="Q28"/>
  <c r="O28"/>
  <c r="K28"/>
  <c r="G28"/>
  <c r="M28"/>
  <c r="P28"/>
  <c r="L28"/>
  <c r="H28"/>
  <c r="I28"/>
  <c r="F43" i="2"/>
  <c r="N42" i="3"/>
  <c r="J42"/>
  <c r="E42"/>
  <c r="O42"/>
  <c r="K42"/>
  <c r="G42"/>
  <c r="Q42"/>
  <c r="I42"/>
  <c r="P42"/>
  <c r="L42"/>
  <c r="H42"/>
  <c r="M42"/>
  <c r="F45" i="2"/>
  <c r="N44" i="3"/>
  <c r="J44"/>
  <c r="E44"/>
  <c r="O44"/>
  <c r="K44"/>
  <c r="G44"/>
  <c r="M44"/>
  <c r="P44"/>
  <c r="L44"/>
  <c r="H44"/>
  <c r="Q44"/>
  <c r="I44"/>
  <c r="F53" i="2"/>
  <c r="N52" i="3"/>
  <c r="J52"/>
  <c r="E52"/>
  <c r="O52"/>
  <c r="K52"/>
  <c r="G52"/>
  <c r="Q52"/>
  <c r="I52"/>
  <c r="P52"/>
  <c r="L52"/>
  <c r="H52"/>
  <c r="M52"/>
  <c r="F59" i="2"/>
  <c r="N58" i="3"/>
  <c r="J58"/>
  <c r="E58"/>
  <c r="O58"/>
  <c r="K58"/>
  <c r="G58"/>
  <c r="P58"/>
  <c r="L58"/>
  <c r="H58"/>
  <c r="M58"/>
  <c r="Q58"/>
  <c r="I58"/>
  <c r="F67" i="2"/>
  <c r="N66" i="3"/>
  <c r="J66"/>
  <c r="E66"/>
  <c r="O66"/>
  <c r="K66"/>
  <c r="G66"/>
  <c r="P66"/>
  <c r="L66"/>
  <c r="H66"/>
  <c r="Q66"/>
  <c r="M66"/>
  <c r="I66"/>
  <c r="F77" i="2"/>
  <c r="N76" i="3"/>
  <c r="J76"/>
  <c r="E76"/>
  <c r="O76"/>
  <c r="K76"/>
  <c r="G76"/>
  <c r="P76"/>
  <c r="L76"/>
  <c r="H76"/>
  <c r="I76"/>
  <c r="Q76"/>
  <c r="M76"/>
  <c r="F81" i="2"/>
  <c r="N80" i="3"/>
  <c r="J80"/>
  <c r="E80"/>
  <c r="O80"/>
  <c r="K80"/>
  <c r="G80"/>
  <c r="P80"/>
  <c r="L80"/>
  <c r="H80"/>
  <c r="I80"/>
  <c r="M80"/>
  <c r="Q80"/>
  <c r="F95" i="2"/>
  <c r="N94" i="3"/>
  <c r="J94"/>
  <c r="E94"/>
  <c r="O94"/>
  <c r="K94"/>
  <c r="G94"/>
  <c r="P94"/>
  <c r="L94"/>
  <c r="H94"/>
  <c r="I94"/>
  <c r="M94"/>
  <c r="Q94"/>
  <c r="F97" i="2"/>
  <c r="N96" i="3"/>
  <c r="J96"/>
  <c r="E96"/>
  <c r="O96"/>
  <c r="K96"/>
  <c r="G96"/>
  <c r="P96"/>
  <c r="L96"/>
  <c r="H96"/>
  <c r="I96"/>
  <c r="M96"/>
  <c r="Q96"/>
  <c r="F105" i="2"/>
  <c r="N104" i="3"/>
  <c r="J104"/>
  <c r="E104"/>
  <c r="O104"/>
  <c r="K104"/>
  <c r="G104"/>
  <c r="P104"/>
  <c r="L104"/>
  <c r="H104"/>
  <c r="M104"/>
  <c r="Q104"/>
  <c r="I104"/>
  <c r="F111" i="2"/>
  <c r="N110" i="3"/>
  <c r="J110"/>
  <c r="E110"/>
  <c r="O110"/>
  <c r="K110"/>
  <c r="G110"/>
  <c r="P110"/>
  <c r="L110"/>
  <c r="H110"/>
  <c r="M110"/>
  <c r="Q110"/>
  <c r="I110"/>
  <c r="F119" i="2"/>
  <c r="N118" i="3"/>
  <c r="J118"/>
  <c r="E118"/>
  <c r="O118"/>
  <c r="K118"/>
  <c r="G118"/>
  <c r="P118"/>
  <c r="L118"/>
  <c r="H118"/>
  <c r="Q118"/>
  <c r="M118"/>
  <c r="I118"/>
  <c r="D7"/>
  <c r="D11"/>
  <c r="D25"/>
  <c r="D83"/>
  <c r="D90"/>
  <c r="D95"/>
  <c r="D121"/>
  <c r="D75"/>
  <c r="F16" i="2"/>
  <c r="N15" i="3"/>
  <c r="J15"/>
  <c r="E15"/>
  <c r="M15"/>
  <c r="O15"/>
  <c r="K15"/>
  <c r="G15"/>
  <c r="I15"/>
  <c r="P15"/>
  <c r="L15"/>
  <c r="H15"/>
  <c r="Q15"/>
  <c r="F30" i="2"/>
  <c r="N29" i="3"/>
  <c r="J29"/>
  <c r="E29"/>
  <c r="M29"/>
  <c r="O29"/>
  <c r="K29"/>
  <c r="G29"/>
  <c r="Q29"/>
  <c r="P29"/>
  <c r="L29"/>
  <c r="H29"/>
  <c r="I29"/>
  <c r="F54" i="2"/>
  <c r="N53" i="3"/>
  <c r="O53"/>
  <c r="P53"/>
  <c r="Q53"/>
  <c r="J53"/>
  <c r="E53"/>
  <c r="K53"/>
  <c r="G53"/>
  <c r="M53"/>
  <c r="L53"/>
  <c r="H53"/>
  <c r="I53"/>
  <c r="F118" i="2"/>
  <c r="N117" i="3"/>
  <c r="J117"/>
  <c r="E117"/>
  <c r="O117"/>
  <c r="K117"/>
  <c r="G117"/>
  <c r="P117"/>
  <c r="L117"/>
  <c r="H117"/>
  <c r="M117"/>
  <c r="Q117"/>
  <c r="I117"/>
  <c r="F110" i="2"/>
  <c r="N109" i="3"/>
  <c r="J109"/>
  <c r="E109"/>
  <c r="O109"/>
  <c r="K109"/>
  <c r="G109"/>
  <c r="P109"/>
  <c r="L109"/>
  <c r="H109"/>
  <c r="I109"/>
  <c r="M109"/>
  <c r="Q109"/>
  <c r="F104" i="2"/>
  <c r="N103" i="3"/>
  <c r="J103"/>
  <c r="E103"/>
  <c r="O103"/>
  <c r="K103"/>
  <c r="G103"/>
  <c r="P103"/>
  <c r="L103"/>
  <c r="H103"/>
  <c r="I103"/>
  <c r="M103"/>
  <c r="Q103"/>
  <c r="F94" i="2"/>
  <c r="N93" i="3"/>
  <c r="J93"/>
  <c r="E93"/>
  <c r="O93"/>
  <c r="K93"/>
  <c r="G93"/>
  <c r="P93"/>
  <c r="L93"/>
  <c r="H93"/>
  <c r="I93"/>
  <c r="M93"/>
  <c r="Q93"/>
  <c r="F89" i="2"/>
  <c r="N88" i="3"/>
  <c r="J88"/>
  <c r="E88"/>
  <c r="O88"/>
  <c r="K88"/>
  <c r="G88"/>
  <c r="P88"/>
  <c r="L88"/>
  <c r="H88"/>
  <c r="Q88"/>
  <c r="I88"/>
  <c r="M88"/>
  <c r="F85" i="2"/>
  <c r="N84" i="3"/>
  <c r="J84"/>
  <c r="E84"/>
  <c r="O84"/>
  <c r="K84"/>
  <c r="G84"/>
  <c r="P84"/>
  <c r="L84"/>
  <c r="H84"/>
  <c r="M84"/>
  <c r="Q84"/>
  <c r="I84"/>
  <c r="F80" i="2"/>
  <c r="N79" i="3"/>
  <c r="J79"/>
  <c r="E79"/>
  <c r="O79"/>
  <c r="K79"/>
  <c r="G79"/>
  <c r="P79"/>
  <c r="L79"/>
  <c r="H79"/>
  <c r="Q79"/>
  <c r="M79"/>
  <c r="I79"/>
  <c r="F69" i="2"/>
  <c r="N68" i="3"/>
  <c r="J68"/>
  <c r="E68"/>
  <c r="O68"/>
  <c r="K68"/>
  <c r="G68"/>
  <c r="P68"/>
  <c r="L68"/>
  <c r="H68"/>
  <c r="I68"/>
  <c r="M68"/>
  <c r="Q68"/>
  <c r="F55" i="2"/>
  <c r="N54" i="3"/>
  <c r="J54"/>
  <c r="E54"/>
  <c r="O54"/>
  <c r="K54"/>
  <c r="G54"/>
  <c r="P54"/>
  <c r="L54"/>
  <c r="H54"/>
  <c r="I54"/>
  <c r="M54"/>
  <c r="Q54"/>
  <c r="F48" i="2"/>
  <c r="N47" i="3"/>
  <c r="J47"/>
  <c r="E47"/>
  <c r="O47"/>
  <c r="K47"/>
  <c r="G47"/>
  <c r="M47"/>
  <c r="P47"/>
  <c r="L47"/>
  <c r="H47"/>
  <c r="Q47"/>
  <c r="I47"/>
  <c r="F38" i="2"/>
  <c r="N37" i="3"/>
  <c r="J37"/>
  <c r="E37"/>
  <c r="O37"/>
  <c r="K37"/>
  <c r="G37"/>
  <c r="M37"/>
  <c r="P37"/>
  <c r="L37"/>
  <c r="H37"/>
  <c r="Q37"/>
  <c r="I37"/>
  <c r="F34" i="2"/>
  <c r="N33" i="3"/>
  <c r="J33"/>
  <c r="E33"/>
  <c r="O33"/>
  <c r="K33"/>
  <c r="G33"/>
  <c r="Q33"/>
  <c r="I33"/>
  <c r="P33"/>
  <c r="L33"/>
  <c r="H33"/>
  <c r="M33"/>
  <c r="F31" i="2"/>
  <c r="N30" i="3"/>
  <c r="J30"/>
  <c r="E30"/>
  <c r="M30"/>
  <c r="O30"/>
  <c r="K30"/>
  <c r="G30"/>
  <c r="Q30"/>
  <c r="P30"/>
  <c r="L30"/>
  <c r="H30"/>
  <c r="I30"/>
  <c r="F22" i="2"/>
  <c r="N21" i="3"/>
  <c r="J21"/>
  <c r="E21"/>
  <c r="O21"/>
  <c r="K21"/>
  <c r="G21"/>
  <c r="M21"/>
  <c r="P21"/>
  <c r="L21"/>
  <c r="H21"/>
  <c r="Q21"/>
  <c r="I21"/>
  <c r="F18" i="2"/>
  <c r="N17" i="3"/>
  <c r="J17"/>
  <c r="E17"/>
  <c r="Q17"/>
  <c r="O17"/>
  <c r="K17"/>
  <c r="G17"/>
  <c r="I17"/>
  <c r="P17"/>
  <c r="L17"/>
  <c r="H17"/>
  <c r="M17"/>
  <c r="F9" i="2"/>
  <c r="N8" i="3"/>
  <c r="J8"/>
  <c r="E8"/>
  <c r="M8"/>
  <c r="O8"/>
  <c r="K8"/>
  <c r="G8"/>
  <c r="P8"/>
  <c r="L8"/>
  <c r="H8"/>
  <c r="Q8"/>
  <c r="I8"/>
  <c r="F11" i="2"/>
  <c r="N10" i="3"/>
  <c r="J10"/>
  <c r="E10"/>
  <c r="M10"/>
  <c r="O10"/>
  <c r="K10"/>
  <c r="G10"/>
  <c r="I10"/>
  <c r="P10"/>
  <c r="L10"/>
  <c r="H10"/>
  <c r="Q10"/>
  <c r="F49" i="2"/>
  <c r="N48" i="3"/>
  <c r="J48"/>
  <c r="E48"/>
  <c r="O48"/>
  <c r="K48"/>
  <c r="G48"/>
  <c r="Q48"/>
  <c r="I48"/>
  <c r="P48"/>
  <c r="L48"/>
  <c r="H48"/>
  <c r="M48"/>
  <c r="F63" i="2"/>
  <c r="N62" i="3"/>
  <c r="J62"/>
  <c r="E62"/>
  <c r="O62"/>
  <c r="K62"/>
  <c r="G62"/>
  <c r="P62"/>
  <c r="L62"/>
  <c r="H62"/>
  <c r="Q62"/>
  <c r="I62"/>
  <c r="M62"/>
  <c r="F101" i="2"/>
  <c r="N100" i="3"/>
  <c r="J100"/>
  <c r="E100"/>
  <c r="O100"/>
  <c r="K100"/>
  <c r="G100"/>
  <c r="P100"/>
  <c r="L100"/>
  <c r="H100"/>
  <c r="M100"/>
  <c r="Q100"/>
  <c r="I100"/>
  <c r="F115" i="2"/>
  <c r="N114" i="3"/>
  <c r="J114"/>
  <c r="E114"/>
  <c r="O114"/>
  <c r="K114"/>
  <c r="G114"/>
  <c r="P114"/>
  <c r="L114"/>
  <c r="H114"/>
  <c r="Q114"/>
  <c r="I114"/>
  <c r="M114"/>
  <c r="D29"/>
  <c r="D53"/>
  <c r="D64"/>
  <c r="D77"/>
  <c r="D111"/>
  <c r="D115"/>
  <c r="D107"/>
  <c r="D88"/>
  <c r="D8"/>
  <c r="D5"/>
  <c r="D13"/>
  <c r="D17"/>
  <c r="D19"/>
  <c r="D22"/>
  <c r="D33"/>
  <c r="D36"/>
  <c r="D41"/>
  <c r="D57"/>
  <c r="D69"/>
  <c r="D71"/>
  <c r="D74"/>
  <c r="D85"/>
  <c r="D89"/>
  <c r="D93"/>
  <c r="D112"/>
  <c r="F122" i="2"/>
  <c r="N121" i="3"/>
  <c r="J121"/>
  <c r="E121"/>
  <c r="O121"/>
  <c r="K121"/>
  <c r="G121"/>
  <c r="P121"/>
  <c r="L121"/>
  <c r="H121"/>
  <c r="M121"/>
  <c r="Q121"/>
  <c r="I121"/>
  <c r="F113" i="2"/>
  <c r="N112" i="3"/>
  <c r="J112"/>
  <c r="E112"/>
  <c r="O112"/>
  <c r="K112"/>
  <c r="G112"/>
  <c r="P112"/>
  <c r="L112"/>
  <c r="H112"/>
  <c r="I112"/>
  <c r="M112"/>
  <c r="Q112"/>
  <c r="F108" i="2"/>
  <c r="N107" i="3"/>
  <c r="J107"/>
  <c r="E107"/>
  <c r="O107"/>
  <c r="K107"/>
  <c r="G107"/>
  <c r="P107"/>
  <c r="L107"/>
  <c r="H107"/>
  <c r="I107"/>
  <c r="M107"/>
  <c r="Q107"/>
  <c r="F102" i="2"/>
  <c r="N101" i="3"/>
  <c r="J101"/>
  <c r="E101"/>
  <c r="O101"/>
  <c r="K101"/>
  <c r="G101"/>
  <c r="P101"/>
  <c r="L101"/>
  <c r="H101"/>
  <c r="Q101"/>
  <c r="I101"/>
  <c r="M101"/>
  <c r="F91" i="2"/>
  <c r="N90" i="3"/>
  <c r="J90"/>
  <c r="E90"/>
  <c r="O90"/>
  <c r="K90"/>
  <c r="G90"/>
  <c r="P90"/>
  <c r="L90"/>
  <c r="H90"/>
  <c r="I90"/>
  <c r="M90"/>
  <c r="Q90"/>
  <c r="F75" i="2"/>
  <c r="N74" i="3"/>
  <c r="J74"/>
  <c r="E74"/>
  <c r="O74"/>
  <c r="K74"/>
  <c r="G74"/>
  <c r="P74"/>
  <c r="L74"/>
  <c r="H74"/>
  <c r="M74"/>
  <c r="Q74"/>
  <c r="I74"/>
  <c r="F71" i="2"/>
  <c r="N70" i="3"/>
  <c r="J70"/>
  <c r="E70"/>
  <c r="O70"/>
  <c r="K70"/>
  <c r="G70"/>
  <c r="P70"/>
  <c r="L70"/>
  <c r="H70"/>
  <c r="I70"/>
  <c r="M70"/>
  <c r="Q70"/>
  <c r="F65" i="2"/>
  <c r="N64" i="3"/>
  <c r="J64"/>
  <c r="E64"/>
  <c r="O64"/>
  <c r="K64"/>
  <c r="G64"/>
  <c r="P64"/>
  <c r="L64"/>
  <c r="H64"/>
  <c r="I64"/>
  <c r="M64"/>
  <c r="Q64"/>
  <c r="F51" i="2"/>
  <c r="N50" i="3"/>
  <c r="J50"/>
  <c r="E50"/>
  <c r="O50"/>
  <c r="K50"/>
  <c r="G50"/>
  <c r="Q50"/>
  <c r="I50"/>
  <c r="P50"/>
  <c r="L50"/>
  <c r="H50"/>
  <c r="M50"/>
  <c r="F47" i="2"/>
  <c r="N46" i="3"/>
  <c r="J46"/>
  <c r="E46"/>
  <c r="O46"/>
  <c r="K46"/>
  <c r="G46"/>
  <c r="M46"/>
  <c r="P46"/>
  <c r="L46"/>
  <c r="H46"/>
  <c r="Q46"/>
  <c r="I46"/>
  <c r="F41" i="2"/>
  <c r="N40" i="3"/>
  <c r="J40"/>
  <c r="E40"/>
  <c r="O40"/>
  <c r="K40"/>
  <c r="G40"/>
  <c r="Q40"/>
  <c r="I40"/>
  <c r="P40"/>
  <c r="L40"/>
  <c r="H40"/>
  <c r="M40"/>
  <c r="F36" i="2"/>
  <c r="N35" i="3"/>
  <c r="J35"/>
  <c r="E35"/>
  <c r="O35"/>
  <c r="K35"/>
  <c r="G35"/>
  <c r="M35"/>
  <c r="P35"/>
  <c r="L35"/>
  <c r="H35"/>
  <c r="Q35"/>
  <c r="I35"/>
  <c r="F27" i="2"/>
  <c r="N26" i="3"/>
  <c r="J26"/>
  <c r="E26"/>
  <c r="Q26"/>
  <c r="I26"/>
  <c r="O26"/>
  <c r="K26"/>
  <c r="G26"/>
  <c r="M26"/>
  <c r="P26"/>
  <c r="L26"/>
  <c r="H26"/>
  <c r="F20" i="2"/>
  <c r="N19" i="3"/>
  <c r="J19"/>
  <c r="E19"/>
  <c r="I19"/>
  <c r="O19"/>
  <c r="K19"/>
  <c r="G19"/>
  <c r="Q19"/>
  <c r="P19"/>
  <c r="L19"/>
  <c r="H19"/>
  <c r="M19"/>
  <c r="F14" i="2"/>
  <c r="N13" i="3"/>
  <c r="J13"/>
  <c r="E13"/>
  <c r="M13"/>
  <c r="O13"/>
  <c r="K13"/>
  <c r="G13"/>
  <c r="I13"/>
  <c r="P13"/>
  <c r="L13"/>
  <c r="H13"/>
  <c r="Q13"/>
  <c r="F6" i="2"/>
  <c r="N5" i="3"/>
  <c r="J5"/>
  <c r="E5"/>
  <c r="I5"/>
  <c r="O5"/>
  <c r="K5"/>
  <c r="G5"/>
  <c r="Q5"/>
  <c r="P5"/>
  <c r="L5"/>
  <c r="H5"/>
  <c r="M5"/>
  <c r="F24" i="2"/>
  <c r="N23" i="3"/>
  <c r="J23"/>
  <c r="E23"/>
  <c r="O23"/>
  <c r="K23"/>
  <c r="G23"/>
  <c r="M23"/>
  <c r="P23"/>
  <c r="L23"/>
  <c r="H23"/>
  <c r="Q23"/>
  <c r="I23"/>
  <c r="F76" i="2"/>
  <c r="N75" i="3"/>
  <c r="J75"/>
  <c r="E75"/>
  <c r="O75"/>
  <c r="K75"/>
  <c r="G75"/>
  <c r="P75"/>
  <c r="L75"/>
  <c r="H75"/>
  <c r="Q75"/>
  <c r="I75"/>
  <c r="M75"/>
  <c r="F121" i="2"/>
  <c r="N120" i="3"/>
  <c r="J120"/>
  <c r="E120"/>
  <c r="O120"/>
  <c r="K120"/>
  <c r="G120"/>
  <c r="P120"/>
  <c r="L120"/>
  <c r="H120"/>
  <c r="I120"/>
  <c r="M120"/>
  <c r="Q120"/>
  <c r="F107" i="2"/>
  <c r="N106" i="3"/>
  <c r="J106"/>
  <c r="E106"/>
  <c r="O106"/>
  <c r="K106"/>
  <c r="G106"/>
  <c r="P106"/>
  <c r="L106"/>
  <c r="H106"/>
  <c r="I106"/>
  <c r="M106"/>
  <c r="Q106"/>
  <c r="F100" i="2"/>
  <c r="N99" i="3"/>
  <c r="J99"/>
  <c r="E99"/>
  <c r="O99"/>
  <c r="K99"/>
  <c r="G99"/>
  <c r="P99"/>
  <c r="L99"/>
  <c r="H99"/>
  <c r="I99"/>
  <c r="M99"/>
  <c r="Q99"/>
  <c r="F90" i="2"/>
  <c r="N89" i="3"/>
  <c r="J89"/>
  <c r="E89"/>
  <c r="O89"/>
  <c r="K89"/>
  <c r="G89"/>
  <c r="P89"/>
  <c r="L89"/>
  <c r="H89"/>
  <c r="I89"/>
  <c r="Q89"/>
  <c r="M89"/>
  <c r="F86" i="2"/>
  <c r="N85" i="3"/>
  <c r="J85"/>
  <c r="E85"/>
  <c r="O85"/>
  <c r="K85"/>
  <c r="G85"/>
  <c r="P85"/>
  <c r="L85"/>
  <c r="H85"/>
  <c r="Q85"/>
  <c r="M85"/>
  <c r="I85"/>
  <c r="F83" i="2"/>
  <c r="N82" i="3"/>
  <c r="J82"/>
  <c r="E82"/>
  <c r="O82"/>
  <c r="K82"/>
  <c r="G82"/>
  <c r="P82"/>
  <c r="L82"/>
  <c r="H82"/>
  <c r="M82"/>
  <c r="Q82"/>
  <c r="I82"/>
  <c r="F74" i="2"/>
  <c r="N73" i="3"/>
  <c r="J73"/>
  <c r="E73"/>
  <c r="O73"/>
  <c r="K73"/>
  <c r="G73"/>
  <c r="P73"/>
  <c r="L73"/>
  <c r="H73"/>
  <c r="I73"/>
  <c r="M73"/>
  <c r="Q73"/>
  <c r="F70" i="2"/>
  <c r="N69" i="3"/>
  <c r="J69"/>
  <c r="E69"/>
  <c r="O69"/>
  <c r="K69"/>
  <c r="G69"/>
  <c r="P69"/>
  <c r="L69"/>
  <c r="H69"/>
  <c r="M69"/>
  <c r="Q69"/>
  <c r="I69"/>
  <c r="F61" i="2"/>
  <c r="N60" i="3"/>
  <c r="J60"/>
  <c r="E60"/>
  <c r="O60"/>
  <c r="K60"/>
  <c r="G60"/>
  <c r="P60"/>
  <c r="L60"/>
  <c r="H60"/>
  <c r="I60"/>
  <c r="M60"/>
  <c r="Q60"/>
  <c r="F56" i="2"/>
  <c r="N55" i="3"/>
  <c r="J55"/>
  <c r="E55"/>
  <c r="O55"/>
  <c r="K55"/>
  <c r="G55"/>
  <c r="P55"/>
  <c r="L55"/>
  <c r="H55"/>
  <c r="I55"/>
  <c r="M55"/>
  <c r="Q55"/>
  <c r="F50" i="2"/>
  <c r="N49" i="3"/>
  <c r="J49"/>
  <c r="E49"/>
  <c r="O49"/>
  <c r="K49"/>
  <c r="G49"/>
  <c r="M49"/>
  <c r="P49"/>
  <c r="L49"/>
  <c r="H49"/>
  <c r="Q49"/>
  <c r="I49"/>
  <c r="F39" i="2"/>
  <c r="N38" i="3"/>
  <c r="J38"/>
  <c r="E38"/>
  <c r="O38"/>
  <c r="K38"/>
  <c r="G38"/>
  <c r="Q38"/>
  <c r="I38"/>
  <c r="P38"/>
  <c r="L38"/>
  <c r="H38"/>
  <c r="M38"/>
  <c r="F23" i="2"/>
  <c r="N22" i="3"/>
  <c r="J22"/>
  <c r="E22"/>
  <c r="O22"/>
  <c r="K22"/>
  <c r="G22"/>
  <c r="Q22"/>
  <c r="I22"/>
  <c r="P22"/>
  <c r="L22"/>
  <c r="H22"/>
  <c r="M22"/>
  <c r="F19" i="2"/>
  <c r="N18" i="3"/>
  <c r="J18"/>
  <c r="E18"/>
  <c r="O18"/>
  <c r="K18"/>
  <c r="G18"/>
  <c r="Q18"/>
  <c r="I18"/>
  <c r="P18"/>
  <c r="L18"/>
  <c r="H18"/>
  <c r="M18"/>
  <c r="F13" i="2"/>
  <c r="N12" i="3"/>
  <c r="J12"/>
  <c r="E12"/>
  <c r="M12"/>
  <c r="O12"/>
  <c r="K12"/>
  <c r="G12"/>
  <c r="I12"/>
  <c r="P12"/>
  <c r="L12"/>
  <c r="H12"/>
  <c r="Q12"/>
  <c r="F10" i="2"/>
  <c r="N9" i="3"/>
  <c r="J9"/>
  <c r="E9"/>
  <c r="M9"/>
  <c r="O9"/>
  <c r="K9"/>
  <c r="G9"/>
  <c r="I9"/>
  <c r="P9"/>
  <c r="L9"/>
  <c r="H9"/>
  <c r="Q9"/>
  <c r="F35" i="2"/>
  <c r="N34" i="3"/>
  <c r="J34"/>
  <c r="E34"/>
  <c r="O34"/>
  <c r="K34"/>
  <c r="G34"/>
  <c r="Q34"/>
  <c r="I34"/>
  <c r="P34"/>
  <c r="L34"/>
  <c r="H34"/>
  <c r="M34"/>
  <c r="F62" i="2"/>
  <c r="N61" i="3"/>
  <c r="J61"/>
  <c r="E61"/>
  <c r="O61"/>
  <c r="K61"/>
  <c r="G61"/>
  <c r="P61"/>
  <c r="L61"/>
  <c r="H61"/>
  <c r="M61"/>
  <c r="Q61"/>
  <c r="I61"/>
  <c r="F87" i="2"/>
  <c r="N86" i="3"/>
  <c r="J86"/>
  <c r="E86"/>
  <c r="O86"/>
  <c r="K86"/>
  <c r="G86"/>
  <c r="P86"/>
  <c r="L86"/>
  <c r="H86"/>
  <c r="I86"/>
  <c r="M86"/>
  <c r="Q86"/>
  <c r="F114" i="2"/>
  <c r="N113" i="3"/>
  <c r="J113"/>
  <c r="E113"/>
  <c r="O113"/>
  <c r="K113"/>
  <c r="G113"/>
  <c r="P113"/>
  <c r="L113"/>
  <c r="H113"/>
  <c r="M113"/>
  <c r="Q113"/>
  <c r="I113"/>
  <c r="D43"/>
  <c r="D15"/>
  <c r="D32"/>
  <c r="D63"/>
  <c r="D72"/>
  <c r="D92"/>
  <c r="D97"/>
  <c r="D105"/>
  <c r="D109"/>
  <c r="D65"/>
  <c r="D51"/>
  <c r="D21"/>
  <c r="D40"/>
  <c r="D46"/>
  <c r="D49"/>
  <c r="D50"/>
  <c r="D98"/>
  <c r="F30" i="1"/>
  <c r="F29"/>
  <c r="F33"/>
  <c r="F37"/>
  <c r="F38"/>
  <c r="F28"/>
  <c r="F32"/>
  <c r="F27"/>
  <c r="F31"/>
  <c r="F39"/>
  <c r="F42"/>
  <c r="F41"/>
  <c r="F45"/>
  <c r="F43"/>
  <c r="F21"/>
  <c r="F25"/>
  <c r="J134" i="17"/>
  <c r="K134"/>
  <c r="I140"/>
  <c r="J140" s="1"/>
  <c r="K140" s="1"/>
  <c r="I137"/>
  <c r="J130"/>
  <c r="I130"/>
  <c r="J129"/>
  <c r="I129"/>
  <c r="J127"/>
  <c r="I127"/>
  <c r="J126"/>
  <c r="I126"/>
  <c r="J124"/>
  <c r="J141" s="1"/>
  <c r="K141" s="1"/>
  <c r="I124"/>
  <c r="J123"/>
  <c r="I123"/>
  <c r="J121"/>
  <c r="I121"/>
  <c r="J120"/>
  <c r="I120"/>
  <c r="J135"/>
  <c r="K135" s="1"/>
  <c r="I118"/>
  <c r="J117"/>
  <c r="I117"/>
  <c r="M110"/>
  <c r="K110"/>
  <c r="J143" s="1"/>
  <c r="K143" s="1"/>
  <c r="G16" i="16"/>
  <c r="H16"/>
  <c r="F47" i="1" l="1"/>
  <c r="F48"/>
  <c r="F50"/>
  <c r="F51"/>
  <c r="F57"/>
  <c r="F52"/>
  <c r="F49"/>
  <c r="F56"/>
  <c r="F58"/>
  <c r="F46"/>
  <c r="F40"/>
  <c r="F64"/>
  <c r="F44"/>
  <c r="F61"/>
  <c r="F60"/>
  <c r="F62"/>
  <c r="J139" i="17"/>
  <c r="K139" s="1"/>
  <c r="J136"/>
  <c r="K136" s="1"/>
  <c r="J137"/>
  <c r="K137" s="1"/>
  <c r="E6" i="2"/>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F77" i="1" l="1"/>
  <c r="F68"/>
  <c r="F76"/>
  <c r="F69"/>
  <c r="F66"/>
  <c r="F65"/>
  <c r="F75"/>
  <c r="F71"/>
  <c r="F70"/>
  <c r="F67"/>
  <c r="F79"/>
  <c r="F63"/>
  <c r="F59"/>
  <c r="F81"/>
  <c r="F80"/>
  <c r="F83"/>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5" i="3"/>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8" i="1"/>
  <c r="M86" i="2" l="1"/>
  <c r="R86"/>
  <c r="R20"/>
  <c r="K20"/>
  <c r="H91"/>
  <c r="K91"/>
  <c r="K113"/>
  <c r="N113"/>
  <c r="T49"/>
  <c r="M49"/>
  <c r="M80"/>
  <c r="P80"/>
  <c r="M104"/>
  <c r="H30"/>
  <c r="H119"/>
  <c r="K119"/>
  <c r="H67"/>
  <c r="K67"/>
  <c r="T43"/>
  <c r="R43"/>
  <c r="T15"/>
  <c r="K15"/>
  <c r="H57"/>
  <c r="R57"/>
  <c r="K33"/>
  <c r="M58"/>
  <c r="R58"/>
  <c r="N98"/>
  <c r="H82"/>
  <c r="T64"/>
  <c r="H40"/>
  <c r="H12"/>
  <c r="M114"/>
  <c r="R114"/>
  <c r="K10"/>
  <c r="P10"/>
  <c r="M56"/>
  <c r="K56"/>
  <c r="K83"/>
  <c r="M100"/>
  <c r="R100"/>
  <c r="M76"/>
  <c r="R14"/>
  <c r="K14"/>
  <c r="H36"/>
  <c r="M108"/>
  <c r="P108"/>
  <c r="H63"/>
  <c r="K63"/>
  <c r="K18"/>
  <c r="R18"/>
  <c r="K38"/>
  <c r="P38"/>
  <c r="K69"/>
  <c r="M94"/>
  <c r="P94"/>
  <c r="H54"/>
  <c r="H97"/>
  <c r="M97"/>
  <c r="M45"/>
  <c r="H45"/>
  <c r="H73"/>
  <c r="T73"/>
  <c r="R28"/>
  <c r="K28"/>
  <c r="K52"/>
  <c r="P52"/>
  <c r="K79"/>
  <c r="P79"/>
  <c r="K99"/>
  <c r="N99"/>
  <c r="T106"/>
  <c r="N84"/>
  <c r="H68"/>
  <c r="H44"/>
  <c r="K13"/>
  <c r="M39"/>
  <c r="T39"/>
  <c r="K61"/>
  <c r="K41"/>
  <c r="K65"/>
  <c r="P65"/>
  <c r="K103"/>
  <c r="T120"/>
  <c r="T35"/>
  <c r="M35"/>
  <c r="H50"/>
  <c r="H74"/>
  <c r="H102"/>
  <c r="H77"/>
  <c r="K77"/>
  <c r="M53"/>
  <c r="T53"/>
  <c r="M25"/>
  <c r="T25"/>
  <c r="H109"/>
  <c r="K109"/>
  <c r="K17"/>
  <c r="H17"/>
  <c r="R42"/>
  <c r="K42"/>
  <c r="M72"/>
  <c r="R72"/>
  <c r="K93"/>
  <c r="P93"/>
  <c r="K117"/>
  <c r="T86"/>
  <c r="M20"/>
  <c r="N91"/>
  <c r="M91"/>
  <c r="R113"/>
  <c r="P113"/>
  <c r="N49"/>
  <c r="K49"/>
  <c r="T80"/>
  <c r="R80"/>
  <c r="T104"/>
  <c r="K104"/>
  <c r="P30"/>
  <c r="N30"/>
  <c r="N119"/>
  <c r="M119"/>
  <c r="N67"/>
  <c r="R67"/>
  <c r="N43"/>
  <c r="K43"/>
  <c r="N15"/>
  <c r="M15"/>
  <c r="N57"/>
  <c r="K57"/>
  <c r="R33"/>
  <c r="N33"/>
  <c r="T58"/>
  <c r="P58"/>
  <c r="P98"/>
  <c r="M98"/>
  <c r="P82"/>
  <c r="M82"/>
  <c r="P64"/>
  <c r="M64"/>
  <c r="P40"/>
  <c r="T40"/>
  <c r="P12"/>
  <c r="T12"/>
  <c r="T114"/>
  <c r="M10"/>
  <c r="R10"/>
  <c r="T56"/>
  <c r="R83"/>
  <c r="H83"/>
  <c r="T100"/>
  <c r="T76"/>
  <c r="K76"/>
  <c r="M14"/>
  <c r="P14"/>
  <c r="P36"/>
  <c r="T36"/>
  <c r="T108"/>
  <c r="R108"/>
  <c r="N63"/>
  <c r="M63"/>
  <c r="M18"/>
  <c r="M38"/>
  <c r="R38"/>
  <c r="R69"/>
  <c r="H69"/>
  <c r="T94"/>
  <c r="R94"/>
  <c r="P54"/>
  <c r="T54"/>
  <c r="N97"/>
  <c r="R97"/>
  <c r="N45"/>
  <c r="R45"/>
  <c r="N73"/>
  <c r="R73"/>
  <c r="M28"/>
  <c r="M52"/>
  <c r="R52"/>
  <c r="R79"/>
  <c r="H79"/>
  <c r="R99"/>
  <c r="P99"/>
  <c r="P106"/>
  <c r="M106"/>
  <c r="P84"/>
  <c r="M84"/>
  <c r="P68"/>
  <c r="T68"/>
  <c r="P44"/>
  <c r="N44"/>
  <c r="R13"/>
  <c r="H13"/>
  <c r="N39"/>
  <c r="H39"/>
  <c r="R61"/>
  <c r="N61"/>
  <c r="R41"/>
  <c r="H41"/>
  <c r="R65"/>
  <c r="H65"/>
  <c r="R103"/>
  <c r="N103"/>
  <c r="P120"/>
  <c r="M120"/>
  <c r="N35"/>
  <c r="K35"/>
  <c r="P50"/>
  <c r="T50"/>
  <c r="P74"/>
  <c r="T74"/>
  <c r="P102"/>
  <c r="T102"/>
  <c r="N77"/>
  <c r="M77"/>
  <c r="N53"/>
  <c r="H53"/>
  <c r="N25"/>
  <c r="H25"/>
  <c r="N109"/>
  <c r="R109"/>
  <c r="R17"/>
  <c r="N17"/>
  <c r="M42"/>
  <c r="T72"/>
  <c r="P72"/>
  <c r="R93"/>
  <c r="H93"/>
  <c r="R117"/>
  <c r="N117"/>
  <c r="H86"/>
  <c r="P86"/>
  <c r="T20"/>
  <c r="P20"/>
  <c r="R91"/>
  <c r="M113"/>
  <c r="H113"/>
  <c r="H49"/>
  <c r="H80"/>
  <c r="H104"/>
  <c r="P104"/>
  <c r="K30"/>
  <c r="M30"/>
  <c r="R119"/>
  <c r="T67"/>
  <c r="M43"/>
  <c r="H15"/>
  <c r="M57"/>
  <c r="M33"/>
  <c r="H33"/>
  <c r="H58"/>
  <c r="K98"/>
  <c r="T98"/>
  <c r="K82"/>
  <c r="T82"/>
  <c r="K64"/>
  <c r="N64"/>
  <c r="K40"/>
  <c r="M40"/>
  <c r="K12"/>
  <c r="M12"/>
  <c r="H114"/>
  <c r="P114"/>
  <c r="T10"/>
  <c r="H56"/>
  <c r="P56"/>
  <c r="M83"/>
  <c r="N83"/>
  <c r="H100"/>
  <c r="P100"/>
  <c r="H76"/>
  <c r="P76"/>
  <c r="T14"/>
  <c r="K36"/>
  <c r="M36"/>
  <c r="H108"/>
  <c r="R63"/>
  <c r="T18"/>
  <c r="P18"/>
  <c r="T38"/>
  <c r="M69"/>
  <c r="N69"/>
  <c r="H94"/>
  <c r="K54"/>
  <c r="M54"/>
  <c r="K97"/>
  <c r="T45"/>
  <c r="K73"/>
  <c r="T28"/>
  <c r="P28"/>
  <c r="T52"/>
  <c r="M79"/>
  <c r="N79"/>
  <c r="M99"/>
  <c r="H99"/>
  <c r="K106"/>
  <c r="N106"/>
  <c r="K84"/>
  <c r="T84"/>
  <c r="K68"/>
  <c r="M68"/>
  <c r="K44"/>
  <c r="M44"/>
  <c r="M13"/>
  <c r="N13"/>
  <c r="R39"/>
  <c r="M61"/>
  <c r="H61"/>
  <c r="M41"/>
  <c r="N41"/>
  <c r="M65"/>
  <c r="N65"/>
  <c r="M103"/>
  <c r="H103"/>
  <c r="K120"/>
  <c r="N120"/>
  <c r="H35"/>
  <c r="K50"/>
  <c r="M50"/>
  <c r="K74"/>
  <c r="M74"/>
  <c r="K102"/>
  <c r="M102"/>
  <c r="R77"/>
  <c r="K53"/>
  <c r="K25"/>
  <c r="T109"/>
  <c r="M17"/>
  <c r="P17"/>
  <c r="T42"/>
  <c r="P42"/>
  <c r="H72"/>
  <c r="M93"/>
  <c r="N93"/>
  <c r="M117"/>
  <c r="H117"/>
  <c r="K112"/>
  <c r="T112"/>
  <c r="K92"/>
  <c r="N92"/>
  <c r="K46"/>
  <c r="T46"/>
  <c r="K26"/>
  <c r="M26"/>
  <c r="K87"/>
  <c r="M107"/>
  <c r="N107"/>
  <c r="K22"/>
  <c r="T22"/>
  <c r="T95"/>
  <c r="M23"/>
  <c r="N23"/>
  <c r="T6"/>
  <c r="P6"/>
  <c r="M51"/>
  <c r="N51"/>
  <c r="M75"/>
  <c r="H75"/>
  <c r="K101"/>
  <c r="M9"/>
  <c r="N9"/>
  <c r="T34"/>
  <c r="M55"/>
  <c r="N55"/>
  <c r="M89"/>
  <c r="H89"/>
  <c r="H118"/>
  <c r="P118"/>
  <c r="R105"/>
  <c r="H62"/>
  <c r="P62"/>
  <c r="M19"/>
  <c r="H19"/>
  <c r="H70"/>
  <c r="H90"/>
  <c r="P90"/>
  <c r="M121"/>
  <c r="N121"/>
  <c r="T24"/>
  <c r="M27"/>
  <c r="N27"/>
  <c r="M47"/>
  <c r="H47"/>
  <c r="M71"/>
  <c r="P71"/>
  <c r="H122"/>
  <c r="K115"/>
  <c r="K11"/>
  <c r="M31"/>
  <c r="P31"/>
  <c r="T48"/>
  <c r="P48"/>
  <c r="M85"/>
  <c r="H85"/>
  <c r="H110"/>
  <c r="K16"/>
  <c r="N16"/>
  <c r="K111"/>
  <c r="T81"/>
  <c r="K59"/>
  <c r="H29"/>
  <c r="K7"/>
  <c r="K21"/>
  <c r="M37"/>
  <c r="N37"/>
  <c r="H66"/>
  <c r="R66"/>
  <c r="K88"/>
  <c r="M88"/>
  <c r="K116"/>
  <c r="M116"/>
  <c r="T91"/>
  <c r="R49"/>
  <c r="K80"/>
  <c r="T30"/>
  <c r="M67"/>
  <c r="R15"/>
  <c r="P33"/>
  <c r="N82"/>
  <c r="N40"/>
  <c r="K114"/>
  <c r="P83"/>
  <c r="R76"/>
  <c r="N36"/>
  <c r="T63"/>
  <c r="H38"/>
  <c r="K94"/>
  <c r="M73"/>
  <c r="H52"/>
  <c r="H106"/>
  <c r="N68"/>
  <c r="P13"/>
  <c r="P61"/>
  <c r="H120"/>
  <c r="N50"/>
  <c r="N102"/>
  <c r="R53"/>
  <c r="M109"/>
  <c r="H42"/>
  <c r="P112"/>
  <c r="N112"/>
  <c r="H92"/>
  <c r="N46"/>
  <c r="P26"/>
  <c r="H26"/>
  <c r="M87"/>
  <c r="R107"/>
  <c r="P107"/>
  <c r="M22"/>
  <c r="N95"/>
  <c r="K95"/>
  <c r="M6"/>
  <c r="K6"/>
  <c r="R51"/>
  <c r="P51"/>
  <c r="P75"/>
  <c r="N101"/>
  <c r="T101"/>
  <c r="M34"/>
  <c r="K34"/>
  <c r="P55"/>
  <c r="R89"/>
  <c r="R118"/>
  <c r="N105"/>
  <c r="K105"/>
  <c r="R62"/>
  <c r="R19"/>
  <c r="T70"/>
  <c r="K70"/>
  <c r="R90"/>
  <c r="R121"/>
  <c r="P121"/>
  <c r="H24"/>
  <c r="R27"/>
  <c r="P47"/>
  <c r="R71"/>
  <c r="H71"/>
  <c r="T122"/>
  <c r="R122"/>
  <c r="M115"/>
  <c r="N11"/>
  <c r="T11"/>
  <c r="M48"/>
  <c r="K48"/>
  <c r="T110"/>
  <c r="K110"/>
  <c r="T16"/>
  <c r="N111"/>
  <c r="M111"/>
  <c r="M81"/>
  <c r="N59"/>
  <c r="T59"/>
  <c r="R29"/>
  <c r="N7"/>
  <c r="M7"/>
  <c r="H21"/>
  <c r="R37"/>
  <c r="P37"/>
  <c r="K66"/>
  <c r="P88"/>
  <c r="H88"/>
  <c r="P116"/>
  <c r="H116"/>
  <c r="H96"/>
  <c r="T78"/>
  <c r="H60"/>
  <c r="H32"/>
  <c r="H8"/>
  <c r="T89"/>
  <c r="M105"/>
  <c r="M62"/>
  <c r="N19"/>
  <c r="N70"/>
  <c r="P70"/>
  <c r="T121"/>
  <c r="H121"/>
  <c r="T27"/>
  <c r="H27"/>
  <c r="T71"/>
  <c r="N71"/>
  <c r="N122"/>
  <c r="P122"/>
  <c r="P11"/>
  <c r="H11"/>
  <c r="N48"/>
  <c r="N110"/>
  <c r="P110"/>
  <c r="P111"/>
  <c r="R111"/>
  <c r="P59"/>
  <c r="R59"/>
  <c r="P7"/>
  <c r="R7"/>
  <c r="T37"/>
  <c r="H37"/>
  <c r="R88"/>
  <c r="T88"/>
  <c r="R116"/>
  <c r="T116"/>
  <c r="M96"/>
  <c r="P78"/>
  <c r="P60"/>
  <c r="M60"/>
  <c r="M32"/>
  <c r="P8"/>
  <c r="H20"/>
  <c r="T119"/>
  <c r="H43"/>
  <c r="K58"/>
  <c r="H98"/>
  <c r="N12"/>
  <c r="H10"/>
  <c r="K100"/>
  <c r="H14"/>
  <c r="K108"/>
  <c r="H18"/>
  <c r="N54"/>
  <c r="K45"/>
  <c r="H28"/>
  <c r="H84"/>
  <c r="K39"/>
  <c r="P41"/>
  <c r="N74"/>
  <c r="T77"/>
  <c r="K72"/>
  <c r="H112"/>
  <c r="P92"/>
  <c r="P46"/>
  <c r="N87"/>
  <c r="H22"/>
  <c r="R23"/>
  <c r="P9"/>
  <c r="H34"/>
  <c r="P89"/>
  <c r="T62"/>
  <c r="P27"/>
  <c r="R47"/>
  <c r="K122"/>
  <c r="R115"/>
  <c r="R31"/>
  <c r="H48"/>
  <c r="R110"/>
  <c r="P16"/>
  <c r="N81"/>
  <c r="K81"/>
  <c r="K29"/>
  <c r="H7"/>
  <c r="N88"/>
  <c r="K96"/>
  <c r="T96"/>
  <c r="K60"/>
  <c r="T60"/>
  <c r="K8"/>
  <c r="T8"/>
  <c r="P91"/>
  <c r="P49"/>
  <c r="N80"/>
  <c r="R30"/>
  <c r="P67"/>
  <c r="P15"/>
  <c r="T33"/>
  <c r="R82"/>
  <c r="R40"/>
  <c r="N114"/>
  <c r="T83"/>
  <c r="N76"/>
  <c r="R36"/>
  <c r="P63"/>
  <c r="N38"/>
  <c r="N94"/>
  <c r="P73"/>
  <c r="N52"/>
  <c r="T99"/>
  <c r="R106"/>
  <c r="R68"/>
  <c r="T13"/>
  <c r="T61"/>
  <c r="T65"/>
  <c r="R120"/>
  <c r="R50"/>
  <c r="R102"/>
  <c r="P53"/>
  <c r="P109"/>
  <c r="N42"/>
  <c r="T93"/>
  <c r="R112"/>
  <c r="M112"/>
  <c r="R26"/>
  <c r="T26"/>
  <c r="H87"/>
  <c r="T107"/>
  <c r="H107"/>
  <c r="P95"/>
  <c r="R95"/>
  <c r="K23"/>
  <c r="N6"/>
  <c r="T51"/>
  <c r="H51"/>
  <c r="K75"/>
  <c r="P101"/>
  <c r="R101"/>
  <c r="K9"/>
  <c r="N34"/>
  <c r="P34"/>
  <c r="K55"/>
  <c r="N89"/>
  <c r="M118"/>
  <c r="P105"/>
  <c r="T19"/>
  <c r="M90"/>
  <c r="K24"/>
  <c r="K47"/>
  <c r="H115"/>
  <c r="K31"/>
  <c r="K85"/>
  <c r="H81"/>
  <c r="T29"/>
  <c r="T21"/>
  <c r="M66"/>
  <c r="P96"/>
  <c r="M78"/>
  <c r="P32"/>
  <c r="N8"/>
  <c r="K86"/>
  <c r="R104"/>
  <c r="T57"/>
  <c r="H64"/>
  <c r="R56"/>
  <c r="P69"/>
  <c r="T97"/>
  <c r="T44"/>
  <c r="P103"/>
  <c r="R25"/>
  <c r="P117"/>
  <c r="T92"/>
  <c r="H46"/>
  <c r="T87"/>
  <c r="M95"/>
  <c r="M101"/>
  <c r="R55"/>
  <c r="T118"/>
  <c r="R70"/>
  <c r="M24"/>
  <c r="R11"/>
  <c r="R85"/>
  <c r="H16"/>
  <c r="M59"/>
  <c r="M21"/>
  <c r="N78"/>
  <c r="K32"/>
  <c r="N86"/>
  <c r="N20"/>
  <c r="T113"/>
  <c r="N104"/>
  <c r="P119"/>
  <c r="P43"/>
  <c r="P57"/>
  <c r="N58"/>
  <c r="R98"/>
  <c r="R64"/>
  <c r="R12"/>
  <c r="N10"/>
  <c r="N56"/>
  <c r="N100"/>
  <c r="N14"/>
  <c r="N108"/>
  <c r="N18"/>
  <c r="T69"/>
  <c r="R54"/>
  <c r="P97"/>
  <c r="P45"/>
  <c r="N28"/>
  <c r="T79"/>
  <c r="R84"/>
  <c r="R44"/>
  <c r="P39"/>
  <c r="T41"/>
  <c r="T103"/>
  <c r="P35"/>
  <c r="R74"/>
  <c r="P77"/>
  <c r="P25"/>
  <c r="T17"/>
  <c r="N72"/>
  <c r="T117"/>
  <c r="R92"/>
  <c r="M92"/>
  <c r="R46"/>
  <c r="M46"/>
  <c r="P87"/>
  <c r="R87"/>
  <c r="K107"/>
  <c r="R22"/>
  <c r="N22"/>
  <c r="H95"/>
  <c r="T23"/>
  <c r="H23"/>
  <c r="R6"/>
  <c r="K51"/>
  <c r="T75"/>
  <c r="N75"/>
  <c r="H101"/>
  <c r="T9"/>
  <c r="H9"/>
  <c r="R34"/>
  <c r="T55"/>
  <c r="H55"/>
  <c r="K89"/>
  <c r="N118"/>
  <c r="K118"/>
  <c r="H105"/>
  <c r="N62"/>
  <c r="K62"/>
  <c r="K19"/>
  <c r="M70"/>
  <c r="N90"/>
  <c r="K90"/>
  <c r="K121"/>
  <c r="N24"/>
  <c r="R24"/>
  <c r="K27"/>
  <c r="T47"/>
  <c r="N47"/>
  <c r="K71"/>
  <c r="M122"/>
  <c r="P115"/>
  <c r="T115"/>
  <c r="M11"/>
  <c r="T31"/>
  <c r="N31"/>
  <c r="R48"/>
  <c r="T85"/>
  <c r="P85"/>
  <c r="M110"/>
  <c r="R16"/>
  <c r="M16"/>
  <c r="H111"/>
  <c r="P81"/>
  <c r="R81"/>
  <c r="H59"/>
  <c r="P29"/>
  <c r="M29"/>
  <c r="T7"/>
  <c r="P21"/>
  <c r="R21"/>
  <c r="K37"/>
  <c r="N66"/>
  <c r="P66"/>
  <c r="R96"/>
  <c r="N96"/>
  <c r="R78"/>
  <c r="H78"/>
  <c r="R60"/>
  <c r="N60"/>
  <c r="R32"/>
  <c r="N32"/>
  <c r="R8"/>
  <c r="M8"/>
  <c r="R35"/>
  <c r="N26"/>
  <c r="P22"/>
  <c r="P23"/>
  <c r="H6"/>
  <c r="R75"/>
  <c r="R9"/>
  <c r="T105"/>
  <c r="P19"/>
  <c r="T90"/>
  <c r="P24"/>
  <c r="N115"/>
  <c r="H31"/>
  <c r="N85"/>
  <c r="T111"/>
  <c r="N29"/>
  <c r="N21"/>
  <c r="T66"/>
  <c r="N116"/>
  <c r="K78"/>
  <c r="T32"/>
  <c r="F86" i="1"/>
  <c r="F7" i="3"/>
  <c r="J8" i="2" s="1"/>
  <c r="F90" i="1"/>
  <c r="F10" i="3"/>
  <c r="J11" i="2" s="1"/>
  <c r="F84" i="1"/>
  <c r="F5" i="3"/>
  <c r="J6" i="2" s="1"/>
  <c r="F88" i="1"/>
  <c r="F8" i="3"/>
  <c r="J9" i="2" s="1"/>
  <c r="F87" i="1"/>
  <c r="F89"/>
  <c r="F9" i="3"/>
  <c r="J10" i="2" s="1"/>
  <c r="F94" i="1"/>
  <c r="F11" i="3"/>
  <c r="J12" i="2" s="1"/>
  <c r="F85" i="1"/>
  <c r="F6" i="3"/>
  <c r="J7" i="2" s="1"/>
  <c r="F95" i="1"/>
  <c r="F12" i="3"/>
  <c r="J13" i="2" s="1"/>
  <c r="F96" i="1"/>
  <c r="F13" i="3"/>
  <c r="J14" i="2" s="1"/>
  <c r="F99" i="1"/>
  <c r="F16" i="3"/>
  <c r="J17" i="2" s="1"/>
  <c r="F78" i="1"/>
  <c r="F98"/>
  <c r="F15" i="3"/>
  <c r="J16" i="2" s="1"/>
  <c r="F102" i="1"/>
  <c r="F100"/>
  <c r="F17" i="3"/>
  <c r="J18" i="2" s="1"/>
  <c r="F82" i="1"/>
  <c r="T25" i="10"/>
  <c r="H136" i="2" l="1"/>
  <c r="F115" i="1"/>
  <c r="F26" i="3"/>
  <c r="J27" i="2" s="1"/>
  <c r="F108" i="1"/>
  <c r="F22" i="3"/>
  <c r="J23" i="2" s="1"/>
  <c r="F107" i="1"/>
  <c r="F21" i="3"/>
  <c r="J22" i="2" s="1"/>
  <c r="F114" i="1"/>
  <c r="F25" i="3"/>
  <c r="J26" i="2" s="1"/>
  <c r="F113" i="1"/>
  <c r="F24" i="3"/>
  <c r="J25" i="2" s="1"/>
  <c r="F106" i="1"/>
  <c r="F103"/>
  <c r="F18" i="3"/>
  <c r="J19" i="2" s="1"/>
  <c r="F105" i="1"/>
  <c r="F20" i="3"/>
  <c r="J21" i="2" s="1"/>
  <c r="F104" i="1"/>
  <c r="F19" i="3"/>
  <c r="J20" i="2" s="1"/>
  <c r="F109" i="1"/>
  <c r="F23" i="3"/>
  <c r="J24" i="2" s="1"/>
  <c r="F119" i="1"/>
  <c r="F30" i="3"/>
  <c r="J31" i="2" s="1"/>
  <c r="F117" i="1"/>
  <c r="F28" i="3"/>
  <c r="J29" i="2" s="1"/>
  <c r="F118" i="1"/>
  <c r="F29" i="3"/>
  <c r="J30" i="2" s="1"/>
  <c r="F101" i="1"/>
  <c r="F121"/>
  <c r="F97"/>
  <c r="F14" i="3"/>
  <c r="J15" i="2" s="1"/>
  <c r="F137"/>
  <c r="A9" i="4" s="1"/>
  <c r="F138" i="2"/>
  <c r="A10" i="4" s="1"/>
  <c r="F139" i="2"/>
  <c r="A11" i="4" s="1"/>
  <c r="F140" i="2"/>
  <c r="A12" i="4" s="1"/>
  <c r="F141" i="2"/>
  <c r="A13" i="4" s="1"/>
  <c r="F142" i="2"/>
  <c r="A14" i="4" s="1"/>
  <c r="F143" i="2"/>
  <c r="A15" i="4" s="1"/>
  <c r="F144" i="2"/>
  <c r="A16" i="4" s="1"/>
  <c r="F145" i="2"/>
  <c r="A17" i="4" s="1"/>
  <c r="F146" i="2"/>
  <c r="A18" i="4" s="1"/>
  <c r="F147" i="2"/>
  <c r="A19" i="4" s="1"/>
  <c r="F148" i="2"/>
  <c r="A20" i="4" s="1"/>
  <c r="F149" i="2"/>
  <c r="A21" i="4" s="1"/>
  <c r="F150" i="2"/>
  <c r="A22" i="4" s="1"/>
  <c r="F151" i="2"/>
  <c r="A23" i="4" s="1"/>
  <c r="F152" i="2"/>
  <c r="A24" i="4" s="1"/>
  <c r="F153" i="2"/>
  <c r="A25" i="4" s="1"/>
  <c r="F154" i="2"/>
  <c r="A26" i="4" s="1"/>
  <c r="F155" i="2"/>
  <c r="A27" i="4" s="1"/>
  <c r="F156" i="2"/>
  <c r="A28" i="4" s="1"/>
  <c r="F157" i="2"/>
  <c r="A29" i="4" s="1"/>
  <c r="F158" i="2"/>
  <c r="A30" i="4" s="1"/>
  <c r="F159" i="2"/>
  <c r="A31" i="4" s="1"/>
  <c r="F160" i="2"/>
  <c r="A32" i="4" s="1"/>
  <c r="F161" i="2"/>
  <c r="A33" i="4" s="1"/>
  <c r="F162" i="2"/>
  <c r="A34" i="4" s="1"/>
  <c r="F163" i="2"/>
  <c r="A35" i="4" s="1"/>
  <c r="F164" i="2"/>
  <c r="A36" i="4" s="1"/>
  <c r="F165" i="2"/>
  <c r="A37" i="4" s="1"/>
  <c r="F166" i="2"/>
  <c r="A38" i="4" s="1"/>
  <c r="F167" i="2"/>
  <c r="A39" i="4" s="1"/>
  <c r="F168" i="2"/>
  <c r="A40" i="4" s="1"/>
  <c r="F169" i="2"/>
  <c r="A41" i="4" s="1"/>
  <c r="F170" i="2"/>
  <c r="A42" i="4" s="1"/>
  <c r="F171" i="2"/>
  <c r="A43" i="4" s="1"/>
  <c r="F172" i="2"/>
  <c r="A44" i="4" s="1"/>
  <c r="F173" i="2"/>
  <c r="A45" i="4" s="1"/>
  <c r="F174" i="2"/>
  <c r="A46" i="4" s="1"/>
  <c r="F136" i="2"/>
  <c r="A8" i="4" s="1"/>
  <c r="F123" i="1" l="1"/>
  <c r="F32" i="3"/>
  <c r="J33" i="2" s="1"/>
  <c r="F122" i="1"/>
  <c r="F31" i="3"/>
  <c r="J32" i="2" s="1"/>
  <c r="F132" i="1"/>
  <c r="F37" i="3"/>
  <c r="J38" i="2" s="1"/>
  <c r="F126" i="1"/>
  <c r="F34" i="3"/>
  <c r="J35" i="2" s="1"/>
  <c r="F134" i="1"/>
  <c r="F39" i="3"/>
  <c r="J40" i="2" s="1"/>
  <c r="F128" i="1"/>
  <c r="F36" i="3"/>
  <c r="J37" i="2" s="1"/>
  <c r="F124" i="1"/>
  <c r="F33" i="3"/>
  <c r="J34" i="2" s="1"/>
  <c r="F125" i="1"/>
  <c r="F133"/>
  <c r="F38" i="3"/>
  <c r="J39" i="2" s="1"/>
  <c r="F127" i="1"/>
  <c r="F35" i="3"/>
  <c r="J36" i="2" s="1"/>
  <c r="F140" i="1"/>
  <c r="F137"/>
  <c r="F42" i="3"/>
  <c r="J43" i="2" s="1"/>
  <c r="F138" i="1"/>
  <c r="F43" i="3"/>
  <c r="J44" i="2" s="1"/>
  <c r="F116" i="1"/>
  <c r="F27" i="3"/>
  <c r="J28" i="2" s="1"/>
  <c r="F120" i="1"/>
  <c r="F136"/>
  <c r="F41" i="3"/>
  <c r="J42" i="2" s="1"/>
  <c r="B8" i="4"/>
  <c r="F152" i="1" l="1"/>
  <c r="F51" i="3"/>
  <c r="J52" i="2" s="1"/>
  <c r="F143" i="1"/>
  <c r="F46" i="3"/>
  <c r="J47" i="2" s="1"/>
  <c r="F153" i="1"/>
  <c r="F52" i="3"/>
  <c r="J53" i="2" s="1"/>
  <c r="F142" i="1"/>
  <c r="F45" i="3"/>
  <c r="J46" i="2" s="1"/>
  <c r="F151" i="1"/>
  <c r="F50" i="3"/>
  <c r="J51" i="2" s="1"/>
  <c r="F146" i="1"/>
  <c r="F48" i="3"/>
  <c r="J49" i="2" s="1"/>
  <c r="F144" i="1"/>
  <c r="F147"/>
  <c r="F49" i="3"/>
  <c r="J50" i="2" s="1"/>
  <c r="F145" i="1"/>
  <c r="F47" i="3"/>
  <c r="J48" i="2" s="1"/>
  <c r="F141" i="1"/>
  <c r="F44" i="3"/>
  <c r="J45" i="2" s="1"/>
  <c r="F139" i="1"/>
  <c r="F157"/>
  <c r="F56" i="3"/>
  <c r="J57" i="2" s="1"/>
  <c r="F159" i="1"/>
  <c r="F155"/>
  <c r="F54" i="3"/>
  <c r="J55" i="2" s="1"/>
  <c r="F135" i="1"/>
  <c r="F40" i="3"/>
  <c r="J41" i="2" s="1"/>
  <c r="F156" i="1"/>
  <c r="F55" i="3"/>
  <c r="J56" i="2" s="1"/>
  <c r="D138" i="6"/>
  <c r="D163"/>
  <c r="D157"/>
  <c r="D150"/>
  <c r="D144"/>
  <c r="D164"/>
  <c r="D158"/>
  <c r="D151"/>
  <c r="D139"/>
  <c r="D172"/>
  <c r="D159"/>
  <c r="D155"/>
  <c r="D142"/>
  <c r="D167"/>
  <c r="D154"/>
  <c r="D141"/>
  <c r="D173"/>
  <c r="D165"/>
  <c r="D162"/>
  <c r="D160"/>
  <c r="D156"/>
  <c r="D152"/>
  <c r="D149"/>
  <c r="D143"/>
  <c r="D171"/>
  <c r="D145"/>
  <c r="D166"/>
  <c r="D168"/>
  <c r="D170"/>
  <c r="D174"/>
  <c r="D146"/>
  <c r="D169"/>
  <c r="D161"/>
  <c r="D153"/>
  <c r="D148"/>
  <c r="D140"/>
  <c r="D137"/>
  <c r="D136"/>
  <c r="D147"/>
  <c r="B136" l="1"/>
  <c r="H3" i="27" s="1"/>
  <c r="B137" i="6"/>
  <c r="H4" i="27" s="1"/>
  <c r="A137" i="6"/>
  <c r="G4" i="27" s="1"/>
  <c r="B161" i="6"/>
  <c r="A161"/>
  <c r="B170"/>
  <c r="A170"/>
  <c r="B171"/>
  <c r="A171"/>
  <c r="B156"/>
  <c r="A156"/>
  <c r="B173"/>
  <c r="A173"/>
  <c r="B155"/>
  <c r="H22" i="27" s="1"/>
  <c r="A155" i="6"/>
  <c r="G22" i="27" s="1"/>
  <c r="B164" i="6"/>
  <c r="A164"/>
  <c r="B157"/>
  <c r="A157"/>
  <c r="B147"/>
  <c r="H14" i="27" s="1"/>
  <c r="A147" i="6"/>
  <c r="G14" i="27" s="1"/>
  <c r="B148" i="6"/>
  <c r="H15" i="27" s="1"/>
  <c r="A148" i="6"/>
  <c r="G15" i="27" s="1"/>
  <c r="B146" i="6"/>
  <c r="H13" i="27" s="1"/>
  <c r="A146" i="6"/>
  <c r="G13" i="27" s="1"/>
  <c r="B166" i="6"/>
  <c r="A166"/>
  <c r="B149"/>
  <c r="H16" i="27" s="1"/>
  <c r="A149" i="6"/>
  <c r="G16" i="27" s="1"/>
  <c r="B162" i="6"/>
  <c r="A162"/>
  <c r="B142"/>
  <c r="H9" i="27" s="1"/>
  <c r="A142" i="6"/>
  <c r="G9" i="27" s="1"/>
  <c r="B151" i="6"/>
  <c r="H18" i="27" s="1"/>
  <c r="A151" i="6"/>
  <c r="G18" i="27" s="1"/>
  <c r="B144" i="6"/>
  <c r="H11" i="27" s="1"/>
  <c r="A144" i="6"/>
  <c r="G11" i="27" s="1"/>
  <c r="B138" i="6"/>
  <c r="H5" i="27" s="1"/>
  <c r="A138" i="6"/>
  <c r="G5" i="27" s="1"/>
  <c r="B140" i="6"/>
  <c r="H7" i="27" s="1"/>
  <c r="A140" i="6"/>
  <c r="G7" i="27" s="1"/>
  <c r="B169" i="6"/>
  <c r="A169"/>
  <c r="B168"/>
  <c r="A168"/>
  <c r="B143"/>
  <c r="H10" i="27" s="1"/>
  <c r="A143" i="6"/>
  <c r="G10" i="27" s="1"/>
  <c r="B160" i="6"/>
  <c r="A160"/>
  <c r="B141"/>
  <c r="H8" i="27" s="1"/>
  <c r="A141" i="6"/>
  <c r="G8" i="27" s="1"/>
  <c r="B167" i="6"/>
  <c r="A167"/>
  <c r="B159"/>
  <c r="A159"/>
  <c r="B139"/>
  <c r="H6" i="27" s="1"/>
  <c r="A139" i="6"/>
  <c r="G6" i="27" s="1"/>
  <c r="B163" i="6"/>
  <c r="A163"/>
  <c r="B153"/>
  <c r="H20" i="27" s="1"/>
  <c r="A153" i="6"/>
  <c r="G20" i="27" s="1"/>
  <c r="B174" i="6"/>
  <c r="A174"/>
  <c r="B145"/>
  <c r="H12" i="27" s="1"/>
  <c r="A145" i="6"/>
  <c r="G12" i="27" s="1"/>
  <c r="B152" i="6"/>
  <c r="H19" i="27" s="1"/>
  <c r="A152" i="6"/>
  <c r="G19" i="27" s="1"/>
  <c r="B165" i="6"/>
  <c r="A165"/>
  <c r="B154"/>
  <c r="H21" i="27" s="1"/>
  <c r="A154" i="6"/>
  <c r="G21" i="27" s="1"/>
  <c r="B172" i="6"/>
  <c r="A172"/>
  <c r="B158"/>
  <c r="A158"/>
  <c r="B150"/>
  <c r="H17" i="27" s="1"/>
  <c r="A150" i="6"/>
  <c r="G17" i="27" s="1"/>
  <c r="F164" i="1"/>
  <c r="F60" i="3"/>
  <c r="J61" i="2" s="1"/>
  <c r="F163" i="1"/>
  <c r="F170"/>
  <c r="F63" i="3"/>
  <c r="J64" i="2" s="1"/>
  <c r="F172" i="1"/>
  <c r="F65" i="3"/>
  <c r="J66" i="2" s="1"/>
  <c r="F171" i="1"/>
  <c r="F64" i="3"/>
  <c r="J65" i="2" s="1"/>
  <c r="F160" i="1"/>
  <c r="F57" i="3"/>
  <c r="J58" i="2" s="1"/>
  <c r="F166" i="1"/>
  <c r="F62" i="3"/>
  <c r="J63" i="2" s="1"/>
  <c r="F165" i="1"/>
  <c r="F61" i="3"/>
  <c r="J62" i="2" s="1"/>
  <c r="F161" i="1"/>
  <c r="F58" i="3"/>
  <c r="J59" i="2" s="1"/>
  <c r="F162" i="1"/>
  <c r="F59" i="3"/>
  <c r="J60" i="2" s="1"/>
  <c r="F175" i="1"/>
  <c r="F68" i="3"/>
  <c r="J69" i="2" s="1"/>
  <c r="F174" i="1"/>
  <c r="F67" i="3"/>
  <c r="J68" i="2" s="1"/>
  <c r="F154" i="1"/>
  <c r="F53" i="3"/>
  <c r="J54" i="2" s="1"/>
  <c r="F178" i="1"/>
  <c r="F158"/>
  <c r="F176"/>
  <c r="F69" i="3"/>
  <c r="J70" i="2" s="1"/>
  <c r="X220" i="6"/>
  <c r="X221" s="1"/>
  <c r="W220"/>
  <c r="W221" s="1"/>
  <c r="V220"/>
  <c r="V221" s="1"/>
  <c r="U220"/>
  <c r="U221" s="1"/>
  <c r="T220"/>
  <c r="T221" s="1"/>
  <c r="S220"/>
  <c r="S221" s="1"/>
  <c r="R220"/>
  <c r="R221" s="1"/>
  <c r="Q220"/>
  <c r="Q221" s="1"/>
  <c r="P220"/>
  <c r="P221" s="1"/>
  <c r="O220"/>
  <c r="O221" s="1"/>
  <c r="N220"/>
  <c r="N221" s="1"/>
  <c r="M220"/>
  <c r="M221" s="1"/>
  <c r="L220"/>
  <c r="L221" s="1"/>
  <c r="K220"/>
  <c r="K221" s="1"/>
  <c r="J220"/>
  <c r="J221" s="1"/>
  <c r="I220"/>
  <c r="I221" s="1"/>
  <c r="H220"/>
  <c r="H221" s="1"/>
  <c r="G220"/>
  <c r="G221" s="1"/>
  <c r="F220"/>
  <c r="F221" s="1"/>
  <c r="E220"/>
  <c r="E221" s="1"/>
  <c r="X183"/>
  <c r="X184" s="1"/>
  <c r="W183"/>
  <c r="W184" s="1"/>
  <c r="V183"/>
  <c r="V184" s="1"/>
  <c r="U183"/>
  <c r="U184" s="1"/>
  <c r="T183"/>
  <c r="T184" s="1"/>
  <c r="S183"/>
  <c r="S184" s="1"/>
  <c r="R183"/>
  <c r="R184" s="1"/>
  <c r="Q183"/>
  <c r="Q184" s="1"/>
  <c r="P183"/>
  <c r="P184" s="1"/>
  <c r="O183"/>
  <c r="O184" s="1"/>
  <c r="N183"/>
  <c r="N184" s="1"/>
  <c r="M183"/>
  <c r="M184" s="1"/>
  <c r="L183"/>
  <c r="L184" s="1"/>
  <c r="K183"/>
  <c r="K184" s="1"/>
  <c r="J183"/>
  <c r="J184" s="1"/>
  <c r="I183"/>
  <c r="I184" s="1"/>
  <c r="H183"/>
  <c r="H184" s="1"/>
  <c r="G183"/>
  <c r="G184" s="1"/>
  <c r="F183"/>
  <c r="F184" s="1"/>
  <c r="E183"/>
  <c r="E184" s="1"/>
  <c r="X134"/>
  <c r="X135" s="1"/>
  <c r="W134"/>
  <c r="W135" s="1"/>
  <c r="V134"/>
  <c r="V135" s="1"/>
  <c r="U134"/>
  <c r="U135" s="1"/>
  <c r="T134"/>
  <c r="T135" s="1"/>
  <c r="S134"/>
  <c r="S135" s="1"/>
  <c r="R134"/>
  <c r="R135" s="1"/>
  <c r="Q134"/>
  <c r="Q135" s="1"/>
  <c r="P134"/>
  <c r="P135" s="1"/>
  <c r="O134"/>
  <c r="O135" s="1"/>
  <c r="N134"/>
  <c r="N135" s="1"/>
  <c r="M134"/>
  <c r="M135" s="1"/>
  <c r="L134"/>
  <c r="L135" s="1"/>
  <c r="K134"/>
  <c r="K135" s="1"/>
  <c r="J134"/>
  <c r="J135" s="1"/>
  <c r="I134"/>
  <c r="I135" s="1"/>
  <c r="H134"/>
  <c r="H135" s="1"/>
  <c r="G134"/>
  <c r="G135" s="1"/>
  <c r="F134"/>
  <c r="F135" s="1"/>
  <c r="E134"/>
  <c r="E135" s="1"/>
  <c r="C133"/>
  <c r="C22"/>
  <c r="A21" s="1"/>
  <c r="A11"/>
  <c r="F180" i="1" l="1"/>
  <c r="F71" i="3"/>
  <c r="J72" i="2" s="1"/>
  <c r="F185" i="1"/>
  <c r="F75" i="3"/>
  <c r="J76" i="2" s="1"/>
  <c r="F190" i="1"/>
  <c r="F77" i="3"/>
  <c r="J78" i="2" s="1"/>
  <c r="F189" i="1"/>
  <c r="F76" i="3"/>
  <c r="J77" i="2" s="1"/>
  <c r="F183" i="1"/>
  <c r="F73" i="3"/>
  <c r="J74" i="2" s="1"/>
  <c r="F181" i="1"/>
  <c r="F72" i="3"/>
  <c r="J73" i="2" s="1"/>
  <c r="F184" i="1"/>
  <c r="F74" i="3"/>
  <c r="J75" i="2" s="1"/>
  <c r="F179" i="1"/>
  <c r="F70" i="3"/>
  <c r="J71" i="2" s="1"/>
  <c r="F191" i="1"/>
  <c r="F78" i="3"/>
  <c r="J79" i="2" s="1"/>
  <c r="F182" i="1"/>
  <c r="F177"/>
  <c r="F173"/>
  <c r="F66" i="3"/>
  <c r="J67" i="2" s="1"/>
  <c r="F194" i="1"/>
  <c r="F81" i="3"/>
  <c r="J82" i="2" s="1"/>
  <c r="F195" i="1"/>
  <c r="F82" i="3"/>
  <c r="J83" i="2" s="1"/>
  <c r="F197" i="1"/>
  <c r="F193"/>
  <c r="F80" i="3"/>
  <c r="J81" i="2" s="1"/>
  <c r="C35" i="6"/>
  <c r="C100" s="1"/>
  <c r="C37"/>
  <c r="C102" s="1"/>
  <c r="C40"/>
  <c r="C105" s="1"/>
  <c r="C44"/>
  <c r="C109" s="1"/>
  <c r="C48"/>
  <c r="C113" s="1"/>
  <c r="C50"/>
  <c r="C115" s="1"/>
  <c r="C53"/>
  <c r="C118" s="1"/>
  <c r="C57"/>
  <c r="C122" s="1"/>
  <c r="C61"/>
  <c r="C126" s="1"/>
  <c r="C38"/>
  <c r="C103" s="1"/>
  <c r="C41"/>
  <c r="C106" s="1"/>
  <c r="C45"/>
  <c r="C110" s="1"/>
  <c r="C51"/>
  <c r="C116" s="1"/>
  <c r="C54"/>
  <c r="C119" s="1"/>
  <c r="C58"/>
  <c r="C123" s="1"/>
  <c r="C42"/>
  <c r="C107" s="1"/>
  <c r="C55"/>
  <c r="C120" s="1"/>
  <c r="C33"/>
  <c r="C98" s="1"/>
  <c r="C46"/>
  <c r="C111" s="1"/>
  <c r="C59"/>
  <c r="C124" s="1"/>
  <c r="C43"/>
  <c r="C108" s="1"/>
  <c r="C56"/>
  <c r="C121" s="1"/>
  <c r="C34"/>
  <c r="C99" s="1"/>
  <c r="C47"/>
  <c r="C112" s="1"/>
  <c r="C60"/>
  <c r="C125" s="1"/>
  <c r="C36"/>
  <c r="A36" s="1"/>
  <c r="Z36" s="1"/>
  <c r="C49"/>
  <c r="A49" s="1"/>
  <c r="Z49" s="1"/>
  <c r="C39"/>
  <c r="C104" s="1"/>
  <c r="C52"/>
  <c r="C117" s="1"/>
  <c r="C144"/>
  <c r="C148"/>
  <c r="C150"/>
  <c r="C153"/>
  <c r="C157"/>
  <c r="C161"/>
  <c r="C163"/>
  <c r="C166"/>
  <c r="C170"/>
  <c r="C174"/>
  <c r="C145"/>
  <c r="C151"/>
  <c r="C154"/>
  <c r="C158"/>
  <c r="C164"/>
  <c r="C167"/>
  <c r="C171"/>
  <c r="C146"/>
  <c r="C155"/>
  <c r="C159"/>
  <c r="C168"/>
  <c r="C172"/>
  <c r="C147"/>
  <c r="C149"/>
  <c r="C152"/>
  <c r="C156"/>
  <c r="C160"/>
  <c r="C162"/>
  <c r="C165"/>
  <c r="C169"/>
  <c r="C173"/>
  <c r="C32"/>
  <c r="C97" s="1"/>
  <c r="Q18"/>
  <c r="E18"/>
  <c r="M18"/>
  <c r="U18"/>
  <c r="I18"/>
  <c r="C31"/>
  <c r="C96" s="1"/>
  <c r="C28"/>
  <c r="C93" s="1"/>
  <c r="C30"/>
  <c r="C95" s="1"/>
  <c r="C27"/>
  <c r="C92" s="1"/>
  <c r="C29"/>
  <c r="C94" s="1"/>
  <c r="C25"/>
  <c r="C24"/>
  <c r="C88"/>
  <c r="C26"/>
  <c r="C91" s="1"/>
  <c r="H18"/>
  <c r="L18"/>
  <c r="P18"/>
  <c r="T18"/>
  <c r="X18"/>
  <c r="G18"/>
  <c r="K18"/>
  <c r="O18"/>
  <c r="S18"/>
  <c r="W18"/>
  <c r="F18"/>
  <c r="J18"/>
  <c r="N18"/>
  <c r="R18"/>
  <c r="V18"/>
  <c r="D220"/>
  <c r="C87"/>
  <c r="C140"/>
  <c r="C139"/>
  <c r="C143"/>
  <c r="C141"/>
  <c r="C138"/>
  <c r="C142"/>
  <c r="C137"/>
  <c r="X88" l="1"/>
  <c r="C101"/>
  <c r="C114"/>
  <c r="F210" i="1"/>
  <c r="F91" i="3"/>
  <c r="J92" i="2" s="1"/>
  <c r="F203" i="1"/>
  <c r="F87" i="3"/>
  <c r="J88" i="2" s="1"/>
  <c r="F202" i="1"/>
  <c r="F86" i="3"/>
  <c r="J87" i="2" s="1"/>
  <c r="F209" i="1"/>
  <c r="F90" i="3"/>
  <c r="J91" i="2" s="1"/>
  <c r="F199" i="1"/>
  <c r="F84" i="3"/>
  <c r="J85" i="2" s="1"/>
  <c r="F201" i="1"/>
  <c r="F198"/>
  <c r="F83" i="3"/>
  <c r="J84" i="2" s="1"/>
  <c r="F200" i="1"/>
  <c r="F85" i="3"/>
  <c r="J86" i="2" s="1"/>
  <c r="F208" i="1"/>
  <c r="F89" i="3"/>
  <c r="J90" i="2" s="1"/>
  <c r="F204" i="1"/>
  <c r="F88" i="3"/>
  <c r="J89" i="2" s="1"/>
  <c r="F216" i="1"/>
  <c r="F213"/>
  <c r="F94" i="3"/>
  <c r="J95" i="2" s="1"/>
  <c r="F196" i="1"/>
  <c r="F212"/>
  <c r="F93" i="3"/>
  <c r="J94" i="2" s="1"/>
  <c r="F214" i="1"/>
  <c r="F95" i="3"/>
  <c r="J96" i="2" s="1"/>
  <c r="F192" i="1"/>
  <c r="F79" i="3"/>
  <c r="J80" i="2" s="1"/>
  <c r="C89" i="6"/>
  <c r="C90"/>
  <c r="A86"/>
  <c r="F227" i="1" l="1"/>
  <c r="F115" i="3" s="1"/>
  <c r="J116" i="2" s="1"/>
  <c r="F102" i="3"/>
  <c r="J103" i="2" s="1"/>
  <c r="F217" i="1"/>
  <c r="F109" i="3" s="1"/>
  <c r="J110" i="2" s="1"/>
  <c r="F96" i="3"/>
  <c r="J97" i="2" s="1"/>
  <c r="F218" i="1"/>
  <c r="F110" i="3" s="1"/>
  <c r="J111" i="2" s="1"/>
  <c r="F97" i="3"/>
  <c r="J98" i="2" s="1"/>
  <c r="F221" i="1"/>
  <c r="F112" i="3" s="1"/>
  <c r="J113" i="2" s="1"/>
  <c r="F99" i="3"/>
  <c r="J100" i="2" s="1"/>
  <c r="F229" i="1"/>
  <c r="F117" i="3" s="1"/>
  <c r="J118" i="2" s="1"/>
  <c r="F104" i="3"/>
  <c r="J105" i="2" s="1"/>
  <c r="F223" i="1"/>
  <c r="F114" i="3" s="1"/>
  <c r="J115" i="2" s="1"/>
  <c r="F101" i="3"/>
  <c r="J102" i="2" s="1"/>
  <c r="F219" i="1"/>
  <c r="F111" i="3" s="1"/>
  <c r="J112" i="2" s="1"/>
  <c r="F98" i="3"/>
  <c r="J99" i="2" s="1"/>
  <c r="F220" i="1"/>
  <c r="F228"/>
  <c r="F116" i="3" s="1"/>
  <c r="J117" i="2" s="1"/>
  <c r="F103" i="3"/>
  <c r="J104" i="2" s="1"/>
  <c r="F222" i="1"/>
  <c r="F113" i="3" s="1"/>
  <c r="J114" i="2" s="1"/>
  <c r="F100" i="3"/>
  <c r="J101" i="2" s="1"/>
  <c r="F233" i="1"/>
  <c r="F121" i="3" s="1"/>
  <c r="J122" i="2" s="1"/>
  <c r="F108" i="3"/>
  <c r="J109" i="2" s="1"/>
  <c r="F215" i="1"/>
  <c r="F235"/>
  <c r="F211"/>
  <c r="F92" i="3"/>
  <c r="J93" i="2" s="1"/>
  <c r="F231" i="1"/>
  <c r="F119" i="3" s="1"/>
  <c r="J120" i="2" s="1"/>
  <c r="F106" i="3"/>
  <c r="J107" i="2" s="1"/>
  <c r="F232" i="1"/>
  <c r="F120" i="3" s="1"/>
  <c r="J121" i="2" s="1"/>
  <c r="F107" i="3"/>
  <c r="J108" i="2" s="1"/>
  <c r="F230" i="1" l="1"/>
  <c r="F118" i="3" s="1"/>
  <c r="J119" i="2" s="1"/>
  <c r="F105" i="3"/>
  <c r="J106" i="2" s="1"/>
  <c r="F234" i="1"/>
  <c r="S121" i="2" l="1"/>
  <c r="Q120"/>
  <c r="S110"/>
  <c r="Q109"/>
  <c r="O106"/>
  <c r="O99"/>
  <c r="Q87"/>
  <c r="Q165" s="1"/>
  <c r="L37" i="4" s="1"/>
  <c r="S83" i="2"/>
  <c r="S75"/>
  <c r="S72"/>
  <c r="S70"/>
  <c r="O66"/>
  <c r="Q65"/>
  <c r="S64"/>
  <c r="L59"/>
  <c r="O55"/>
  <c r="O159" s="1"/>
  <c r="J31" i="4" s="1"/>
  <c r="S53" i="2"/>
  <c r="S157" s="1"/>
  <c r="N29" i="4" s="1"/>
  <c r="L48" i="2"/>
  <c r="L152" s="1"/>
  <c r="S46"/>
  <c r="S150" s="1"/>
  <c r="N22" i="4" s="1"/>
  <c r="O43" i="2"/>
  <c r="L42"/>
  <c r="O36"/>
  <c r="Q35"/>
  <c r="S29"/>
  <c r="L28"/>
  <c r="S27"/>
  <c r="S23"/>
  <c r="S18"/>
  <c r="S148" s="1"/>
  <c r="N20" i="4" s="1"/>
  <c r="L17" i="2"/>
  <c r="L147" s="1"/>
  <c r="L16"/>
  <c r="L146" s="1"/>
  <c r="S12"/>
  <c r="S142" s="1"/>
  <c r="N14" i="4" s="1"/>
  <c r="O10" i="2"/>
  <c r="O140" s="1"/>
  <c r="J12" i="4" s="1"/>
  <c r="O7" i="2"/>
  <c r="O137" s="1"/>
  <c r="J9" i="4" s="1"/>
  <c r="O91" i="2"/>
  <c r="O169" s="1"/>
  <c r="J41" i="4" s="1"/>
  <c r="O24" i="2" l="1"/>
  <c r="L58"/>
  <c r="L65"/>
  <c r="L15"/>
  <c r="L145" s="1"/>
  <c r="O47"/>
  <c r="O151" s="1"/>
  <c r="J23" i="4" s="1"/>
  <c r="O69" i="2"/>
  <c r="L52"/>
  <c r="L156" s="1"/>
  <c r="L56"/>
  <c r="L160" s="1"/>
  <c r="O102"/>
  <c r="O76"/>
  <c r="O6"/>
  <c r="O136" s="1"/>
  <c r="J8" i="4" s="1"/>
  <c r="O21" i="2"/>
  <c r="O14"/>
  <c r="O144" s="1"/>
  <c r="J16" i="4" s="1"/>
  <c r="L50" i="2"/>
  <c r="L154" s="1"/>
  <c r="O117"/>
  <c r="L54"/>
  <c r="L158" s="1"/>
  <c r="L73"/>
  <c r="L61"/>
  <c r="O110"/>
  <c r="O19"/>
  <c r="O84"/>
  <c r="O162" s="1"/>
  <c r="J34" i="4" s="1"/>
  <c r="Q13" i="2"/>
  <c r="Q143" s="1"/>
  <c r="L15" i="4" s="1"/>
  <c r="O9" i="2"/>
  <c r="O139" s="1"/>
  <c r="J11" i="4" s="1"/>
  <c r="L66" i="2"/>
  <c r="L35"/>
  <c r="O13"/>
  <c r="O143" s="1"/>
  <c r="J15" i="4" s="1"/>
  <c r="L30" i="2"/>
  <c r="O39"/>
  <c r="L32"/>
  <c r="O59"/>
  <c r="O61"/>
  <c r="O54"/>
  <c r="O158" s="1"/>
  <c r="J30" i="4" s="1"/>
  <c r="O42" i="2"/>
  <c r="O30"/>
  <c r="L24"/>
  <c r="O15"/>
  <c r="O145" s="1"/>
  <c r="J17" i="4" s="1"/>
  <c r="O65" i="2"/>
  <c r="O35"/>
  <c r="L21"/>
  <c r="O73"/>
  <c r="O72"/>
  <c r="L69"/>
  <c r="O58"/>
  <c r="O56"/>
  <c r="O160" s="1"/>
  <c r="J32" i="4" s="1"/>
  <c r="O50" i="2"/>
  <c r="O154" s="1"/>
  <c r="J26" i="4" s="1"/>
  <c r="L47" i="2"/>
  <c r="L151" s="1"/>
  <c r="L39"/>
  <c r="O32"/>
  <c r="O121"/>
  <c r="O113"/>
  <c r="O95"/>
  <c r="O173" s="1"/>
  <c r="J45" i="4" s="1"/>
  <c r="O87" i="2"/>
  <c r="O165" s="1"/>
  <c r="J37" i="4" s="1"/>
  <c r="Q58" i="2"/>
  <c r="O53"/>
  <c r="O157" s="1"/>
  <c r="J29" i="4" s="1"/>
  <c r="Q6" i="2"/>
  <c r="Q136" s="1"/>
  <c r="L8" i="4" s="1"/>
  <c r="Q54" i="2"/>
  <c r="Q158" s="1"/>
  <c r="L30" i="4" s="1"/>
  <c r="Q76" i="2"/>
  <c r="O98"/>
  <c r="O90"/>
  <c r="O168" s="1"/>
  <c r="J40" i="4" s="1"/>
  <c r="O79" i="2"/>
  <c r="Q24"/>
  <c r="Q110"/>
  <c r="Q98"/>
  <c r="O70"/>
  <c r="O20"/>
  <c r="O18"/>
  <c r="O148" s="1"/>
  <c r="J20" i="4" s="1"/>
  <c r="O64" i="2"/>
  <c r="O45"/>
  <c r="O149" s="1"/>
  <c r="J21" i="4" s="1"/>
  <c r="O38" i="2"/>
  <c r="O29"/>
  <c r="O101"/>
  <c r="O83"/>
  <c r="S14"/>
  <c r="S144" s="1"/>
  <c r="N16" i="4" s="1"/>
  <c r="S44" i="2"/>
  <c r="S79"/>
  <c r="O49"/>
  <c r="O153" s="1"/>
  <c r="J25" i="4" s="1"/>
  <c r="O109" i="2"/>
  <c r="S49"/>
  <c r="S153" s="1"/>
  <c r="N25" i="4" s="1"/>
  <c r="O27" i="2"/>
  <c r="O23"/>
  <c r="O68"/>
  <c r="O46"/>
  <c r="O150" s="1"/>
  <c r="J22" i="4" s="1"/>
  <c r="O44" i="2"/>
  <c r="O105"/>
  <c r="O80"/>
  <c r="O8"/>
  <c r="O138" s="1"/>
  <c r="J10" i="4" s="1"/>
  <c r="S17" i="2"/>
  <c r="S147" s="1"/>
  <c r="N19" i="4" s="1"/>
  <c r="O17" i="2"/>
  <c r="O147" s="1"/>
  <c r="J19" i="4" s="1"/>
  <c r="O26" i="2"/>
  <c r="S34"/>
  <c r="L34"/>
  <c r="L43"/>
  <c r="S52"/>
  <c r="S156" s="1"/>
  <c r="N28" i="4" s="1"/>
  <c r="O52" i="2"/>
  <c r="O156" s="1"/>
  <c r="J28" i="4" s="1"/>
  <c r="O67" i="2"/>
  <c r="L74"/>
  <c r="S82"/>
  <c r="O82"/>
  <c r="O89"/>
  <c r="O167" s="1"/>
  <c r="J39" i="4" s="1"/>
  <c r="L97" i="2"/>
  <c r="O104"/>
  <c r="O112"/>
  <c r="S11"/>
  <c r="S141" s="1"/>
  <c r="N13" i="4" s="1"/>
  <c r="O11" i="2"/>
  <c r="O141" s="1"/>
  <c r="J13" i="4" s="1"/>
  <c r="L19" i="2"/>
  <c r="S22"/>
  <c r="L22"/>
  <c r="O28"/>
  <c r="L37"/>
  <c r="L41"/>
  <c r="S41"/>
  <c r="S45"/>
  <c r="S149" s="1"/>
  <c r="N21" i="4" s="1"/>
  <c r="L45" i="2"/>
  <c r="L149" s="1"/>
  <c r="O48"/>
  <c r="O152" s="1"/>
  <c r="J24" i="4" s="1"/>
  <c r="L60" i="2"/>
  <c r="O63"/>
  <c r="S63"/>
  <c r="O71"/>
  <c r="O78"/>
  <c r="L86"/>
  <c r="L164" s="1"/>
  <c r="S93"/>
  <c r="S171" s="1"/>
  <c r="N43" i="4" s="1"/>
  <c r="O93" i="2"/>
  <c r="O171" s="1"/>
  <c r="J43" i="4" s="1"/>
  <c r="O100" i="2"/>
  <c r="L108"/>
  <c r="Q115"/>
  <c r="O115"/>
  <c r="L119"/>
  <c r="O37"/>
  <c r="O34"/>
  <c r="L26"/>
  <c r="O22"/>
  <c r="L71"/>
  <c r="L67"/>
  <c r="L63"/>
  <c r="O60"/>
  <c r="O41"/>
  <c r="S28"/>
  <c r="S20"/>
  <c r="Q30"/>
  <c r="S38"/>
  <c r="Q47"/>
  <c r="Q151" s="1"/>
  <c r="L23" i="4" s="1"/>
  <c r="S68" i="2"/>
  <c r="S90"/>
  <c r="S168" s="1"/>
  <c r="N40" i="4" s="1"/>
  <c r="O120" i="2"/>
  <c r="O116"/>
  <c r="O94"/>
  <c r="O172" s="1"/>
  <c r="J44" i="4" s="1"/>
  <c r="O75" i="2"/>
  <c r="S7"/>
  <c r="S137" s="1"/>
  <c r="N9" i="4" s="1"/>
  <c r="Q7" i="2"/>
  <c r="Q137" s="1"/>
  <c r="L9" i="4" s="1"/>
  <c r="S10" i="2"/>
  <c r="S140" s="1"/>
  <c r="N12" i="4" s="1"/>
  <c r="Q10" i="2"/>
  <c r="Q140" s="1"/>
  <c r="L12" i="4" s="1"/>
  <c r="S16" i="2"/>
  <c r="S146" s="1"/>
  <c r="N18" i="4" s="1"/>
  <c r="Q16" i="2"/>
  <c r="Q146" s="1"/>
  <c r="L18" i="4" s="1"/>
  <c r="S25" i="2"/>
  <c r="Q25"/>
  <c r="O25"/>
  <c r="S31"/>
  <c r="Q31"/>
  <c r="S33"/>
  <c r="Q33"/>
  <c r="L33"/>
  <c r="O33"/>
  <c r="S36"/>
  <c r="Q36"/>
  <c r="S40"/>
  <c r="O40"/>
  <c r="Q40"/>
  <c r="L40"/>
  <c r="S42"/>
  <c r="Q42"/>
  <c r="S51"/>
  <c r="S155" s="1"/>
  <c r="N27" i="4" s="1"/>
  <c r="O51" i="2"/>
  <c r="O155" s="1"/>
  <c r="J27" i="4" s="1"/>
  <c r="Q51" i="2"/>
  <c r="Q155" s="1"/>
  <c r="L27" i="4" s="1"/>
  <c r="L51" i="2"/>
  <c r="L155" s="1"/>
  <c r="S55"/>
  <c r="S159" s="1"/>
  <c r="N31" i="4" s="1"/>
  <c r="Q55" i="2"/>
  <c r="Q159" s="1"/>
  <c r="L31" i="4" s="1"/>
  <c r="S57" i="2"/>
  <c r="S161" s="1"/>
  <c r="N33" i="4" s="1"/>
  <c r="Q57" i="2"/>
  <c r="Q161" s="1"/>
  <c r="L33" i="4" s="1"/>
  <c r="L57" i="2"/>
  <c r="L161" s="1"/>
  <c r="O57"/>
  <c r="O161" s="1"/>
  <c r="J33" i="4" s="1"/>
  <c r="S59" i="2"/>
  <c r="Q59"/>
  <c r="S62"/>
  <c r="O62"/>
  <c r="Q62"/>
  <c r="L62"/>
  <c r="S66"/>
  <c r="Q66"/>
  <c r="S77"/>
  <c r="O77"/>
  <c r="Q77"/>
  <c r="L77"/>
  <c r="S81"/>
  <c r="L81"/>
  <c r="Q81"/>
  <c r="O81"/>
  <c r="S85"/>
  <c r="S163" s="1"/>
  <c r="N35" i="4" s="1"/>
  <c r="O85" i="2"/>
  <c r="O163" s="1"/>
  <c r="J35" i="4" s="1"/>
  <c r="Q85" i="2"/>
  <c r="Q163" s="1"/>
  <c r="L35" i="4" s="1"/>
  <c r="L85" i="2"/>
  <c r="L163" s="1"/>
  <c r="S88"/>
  <c r="S166" s="1"/>
  <c r="N38" i="4" s="1"/>
  <c r="O88" i="2"/>
  <c r="O166" s="1"/>
  <c r="J38" i="4" s="1"/>
  <c r="Q88" i="2"/>
  <c r="Q166" s="1"/>
  <c r="L38" i="4" s="1"/>
  <c r="L88" i="2"/>
  <c r="L166" s="1"/>
  <c r="S92"/>
  <c r="S170" s="1"/>
  <c r="N42" i="4" s="1"/>
  <c r="L92" i="2"/>
  <c r="L170" s="1"/>
  <c r="Q92"/>
  <c r="Q170" s="1"/>
  <c r="L42" i="4" s="1"/>
  <c r="O92" i="2"/>
  <c r="O170" s="1"/>
  <c r="J42" i="4" s="1"/>
  <c r="Q96" i="2"/>
  <c r="Q174" s="1"/>
  <c r="L46" i="4" s="1"/>
  <c r="S96" i="2"/>
  <c r="S174" s="1"/>
  <c r="N46" i="4" s="1"/>
  <c r="L96" i="2"/>
  <c r="L174" s="1"/>
  <c r="O96"/>
  <c r="O174" s="1"/>
  <c r="J46" i="4" s="1"/>
  <c r="Q103" i="2"/>
  <c r="L103"/>
  <c r="S103"/>
  <c r="O103"/>
  <c r="Q107"/>
  <c r="S107"/>
  <c r="L107"/>
  <c r="O107"/>
  <c r="Q111"/>
  <c r="O111"/>
  <c r="S111"/>
  <c r="L111"/>
  <c r="Q114"/>
  <c r="S114"/>
  <c r="L114"/>
  <c r="O114"/>
  <c r="Q118"/>
  <c r="L118"/>
  <c r="S118"/>
  <c r="O118"/>
  <c r="Q122"/>
  <c r="S122"/>
  <c r="O122"/>
  <c r="L122"/>
  <c r="L25"/>
  <c r="O16"/>
  <c r="O146" s="1"/>
  <c r="J18" i="4" s="1"/>
  <c r="L55" i="2"/>
  <c r="L159" s="1"/>
  <c r="L31"/>
  <c r="L36"/>
  <c r="O31"/>
  <c r="Q8"/>
  <c r="Q138" s="1"/>
  <c r="L10" i="4" s="1"/>
  <c r="S8" i="2"/>
  <c r="S138" s="1"/>
  <c r="N10" i="4" s="1"/>
  <c r="Q11" i="2"/>
  <c r="Q141" s="1"/>
  <c r="L13" i="4" s="1"/>
  <c r="Q17" i="2"/>
  <c r="Q147" s="1"/>
  <c r="L19" i="4" s="1"/>
  <c r="Q19" i="2"/>
  <c r="S19"/>
  <c r="Q22"/>
  <c r="Q26"/>
  <c r="S26"/>
  <c r="Q28"/>
  <c r="Q34"/>
  <c r="Q37"/>
  <c r="S37"/>
  <c r="Q41"/>
  <c r="Q43"/>
  <c r="S43"/>
  <c r="Q45"/>
  <c r="Q149" s="1"/>
  <c r="L21" i="4" s="1"/>
  <c r="Q48" i="2"/>
  <c r="Q152" s="1"/>
  <c r="L24" i="4" s="1"/>
  <c r="S48" i="2"/>
  <c r="S152" s="1"/>
  <c r="N24" i="4" s="1"/>
  <c r="Q52" i="2"/>
  <c r="Q156" s="1"/>
  <c r="L28" i="4" s="1"/>
  <c r="Q60" i="2"/>
  <c r="S60"/>
  <c r="Q63"/>
  <c r="Q67"/>
  <c r="S67"/>
  <c r="Q71"/>
  <c r="S71"/>
  <c r="Q74"/>
  <c r="O74"/>
  <c r="Q78"/>
  <c r="S78"/>
  <c r="L78"/>
  <c r="Q82"/>
  <c r="L82"/>
  <c r="Q86"/>
  <c r="Q164" s="1"/>
  <c r="L36" i="4" s="1"/>
  <c r="O86" i="2"/>
  <c r="O164" s="1"/>
  <c r="J36" i="4" s="1"/>
  <c r="Q89" i="2"/>
  <c r="Q167" s="1"/>
  <c r="L39" i="4" s="1"/>
  <c r="S89" i="2"/>
  <c r="S167" s="1"/>
  <c r="N39" i="4" s="1"/>
  <c r="L89" i="2"/>
  <c r="L167" s="1"/>
  <c r="Q93"/>
  <c r="Q171" s="1"/>
  <c r="L43" i="4" s="1"/>
  <c r="L93" i="2"/>
  <c r="L171" s="1"/>
  <c r="S97"/>
  <c r="Q97"/>
  <c r="O97"/>
  <c r="Q100"/>
  <c r="S100"/>
  <c r="L100"/>
  <c r="Q104"/>
  <c r="S104"/>
  <c r="L104"/>
  <c r="S108"/>
  <c r="O108"/>
  <c r="S112"/>
  <c r="Q112"/>
  <c r="L112"/>
  <c r="S115"/>
  <c r="L115"/>
  <c r="S119"/>
  <c r="Q119"/>
  <c r="O119"/>
  <c r="Q108"/>
  <c r="S74"/>
  <c r="S86"/>
  <c r="S164" s="1"/>
  <c r="N36" i="4" s="1"/>
  <c r="S6" i="2"/>
  <c r="S136" s="1"/>
  <c r="N8" i="4" s="1"/>
  <c r="S9" i="2"/>
  <c r="S139" s="1"/>
  <c r="N11" i="4" s="1"/>
  <c r="S13" i="2"/>
  <c r="S143" s="1"/>
  <c r="N15" i="4" s="1"/>
  <c r="S15" i="2"/>
  <c r="S145" s="1"/>
  <c r="N17" i="4" s="1"/>
  <c r="S21" i="2"/>
  <c r="S24"/>
  <c r="S30"/>
  <c r="S32"/>
  <c r="S35"/>
  <c r="S39"/>
  <c r="S47"/>
  <c r="S151" s="1"/>
  <c r="N23" i="4" s="1"/>
  <c r="S50" i="2"/>
  <c r="S154" s="1"/>
  <c r="N26" i="4" s="1"/>
  <c r="S54" i="2"/>
  <c r="S158" s="1"/>
  <c r="N30" i="4" s="1"/>
  <c r="S56" i="2"/>
  <c r="S160" s="1"/>
  <c r="N32" i="4" s="1"/>
  <c r="S58" i="2"/>
  <c r="S61"/>
  <c r="S65"/>
  <c r="S69"/>
  <c r="S73"/>
  <c r="L76"/>
  <c r="S76"/>
  <c r="L80"/>
  <c r="S80"/>
  <c r="L84"/>
  <c r="L162" s="1"/>
  <c r="S84"/>
  <c r="S162" s="1"/>
  <c r="N34" i="4" s="1"/>
  <c r="L87" i="2"/>
  <c r="L165" s="1"/>
  <c r="S87"/>
  <c r="S165" s="1"/>
  <c r="N37" i="4" s="1"/>
  <c r="L91" i="2"/>
  <c r="L169" s="1"/>
  <c r="S91"/>
  <c r="S169" s="1"/>
  <c r="N41" i="4" s="1"/>
  <c r="L95" i="2"/>
  <c r="L173" s="1"/>
  <c r="Q95"/>
  <c r="Q173" s="1"/>
  <c r="L45" i="4" s="1"/>
  <c r="S95" i="2"/>
  <c r="S173" s="1"/>
  <c r="N45" i="4" s="1"/>
  <c r="L99" i="2"/>
  <c r="L102"/>
  <c r="Q102"/>
  <c r="L106"/>
  <c r="Q106"/>
  <c r="S106"/>
  <c r="L110"/>
  <c r="L113"/>
  <c r="Q113"/>
  <c r="L117"/>
  <c r="Q117"/>
  <c r="S117"/>
  <c r="L121"/>
  <c r="Q121"/>
  <c r="S99"/>
  <c r="O12"/>
  <c r="O142" s="1"/>
  <c r="J14" i="4" s="1"/>
  <c r="Q12" i="2"/>
  <c r="Q142" s="1"/>
  <c r="L14" i="4" s="1"/>
  <c r="Q14" i="2"/>
  <c r="Q144" s="1"/>
  <c r="L16" i="4" s="1"/>
  <c r="Q18" i="2"/>
  <c r="Q148" s="1"/>
  <c r="L20" i="4" s="1"/>
  <c r="Q20" i="2"/>
  <c r="Q23"/>
  <c r="Q27"/>
  <c r="Q29"/>
  <c r="Q38"/>
  <c r="Q44"/>
  <c r="Q46"/>
  <c r="Q150" s="1"/>
  <c r="L22" i="4" s="1"/>
  <c r="Q49" i="2"/>
  <c r="Q153" s="1"/>
  <c r="L25" i="4" s="1"/>
  <c r="Q53" i="2"/>
  <c r="Q157" s="1"/>
  <c r="L29" i="4" s="1"/>
  <c r="Q64" i="2"/>
  <c r="Q68"/>
  <c r="Q70"/>
  <c r="Q72"/>
  <c r="Q75"/>
  <c r="Q79"/>
  <c r="Q83"/>
  <c r="Q90"/>
  <c r="Q168" s="1"/>
  <c r="L40" i="4" s="1"/>
  <c r="S94" i="2"/>
  <c r="S172" s="1"/>
  <c r="N44" i="4" s="1"/>
  <c r="Q94" i="2"/>
  <c r="Q172" s="1"/>
  <c r="L44" i="4" s="1"/>
  <c r="S98" i="2"/>
  <c r="S101"/>
  <c r="Q101"/>
  <c r="S105"/>
  <c r="Q105"/>
  <c r="S109"/>
  <c r="S116"/>
  <c r="Q116"/>
  <c r="S120"/>
  <c r="Q9"/>
  <c r="Q139" s="1"/>
  <c r="L11" i="4" s="1"/>
  <c r="Q15" i="2"/>
  <c r="Q145" s="1"/>
  <c r="L17" i="4" s="1"/>
  <c r="Q21" i="2"/>
  <c r="Q32"/>
  <c r="Q39"/>
  <c r="Q50"/>
  <c r="Q154" s="1"/>
  <c r="L26" i="4" s="1"/>
  <c r="Q56" i="2"/>
  <c r="Q160" s="1"/>
  <c r="L32" i="4" s="1"/>
  <c r="Q61" i="2"/>
  <c r="Q69"/>
  <c r="Q73"/>
  <c r="Q80"/>
  <c r="Q84"/>
  <c r="Q162" s="1"/>
  <c r="L34" i="4" s="1"/>
  <c r="Q91" i="2"/>
  <c r="Q169" s="1"/>
  <c r="L41" i="4" s="1"/>
  <c r="Q99" i="2"/>
  <c r="S102"/>
  <c r="S113"/>
  <c r="L14"/>
  <c r="L144" s="1"/>
  <c r="L18"/>
  <c r="L148" s="1"/>
  <c r="L20"/>
  <c r="L23"/>
  <c r="L27"/>
  <c r="L29"/>
  <c r="L38"/>
  <c r="L44"/>
  <c r="L46"/>
  <c r="L150" s="1"/>
  <c r="L49"/>
  <c r="L153" s="1"/>
  <c r="L53"/>
  <c r="L157" s="1"/>
  <c r="L64"/>
  <c r="L68"/>
  <c r="L70"/>
  <c r="L72"/>
  <c r="L75"/>
  <c r="L79"/>
  <c r="L83"/>
  <c r="L90"/>
  <c r="L168" s="1"/>
  <c r="L94"/>
  <c r="L172" s="1"/>
  <c r="L98"/>
  <c r="L101"/>
  <c r="L105"/>
  <c r="L109"/>
  <c r="L116"/>
  <c r="L120"/>
  <c r="I36" l="1"/>
  <c r="I33"/>
  <c r="I25"/>
  <c r="I107"/>
  <c r="I96"/>
  <c r="I174" s="1"/>
  <c r="D46" i="4" s="1"/>
  <c r="I88" i="2"/>
  <c r="I166" s="1"/>
  <c r="D38" i="4" s="1"/>
  <c r="I79" i="2"/>
  <c r="I68"/>
  <c r="I12"/>
  <c r="I142" s="1"/>
  <c r="D14" i="4" s="1"/>
  <c r="L11" i="2"/>
  <c r="L141" s="1"/>
  <c r="I59"/>
  <c r="I57"/>
  <c r="I161" s="1"/>
  <c r="D33" i="4" s="1"/>
  <c r="I111" i="2"/>
  <c r="I17"/>
  <c r="I147" s="1"/>
  <c r="D19" i="4" s="1"/>
  <c r="I47" i="2"/>
  <c r="I151" s="1"/>
  <c r="D23" i="4" s="1"/>
  <c r="I43" i="2"/>
  <c r="I119"/>
  <c r="L8"/>
  <c r="L138" s="1"/>
  <c r="I92"/>
  <c r="I170" s="1"/>
  <c r="D42" i="4" s="1"/>
  <c r="L7" i="2"/>
  <c r="L137" s="1"/>
  <c r="I98"/>
  <c r="I108"/>
  <c r="I113"/>
  <c r="I34"/>
  <c r="I65"/>
  <c r="I87"/>
  <c r="I165" s="1"/>
  <c r="D37" i="4" s="1"/>
  <c r="I93" i="2"/>
  <c r="I171" s="1"/>
  <c r="D43" i="4" s="1"/>
  <c r="I99" i="2"/>
  <c r="I104"/>
  <c r="I109"/>
  <c r="I110"/>
  <c r="I13"/>
  <c r="I143" s="1"/>
  <c r="D15" i="4" s="1"/>
  <c r="I42" i="2"/>
  <c r="I51"/>
  <c r="I155" s="1"/>
  <c r="D27" i="4" s="1"/>
  <c r="L6" i="2"/>
  <c r="L136" s="1"/>
  <c r="I9"/>
  <c r="I139" s="1"/>
  <c r="D11" i="4" s="1"/>
  <c r="I20" i="2"/>
  <c r="I44"/>
  <c r="I77"/>
  <c r="I60"/>
  <c r="L10"/>
  <c r="L140" s="1"/>
  <c r="I26"/>
  <c r="I75"/>
  <c r="I102"/>
  <c r="I24"/>
  <c r="I90"/>
  <c r="I168" s="1"/>
  <c r="D40" i="4" s="1"/>
  <c r="I97" i="2"/>
  <c r="I117"/>
  <c r="I15"/>
  <c r="I145" s="1"/>
  <c r="D17" i="4" s="1"/>
  <c r="I61" i="2"/>
  <c r="I121"/>
  <c r="I81"/>
  <c r="I11"/>
  <c r="I141" s="1"/>
  <c r="D13" i="4" s="1"/>
  <c r="I72" i="2"/>
  <c r="I80"/>
  <c r="I52"/>
  <c r="I156" s="1"/>
  <c r="D28" i="4" s="1"/>
  <c r="I86" i="2"/>
  <c r="I164" s="1"/>
  <c r="D36" i="4" s="1"/>
  <c r="I101" i="2"/>
  <c r="I22"/>
  <c r="I54"/>
  <c r="I158" s="1"/>
  <c r="D30" i="4" s="1"/>
  <c r="I120" i="2"/>
  <c r="I118"/>
  <c r="I10"/>
  <c r="I140" s="1"/>
  <c r="D12" i="4" s="1"/>
  <c r="L13" i="2"/>
  <c r="L143" s="1"/>
  <c r="I23"/>
  <c r="I46"/>
  <c r="I150" s="1"/>
  <c r="D22" i="4" s="1"/>
  <c r="I66" i="2"/>
  <c r="I32"/>
  <c r="I41"/>
  <c r="I106"/>
  <c r="I73"/>
  <c r="I114"/>
  <c r="I8"/>
  <c r="I138" s="1"/>
  <c r="D10" i="4" s="1"/>
  <c r="I56" i="2"/>
  <c r="I160" s="1"/>
  <c r="D32" i="4" s="1"/>
  <c r="I71" i="2"/>
  <c r="I35"/>
  <c r="I30"/>
  <c r="I76"/>
  <c r="I16"/>
  <c r="I146" s="1"/>
  <c r="D18" i="4" s="1"/>
  <c r="I55" i="2"/>
  <c r="I159" s="1"/>
  <c r="D31" i="4" s="1"/>
  <c r="I62" i="2"/>
  <c r="I29"/>
  <c r="I53"/>
  <c r="I157" s="1"/>
  <c r="D29" i="4" s="1"/>
  <c r="I64" i="2"/>
  <c r="I95"/>
  <c r="I173" s="1"/>
  <c r="D45" i="4" s="1"/>
  <c r="I45" i="2"/>
  <c r="I149" s="1"/>
  <c r="D21" i="4" s="1"/>
  <c r="I31" i="2"/>
  <c r="I18"/>
  <c r="I148" s="1"/>
  <c r="D20" i="4" s="1"/>
  <c r="I50" i="2"/>
  <c r="I154" s="1"/>
  <c r="D26" i="4" s="1"/>
  <c r="I84" i="2"/>
  <c r="I162" s="1"/>
  <c r="D34" i="4" s="1"/>
  <c r="I105" i="2"/>
  <c r="I112"/>
  <c r="I91"/>
  <c r="I169" s="1"/>
  <c r="D41" i="4" s="1"/>
  <c r="I28" i="2"/>
  <c r="L9"/>
  <c r="L139" s="1"/>
  <c r="I27"/>
  <c r="I85"/>
  <c r="I163" s="1"/>
  <c r="D35" i="4" s="1"/>
  <c r="I122" i="2"/>
  <c r="I58"/>
  <c r="L12"/>
  <c r="L142" s="1"/>
  <c r="I67"/>
  <c r="I89"/>
  <c r="I167" s="1"/>
  <c r="D39" i="4" s="1"/>
  <c r="I100" i="2"/>
  <c r="I116"/>
  <c r="I103"/>
  <c r="I63"/>
  <c r="I6"/>
  <c r="I136" s="1"/>
  <c r="D8" i="4" s="1"/>
  <c r="I7" i="2"/>
  <c r="I137" s="1"/>
  <c r="D9" i="4" s="1"/>
  <c r="I14" i="2"/>
  <c r="I144" s="1"/>
  <c r="D16" i="4" s="1"/>
  <c r="I38" i="2"/>
  <c r="I37"/>
  <c r="I74"/>
  <c r="I39"/>
  <c r="I70"/>
  <c r="I21"/>
  <c r="I115"/>
  <c r="I40"/>
  <c r="I69"/>
  <c r="I19"/>
  <c r="I78"/>
  <c r="I83"/>
  <c r="I94"/>
  <c r="I172" s="1"/>
  <c r="D44" i="4" s="1"/>
  <c r="I48" i="2"/>
  <c r="I152" s="1"/>
  <c r="D24" i="4" s="1"/>
  <c r="I82" i="2"/>
  <c r="I49"/>
  <c r="I153" s="1"/>
  <c r="D25" i="4" s="1"/>
  <c r="H167" i="2" l="1"/>
  <c r="C39" i="4" s="1"/>
  <c r="H149" i="2"/>
  <c r="C21" i="4" s="1"/>
  <c r="H144" i="2"/>
  <c r="C16" i="4" s="1"/>
  <c r="H140" i="2"/>
  <c r="C12" i="4" s="1"/>
  <c r="H147" i="2"/>
  <c r="C19" i="4" s="1"/>
  <c r="H164" i="2"/>
  <c r="C36" i="4" s="1"/>
  <c r="H171" i="2"/>
  <c r="H148"/>
  <c r="C20" i="4" s="1"/>
  <c r="H160" i="2"/>
  <c r="C32" i="4" s="1"/>
  <c r="H169" i="2"/>
  <c r="C41" i="4" s="1"/>
  <c r="H162" i="2"/>
  <c r="C34" i="4" s="1"/>
  <c r="H161" i="2"/>
  <c r="C33" i="4" s="1"/>
  <c r="H137" i="2"/>
  <c r="C9" i="4" s="1"/>
  <c r="H150" i="2"/>
  <c r="H168"/>
  <c r="H170"/>
  <c r="H154"/>
  <c r="H155"/>
  <c r="C27" i="4" s="1"/>
  <c r="H163" i="2"/>
  <c r="C35" i="4" s="1"/>
  <c r="H145" i="2"/>
  <c r="C17" i="4" s="1"/>
  <c r="H165" i="2"/>
  <c r="C37" i="4" s="1"/>
  <c r="H153" i="2"/>
  <c r="C25" i="4" s="1"/>
  <c r="H138" i="2"/>
  <c r="C10" i="4" s="1"/>
  <c r="H156" i="2"/>
  <c r="C28" i="4" s="1"/>
  <c r="H172" i="2"/>
  <c r="H174"/>
  <c r="C46" i="4" s="1"/>
  <c r="H158" i="2"/>
  <c r="H173"/>
  <c r="C45" i="4" s="1"/>
  <c r="H141" i="2"/>
  <c r="C13" i="4" s="1"/>
  <c r="H143" i="2"/>
  <c r="C15" i="4" s="1"/>
  <c r="H151" i="2"/>
  <c r="C23" i="4" s="1"/>
  <c r="H152" i="2"/>
  <c r="C24" i="4" s="1"/>
  <c r="H166" i="2"/>
  <c r="C38" i="4" s="1"/>
  <c r="H142" i="2"/>
  <c r="C14" i="4" s="1"/>
  <c r="H157" i="2"/>
  <c r="C29" i="4" s="1"/>
  <c r="H139" i="2"/>
  <c r="C11" i="4" s="1"/>
  <c r="H159" i="2"/>
  <c r="C31" i="4" s="1"/>
  <c r="H146" i="2"/>
  <c r="C18" i="4" s="1"/>
  <c r="C8"/>
  <c r="N148" i="2"/>
  <c r="I20" i="4" s="1"/>
  <c r="N171" i="2"/>
  <c r="I43" i="4" s="1"/>
  <c r="M165" i="2"/>
  <c r="H37" i="4" s="1"/>
  <c r="M152" i="2"/>
  <c r="H24" i="4" s="1"/>
  <c r="T163" i="2"/>
  <c r="O35" i="4" s="1"/>
  <c r="J165" i="2"/>
  <c r="E37" i="4" s="1"/>
  <c r="J152" i="2"/>
  <c r="E24" i="4" s="1"/>
  <c r="M148" i="2"/>
  <c r="H20" i="4" s="1"/>
  <c r="K146" i="2"/>
  <c r="F18" i="4" s="1"/>
  <c r="K159" i="2"/>
  <c r="F31" i="4" s="1"/>
  <c r="M143" i="2"/>
  <c r="H15" i="4" s="1"/>
  <c r="P146" i="2"/>
  <c r="K18" i="4" s="1"/>
  <c r="M172" i="2"/>
  <c r="H44" i="4" s="1"/>
  <c r="R159" i="2"/>
  <c r="M31" i="4" s="1"/>
  <c r="P140" i="2"/>
  <c r="K12" i="4" s="1"/>
  <c r="T143" i="2"/>
  <c r="O15" i="4" s="1"/>
  <c r="J146" i="2"/>
  <c r="E18" i="4" s="1"/>
  <c r="P145" i="2"/>
  <c r="K17" i="4" s="1"/>
  <c r="N170" i="2"/>
  <c r="I42" i="4" s="1"/>
  <c r="N156" i="2"/>
  <c r="I28" i="4" s="1"/>
  <c r="M159" i="2"/>
  <c r="H31" i="4" s="1"/>
  <c r="R140" i="2"/>
  <c r="M12" i="4" s="1"/>
  <c r="K150" i="2"/>
  <c r="F22" i="4" s="1"/>
  <c r="R164" i="2"/>
  <c r="M36" i="4" s="1"/>
  <c r="K149" i="2"/>
  <c r="F21" i="4" s="1"/>
  <c r="K168" i="2"/>
  <c r="F40" i="4" s="1"/>
  <c r="N144" i="2"/>
  <c r="I16" i="4" s="1"/>
  <c r="P169" i="2"/>
  <c r="K41" i="4" s="1"/>
  <c r="R168" i="2"/>
  <c r="M40" i="4" s="1"/>
  <c r="T155" i="2"/>
  <c r="O27" i="4" s="1"/>
  <c r="M137" i="2"/>
  <c r="H9" i="4" s="1"/>
  <c r="P153" i="2"/>
  <c r="K25" i="4" s="1"/>
  <c r="T164" i="2"/>
  <c r="O36" i="4" s="1"/>
  <c r="J169" i="2"/>
  <c r="E41" i="4" s="1"/>
  <c r="N166" i="2"/>
  <c r="I38" i="4" s="1"/>
  <c r="P148" i="2"/>
  <c r="K20" i="4" s="1"/>
  <c r="N149" i="2"/>
  <c r="I21" i="4" s="1"/>
  <c r="N165" i="2"/>
  <c r="I37" i="4" s="1"/>
  <c r="R155" i="2"/>
  <c r="M27" i="4" s="1"/>
  <c r="R169" i="2"/>
  <c r="M41" i="4" s="1"/>
  <c r="K145" i="2"/>
  <c r="F17" i="4" s="1"/>
  <c r="T166" i="2"/>
  <c r="O38" i="4" s="1"/>
  <c r="N162" i="2"/>
  <c r="I34" i="4" s="1"/>
  <c r="P172" i="2"/>
  <c r="K44" i="4" s="1"/>
  <c r="N174" i="2"/>
  <c r="I46" i="4" s="1"/>
  <c r="T160" i="2"/>
  <c r="O32" i="4" s="1"/>
  <c r="J162" i="2"/>
  <c r="E34" i="4" s="1"/>
  <c r="T173" i="2"/>
  <c r="O45" i="4" s="1"/>
  <c r="R146" i="2"/>
  <c r="M18" i="4" s="1"/>
  <c r="M149" i="2"/>
  <c r="H21" i="4" s="1"/>
  <c r="J137" i="2"/>
  <c r="E9" i="4" s="1"/>
  <c r="N138" i="2"/>
  <c r="I10" i="4" s="1"/>
  <c r="J141" i="2"/>
  <c r="E13" i="4" s="1"/>
  <c r="T150" i="2"/>
  <c r="O22" i="4" s="1"/>
  <c r="K151" i="2"/>
  <c r="F23" i="4" s="1"/>
  <c r="M162" i="2"/>
  <c r="H34" i="4" s="1"/>
  <c r="T153" i="2"/>
  <c r="O25" i="4" s="1"/>
  <c r="M168" i="2"/>
  <c r="H40" i="4" s="1"/>
  <c r="R156" i="2"/>
  <c r="M28" i="4" s="1"/>
  <c r="J148" i="2"/>
  <c r="E20" i="4" s="1"/>
  <c r="P173" i="2"/>
  <c r="K45" i="4" s="1"/>
  <c r="T148" i="2"/>
  <c r="O20" i="4" s="1"/>
  <c r="N172" i="2"/>
  <c r="I44" i="4" s="1"/>
  <c r="T161" i="2"/>
  <c r="O33" i="4" s="1"/>
  <c r="K160" i="2"/>
  <c r="F32" i="4" s="1"/>
  <c r="J161" i="2"/>
  <c r="E33" i="4" s="1"/>
  <c r="R174" i="2"/>
  <c r="M46" i="4" s="1"/>
  <c r="R160" i="2"/>
  <c r="M32" i="4" s="1"/>
  <c r="P137" i="2"/>
  <c r="K9" i="4" s="1"/>
  <c r="J138" i="2"/>
  <c r="E10" i="4" s="1"/>
  <c r="R163" i="2"/>
  <c r="M35" i="4" s="1"/>
  <c r="M136" i="2"/>
  <c r="H8" i="4" s="1"/>
  <c r="K164" i="2"/>
  <c r="F36" i="4" s="1"/>
  <c r="R166" i="2"/>
  <c r="M38" i="4" s="1"/>
  <c r="K136" i="2"/>
  <c r="F8" i="4" s="1"/>
  <c r="J136" i="2"/>
  <c r="E8" i="4" s="1"/>
  <c r="P149" i="2"/>
  <c r="K21" i="4" s="1"/>
  <c r="R137" i="2"/>
  <c r="M9" i="4" s="1"/>
  <c r="J151" i="2"/>
  <c r="E23" i="4" s="1"/>
  <c r="N142" i="2"/>
  <c r="I14" i="4" s="1"/>
  <c r="J143" i="2"/>
  <c r="E15" i="4" s="1"/>
  <c r="J155" i="2"/>
  <c r="E27" i="4" s="1"/>
  <c r="K148" i="2"/>
  <c r="F20" i="4" s="1"/>
  <c r="R154" i="2"/>
  <c r="M26" i="4" s="1"/>
  <c r="R138" i="2"/>
  <c r="M10" i="4" s="1"/>
  <c r="T172" i="2"/>
  <c r="O44" i="4" s="1"/>
  <c r="M167" i="2"/>
  <c r="H39" i="4" s="1"/>
  <c r="T167" i="2"/>
  <c r="O39" i="4" s="1"/>
  <c r="P142" i="2"/>
  <c r="K14" i="4" s="1"/>
  <c r="M155" i="2"/>
  <c r="H27" i="4" s="1"/>
  <c r="J145" i="2"/>
  <c r="E17" i="4" s="1"/>
  <c r="N154" i="2"/>
  <c r="I26" i="4" s="1"/>
  <c r="T162" i="2"/>
  <c r="O34" i="4" s="1"/>
  <c r="R147" i="2"/>
  <c r="M19" i="4" s="1"/>
  <c r="K167" i="2"/>
  <c r="F39" i="4" s="1"/>
  <c r="K154" i="2"/>
  <c r="F26" i="4" s="1"/>
  <c r="T154" i="2"/>
  <c r="O26" i="4" s="1"/>
  <c r="T169" i="2"/>
  <c r="O41" i="4" s="1"/>
  <c r="J157" i="2"/>
  <c r="E29" i="4" s="1"/>
  <c r="N140" i="2"/>
  <c r="I12" i="4" s="1"/>
  <c r="M173" i="2"/>
  <c r="H45" i="4" s="1"/>
  <c r="K147" i="2"/>
  <c r="F19" i="4" s="1"/>
  <c r="N146" i="2"/>
  <c r="I18" i="4" s="1"/>
  <c r="M161" i="2"/>
  <c r="H33" i="4" s="1"/>
  <c r="T174" i="2"/>
  <c r="O46" i="4" s="1"/>
  <c r="R161" i="2"/>
  <c r="M33" i="4" s="1"/>
  <c r="M174" i="2"/>
  <c r="H46" i="4" s="1"/>
  <c r="J171" i="2"/>
  <c r="E43" i="4" s="1"/>
  <c r="P161" i="2"/>
  <c r="K33" i="4" s="1"/>
  <c r="N161" i="2"/>
  <c r="I33" i="4" s="1"/>
  <c r="J159" i="2"/>
  <c r="E31" i="4" s="1"/>
  <c r="K161" i="2"/>
  <c r="F33" i="4" s="1"/>
  <c r="N160" i="2"/>
  <c r="I32" i="4" s="1"/>
  <c r="P154" i="2"/>
  <c r="K26" i="4" s="1"/>
  <c r="M154" i="2"/>
  <c r="H26" i="4" s="1"/>
  <c r="J154" i="2"/>
  <c r="E26" i="4" s="1"/>
  <c r="K141" i="2"/>
  <c r="F13" i="4" s="1"/>
  <c r="T139" i="2"/>
  <c r="O11" i="4" s="1"/>
  <c r="N164" i="2"/>
  <c r="I36" i="4" s="1"/>
  <c r="K138" i="2"/>
  <c r="F10" i="4" s="1"/>
  <c r="T137" i="2"/>
  <c r="O9" i="4" s="1"/>
  <c r="M151" i="2"/>
  <c r="H23" i="4" s="1"/>
  <c r="K165" i="2"/>
  <c r="F37" i="4" s="1"/>
  <c r="R136" i="2"/>
  <c r="M8" i="4" s="1"/>
  <c r="N139" i="2"/>
  <c r="I11" i="4" s="1"/>
  <c r="P163" i="2"/>
  <c r="K35" i="4" s="1"/>
  <c r="R152" i="2"/>
  <c r="M24" i="4" s="1"/>
  <c r="T165" i="2"/>
  <c r="O37" i="4" s="1"/>
  <c r="K153" i="2"/>
  <c r="F25" i="4" s="1"/>
  <c r="K163" i="2"/>
  <c r="F35" i="4" s="1"/>
  <c r="P139" i="2"/>
  <c r="K11" i="4" s="1"/>
  <c r="J149" i="2"/>
  <c r="E21" i="4" s="1"/>
  <c r="K139" i="2"/>
  <c r="F11" i="4" s="1"/>
  <c r="R162" i="2"/>
  <c r="M34" i="4" s="1"/>
  <c r="M166" i="2"/>
  <c r="H38" i="4" s="1"/>
  <c r="J139" i="2"/>
  <c r="E11" i="4" s="1"/>
  <c r="N153" i="2"/>
  <c r="I25" i="4" s="1"/>
  <c r="K162" i="2"/>
  <c r="F34" i="4" s="1"/>
  <c r="M157" i="2"/>
  <c r="H29" i="4" s="1"/>
  <c r="R142" i="2"/>
  <c r="M14" i="4" s="1"/>
  <c r="T142" i="2"/>
  <c r="O14" i="4" s="1"/>
  <c r="N155" i="2"/>
  <c r="I27" i="4" s="1"/>
  <c r="T168" i="2"/>
  <c r="O40" i="4" s="1"/>
  <c r="M142" i="2"/>
  <c r="H14" i="4" s="1"/>
  <c r="P157" i="2"/>
  <c r="K29" i="4" s="1"/>
  <c r="P144" i="2"/>
  <c r="K16" i="4" s="1"/>
  <c r="N168" i="2"/>
  <c r="I40" i="4" s="1"/>
  <c r="M170" i="2"/>
  <c r="H42" i="4" s="1"/>
  <c r="K157" i="2"/>
  <c r="F29" i="4" s="1"/>
  <c r="N173" i="2"/>
  <c r="I45" i="4" s="1"/>
  <c r="R172" i="2"/>
  <c r="M44" i="4" s="1"/>
  <c r="P171" i="2"/>
  <c r="K43" i="4" s="1"/>
  <c r="M146" i="2"/>
  <c r="H18" i="4" s="1"/>
  <c r="P147" i="2"/>
  <c r="K19" i="4" s="1"/>
  <c r="J174" i="2"/>
  <c r="E46" i="4" s="1"/>
  <c r="T145" i="2"/>
  <c r="O17" i="4" s="1"/>
  <c r="M160" i="2"/>
  <c r="H32" i="4" s="1"/>
  <c r="P160" i="2"/>
  <c r="K32" i="4" s="1"/>
  <c r="P141" i="2"/>
  <c r="K13" i="4" s="1"/>
  <c r="N167" i="2"/>
  <c r="I39" i="4" s="1"/>
  <c r="M141" i="2"/>
  <c r="H13" i="4" s="1"/>
  <c r="K166" i="2"/>
  <c r="F38" i="4" s="1"/>
  <c r="J153" i="2"/>
  <c r="E25" i="4" s="1"/>
  <c r="P165" i="2"/>
  <c r="K37" i="4" s="1"/>
  <c r="P138" i="2"/>
  <c r="K10" i="4" s="1"/>
  <c r="T136" i="2"/>
  <c r="O8" i="4" s="1"/>
  <c r="R139" i="2"/>
  <c r="M11" i="4" s="1"/>
  <c r="J164" i="2"/>
  <c r="E36" i="4" s="1"/>
  <c r="T149" i="2"/>
  <c r="O21" i="4" s="1"/>
  <c r="M138" i="2"/>
  <c r="H10" i="4" s="1"/>
  <c r="P162" i="2"/>
  <c r="K34" i="4" s="1"/>
  <c r="J140" i="2"/>
  <c r="E12" i="4" s="1"/>
  <c r="M153" i="2"/>
  <c r="H25" i="4" s="1"/>
  <c r="T152" i="2"/>
  <c r="O24" i="4" s="1"/>
  <c r="R150" i="2"/>
  <c r="M22" i="4" s="1"/>
  <c r="K152" i="2"/>
  <c r="F24" i="4" s="1"/>
  <c r="N137" i="2"/>
  <c r="I9" i="4" s="1"/>
  <c r="R153" i="2"/>
  <c r="M25" i="4" s="1"/>
  <c r="N150" i="2"/>
  <c r="I22" i="4" s="1"/>
  <c r="P151" i="2"/>
  <c r="K23" i="4" s="1"/>
  <c r="J168" i="2"/>
  <c r="E40" i="4" s="1"/>
  <c r="K142" i="2"/>
  <c r="F14" i="4" s="1"/>
  <c r="P168" i="2"/>
  <c r="K40" i="4" s="1"/>
  <c r="T157" i="2"/>
  <c r="O29" i="4" s="1"/>
  <c r="J144" i="2"/>
  <c r="E16" i="4" s="1"/>
  <c r="N143" i="2"/>
  <c r="I15" i="4" s="1"/>
  <c r="R144" i="2"/>
  <c r="M16" i="4" s="1"/>
  <c r="K155" i="2"/>
  <c r="F27" i="4" s="1"/>
  <c r="R143" i="2"/>
  <c r="M15" i="4" s="1"/>
  <c r="M144" i="2"/>
  <c r="H16" i="4" s="1"/>
  <c r="J142" i="2"/>
  <c r="E14" i="4" s="1"/>
  <c r="P155" i="2"/>
  <c r="K27" i="4" s="1"/>
  <c r="P170" i="2"/>
  <c r="K42" i="4" s="1"/>
  <c r="M147" i="2"/>
  <c r="H19" i="4" s="1"/>
  <c r="R148" i="2"/>
  <c r="M20" i="4" s="1"/>
  <c r="T158" i="2"/>
  <c r="O30" i="4" s="1"/>
  <c r="N145" i="2"/>
  <c r="I17" i="4" s="1"/>
  <c r="K158" i="2"/>
  <c r="F30" i="4" s="1"/>
  <c r="T171" i="2"/>
  <c r="O43" i="4" s="1"/>
  <c r="R145" i="2"/>
  <c r="M17" i="4" s="1"/>
  <c r="T147" i="2"/>
  <c r="O19" i="4" s="1"/>
  <c r="P159" i="2"/>
  <c r="K31" i="4" s="1"/>
  <c r="N159" i="2"/>
  <c r="I31" i="4" s="1"/>
  <c r="K172" i="2"/>
  <c r="F44" i="4" s="1"/>
  <c r="T159" i="2"/>
  <c r="O31" i="4" s="1"/>
  <c r="N147" i="2"/>
  <c r="I19" i="4" s="1"/>
  <c r="M158" i="2"/>
  <c r="H30" i="4" s="1"/>
  <c r="J158" i="2"/>
  <c r="E30" i="4" s="1"/>
  <c r="M145" i="2"/>
  <c r="H17" i="4" s="1"/>
  <c r="P174" i="2"/>
  <c r="K46" i="4" s="1"/>
  <c r="T146" i="2"/>
  <c r="O18" i="4" s="1"/>
  <c r="J172" i="2"/>
  <c r="E44" i="4" s="1"/>
  <c r="N158" i="2"/>
  <c r="I30" i="4" s="1"/>
  <c r="P167" i="2"/>
  <c r="K39" i="4" s="1"/>
  <c r="T141" i="2"/>
  <c r="O13" i="4" s="1"/>
  <c r="T151" i="2"/>
  <c r="O23" i="4" s="1"/>
  <c r="K137" i="2"/>
  <c r="F9" i="4" s="1"/>
  <c r="P166" i="2"/>
  <c r="K38" i="4" s="1"/>
  <c r="M140" i="2"/>
  <c r="H12" i="4" s="1"/>
  <c r="N163" i="2"/>
  <c r="I35" i="4" s="1"/>
  <c r="T140" i="2"/>
  <c r="O12" i="4" s="1"/>
  <c r="N151" i="2"/>
  <c r="I23" i="4" s="1"/>
  <c r="N152" i="2"/>
  <c r="I24" i="4" s="1"/>
  <c r="J166" i="2"/>
  <c r="E38" i="4" s="1"/>
  <c r="P136" i="2"/>
  <c r="K8" i="4" s="1"/>
  <c r="K156" i="2"/>
  <c r="F28" i="4" s="1"/>
  <c r="M169" i="2"/>
  <c r="H41" i="4" s="1"/>
  <c r="N157" i="2"/>
  <c r="I29" i="4" s="1"/>
  <c r="R170" i="2"/>
  <c r="M42" i="4" s="1"/>
  <c r="K144" i="2"/>
  <c r="F16" i="4" s="1"/>
  <c r="J170" i="2"/>
  <c r="E42" i="4" s="1"/>
  <c r="P143" i="2"/>
  <c r="K15" i="4" s="1"/>
  <c r="T156" i="2"/>
  <c r="O28" i="4" s="1"/>
  <c r="T144" i="2"/>
  <c r="O16" i="4" s="1"/>
  <c r="P156" i="2"/>
  <c r="K28" i="4" s="1"/>
  <c r="N169" i="2"/>
  <c r="I41" i="4" s="1"/>
  <c r="K169" i="2"/>
  <c r="F41" i="4" s="1"/>
  <c r="T170" i="2"/>
  <c r="O42" i="4" s="1"/>
  <c r="R173" i="2"/>
  <c r="M45" i="4" s="1"/>
  <c r="J147" i="2"/>
  <c r="E19" i="4" s="1"/>
  <c r="M171" i="2"/>
  <c r="H43" i="4" s="1"/>
  <c r="J160" i="2"/>
  <c r="E32" i="4" s="1"/>
  <c r="J173" i="2"/>
  <c r="E45" i="4" s="1"/>
  <c r="K174" i="2"/>
  <c r="F46" i="4" s="1"/>
  <c r="K173" i="2"/>
  <c r="F45" i="4" s="1"/>
  <c r="P158" i="2"/>
  <c r="K30" i="4" s="1"/>
  <c r="K171" i="2"/>
  <c r="F43" i="4" s="1"/>
  <c r="R158" i="2"/>
  <c r="M30" i="4" s="1"/>
  <c r="R171" i="2"/>
  <c r="M43" i="4" s="1"/>
  <c r="R167" i="2"/>
  <c r="M39" i="4" s="1"/>
  <c r="N141" i="2"/>
  <c r="I13" i="4" s="1"/>
  <c r="R141" i="2"/>
  <c r="M13" i="4" s="1"/>
  <c r="J167" i="2"/>
  <c r="E39" i="4" s="1"/>
  <c r="J150" i="2"/>
  <c r="E22" i="4" s="1"/>
  <c r="M139" i="2"/>
  <c r="H11" i="4" s="1"/>
  <c r="M163" i="2"/>
  <c r="H35" i="4" s="1"/>
  <c r="K140" i="2"/>
  <c r="F12" i="4" s="1"/>
  <c r="N136" i="2"/>
  <c r="I8" i="4" s="1"/>
  <c r="R151" i="2"/>
  <c r="M23" i="4" s="1"/>
  <c r="P150" i="2"/>
  <c r="K22" i="4" s="1"/>
  <c r="R149" i="2"/>
  <c r="M21" i="4" s="1"/>
  <c r="P164" i="2"/>
  <c r="K36" i="4" s="1"/>
  <c r="M150" i="2"/>
  <c r="H22" i="4" s="1"/>
  <c r="T138" i="2"/>
  <c r="O10" i="4" s="1"/>
  <c r="M164" i="2"/>
  <c r="H36" i="4" s="1"/>
  <c r="R165" i="2"/>
  <c r="M37" i="4" s="1"/>
  <c r="P152" i="2"/>
  <c r="K24" i="4" s="1"/>
  <c r="J163" i="2"/>
  <c r="E35" i="4" s="1"/>
  <c r="J156" i="2"/>
  <c r="E28" i="4" s="1"/>
  <c r="K143" i="2"/>
  <c r="F15" i="4" s="1"/>
  <c r="R157" i="2"/>
  <c r="M29" i="4" s="1"/>
  <c r="K170" i="2"/>
  <c r="F42" i="4" s="1"/>
  <c r="M156" i="2"/>
  <c r="H28" i="4" s="1"/>
  <c r="C44" l="1"/>
  <c r="C42"/>
  <c r="C30"/>
  <c r="C26"/>
  <c r="C22"/>
  <c r="C40"/>
  <c r="C43"/>
  <c r="A136" i="6"/>
  <c r="Y136" l="1"/>
  <c r="AE3" i="27" s="1"/>
  <c r="G3"/>
  <c r="V23" i="6"/>
  <c r="V88" s="1"/>
  <c r="S23"/>
  <c r="S88" s="1"/>
  <c r="I23"/>
  <c r="I88" s="1"/>
  <c r="G23"/>
  <c r="G88" s="1"/>
  <c r="U23"/>
  <c r="U88" s="1"/>
  <c r="Q23"/>
  <c r="Q88" s="1"/>
  <c r="M23"/>
  <c r="M88" s="1"/>
  <c r="T23"/>
  <c r="T88" s="1"/>
  <c r="H23"/>
  <c r="H88" s="1"/>
  <c r="F23"/>
  <c r="F88" s="1"/>
  <c r="R23"/>
  <c r="R88" s="1"/>
  <c r="J23"/>
  <c r="J88" s="1"/>
  <c r="E23"/>
  <c r="O23"/>
  <c r="O88" s="1"/>
  <c r="N23"/>
  <c r="N88" s="1"/>
  <c r="W23"/>
  <c r="W88" s="1"/>
  <c r="K23"/>
  <c r="K88" s="1"/>
  <c r="L23"/>
  <c r="L88" s="1"/>
  <c r="P23"/>
  <c r="P88" s="1"/>
  <c r="R49"/>
  <c r="R114" s="1"/>
  <c r="S49"/>
  <c r="S114" s="1"/>
  <c r="L49"/>
  <c r="L114" s="1"/>
  <c r="Q49"/>
  <c r="Q114" s="1"/>
  <c r="E49"/>
  <c r="O49"/>
  <c r="O114" s="1"/>
  <c r="T49"/>
  <c r="T114" s="1"/>
  <c r="K49"/>
  <c r="K114" s="1"/>
  <c r="F49"/>
  <c r="F114" s="1"/>
  <c r="U49"/>
  <c r="U114" s="1"/>
  <c r="H49"/>
  <c r="H114" s="1"/>
  <c r="I49"/>
  <c r="I114" s="1"/>
  <c r="X49"/>
  <c r="X114" s="1"/>
  <c r="V49"/>
  <c r="V114" s="1"/>
  <c r="N49"/>
  <c r="N114" s="1"/>
  <c r="J49"/>
  <c r="J114" s="1"/>
  <c r="M49"/>
  <c r="M114" s="1"/>
  <c r="P49"/>
  <c r="P114" s="1"/>
  <c r="W49"/>
  <c r="W114" s="1"/>
  <c r="G49"/>
  <c r="G114" s="1"/>
  <c r="E36"/>
  <c r="W36"/>
  <c r="W101" s="1"/>
  <c r="F36"/>
  <c r="F101" s="1"/>
  <c r="V36"/>
  <c r="V101" s="1"/>
  <c r="S36"/>
  <c r="S101" s="1"/>
  <c r="X36"/>
  <c r="X101" s="1"/>
  <c r="Q36"/>
  <c r="Q101" s="1"/>
  <c r="R36"/>
  <c r="R101" s="1"/>
  <c r="J36"/>
  <c r="J101" s="1"/>
  <c r="I36"/>
  <c r="I101" s="1"/>
  <c r="H36"/>
  <c r="H101" s="1"/>
  <c r="N36"/>
  <c r="N101" s="1"/>
  <c r="L36"/>
  <c r="L101" s="1"/>
  <c r="K36"/>
  <c r="K101" s="1"/>
  <c r="G36"/>
  <c r="G101" s="1"/>
  <c r="U36"/>
  <c r="U101" s="1"/>
  <c r="P36"/>
  <c r="P101" s="1"/>
  <c r="M36"/>
  <c r="M101" s="1"/>
  <c r="O36"/>
  <c r="O101" s="1"/>
  <c r="T36"/>
  <c r="T101" s="1"/>
  <c r="Y162" l="1"/>
  <c r="AE29" i="27" s="1"/>
  <c r="Y149" i="6"/>
  <c r="AE16" i="27" s="1"/>
  <c r="E101" i="6"/>
  <c r="E114"/>
  <c r="E88"/>
  <c r="Y185" l="1"/>
  <c r="Y222" s="1"/>
  <c r="F149"/>
  <c r="L16" i="27" s="1"/>
  <c r="E136" i="6"/>
  <c r="K3" i="27" s="1"/>
  <c r="E185" i="6" l="1"/>
  <c r="H149"/>
  <c r="N16" i="27" s="1"/>
  <c r="F162" i="6"/>
  <c r="L29" i="27" s="1"/>
  <c r="G149" i="6" l="1"/>
  <c r="M16" i="27" s="1"/>
  <c r="I149" i="6"/>
  <c r="O16" i="27" s="1"/>
  <c r="G162" i="6"/>
  <c r="M29" i="27" s="1"/>
  <c r="G136" i="6"/>
  <c r="M3" i="27" s="1"/>
  <c r="H136" i="6"/>
  <c r="H185" l="1"/>
  <c r="H222" s="1"/>
  <c r="N3" i="27"/>
  <c r="J149" i="6"/>
  <c r="P16" i="27" s="1"/>
  <c r="H162" i="6"/>
  <c r="N29" i="27" s="1"/>
  <c r="K149" i="6" l="1"/>
  <c r="Q16" i="27" s="1"/>
  <c r="I136" i="6"/>
  <c r="J136"/>
  <c r="P3" i="27" s="1"/>
  <c r="I162" i="6"/>
  <c r="O29" i="27" s="1"/>
  <c r="K162" i="6"/>
  <c r="Q29" i="27" s="1"/>
  <c r="I185" i="6" l="1"/>
  <c r="I222" s="1"/>
  <c r="O3" i="27"/>
  <c r="M149" i="6"/>
  <c r="S16" i="27" s="1"/>
  <c r="K136" i="6"/>
  <c r="Q3" i="27" s="1"/>
  <c r="L162" i="6"/>
  <c r="R29" i="27" s="1"/>
  <c r="L136" i="6"/>
  <c r="R3" i="27" s="1"/>
  <c r="J162" i="6"/>
  <c r="P29" i="27" s="1"/>
  <c r="M162" i="6" l="1"/>
  <c r="S29" i="27" s="1"/>
  <c r="L149" i="6"/>
  <c r="R16" i="27" s="1"/>
  <c r="K185" i="6"/>
  <c r="K222" s="1"/>
  <c r="L185"/>
  <c r="L222" s="1"/>
  <c r="O149"/>
  <c r="U16" i="27" s="1"/>
  <c r="M136" i="6"/>
  <c r="S3" i="27" s="1"/>
  <c r="N149" i="6" l="1"/>
  <c r="T16" i="27" s="1"/>
  <c r="P149" i="6"/>
  <c r="V16" i="27" s="1"/>
  <c r="N136" i="6"/>
  <c r="T3" i="27" s="1"/>
  <c r="N162" i="6" l="1"/>
  <c r="T29" i="27" s="1"/>
  <c r="N185" i="6"/>
  <c r="N222" s="1"/>
  <c r="O162"/>
  <c r="U29" i="27" s="1"/>
  <c r="O136" i="6"/>
  <c r="U3" i="27" s="1"/>
  <c r="E149" i="6"/>
  <c r="K16" i="27" s="1"/>
  <c r="E162" i="6"/>
  <c r="K29" i="27" s="1"/>
  <c r="F136" i="6"/>
  <c r="L3" i="27" s="1"/>
  <c r="F185" i="6" l="1"/>
  <c r="F222" s="1"/>
  <c r="Q149"/>
  <c r="W16" i="27" s="1"/>
  <c r="P162" i="6"/>
  <c r="V29" i="27" s="1"/>
  <c r="P136" i="6"/>
  <c r="V3" i="27" s="1"/>
  <c r="E222" i="6"/>
  <c r="P185" l="1"/>
  <c r="P222" s="1"/>
  <c r="R149"/>
  <c r="X16" i="27" s="1"/>
  <c r="Q136" i="6"/>
  <c r="W3" i="27" s="1"/>
  <c r="Q162" i="6"/>
  <c r="W29" i="27" s="1"/>
  <c r="S149" i="6" l="1"/>
  <c r="Y16" i="27" s="1"/>
  <c r="T149" i="6"/>
  <c r="Z16" i="27" s="1"/>
  <c r="R162" i="6"/>
  <c r="X29" i="27" s="1"/>
  <c r="R136" i="6"/>
  <c r="X3" i="27" s="1"/>
  <c r="R185" i="6" l="1"/>
  <c r="R222" s="1"/>
  <c r="S136"/>
  <c r="Y3" i="27" s="1"/>
  <c r="S162" i="6"/>
  <c r="Y29" i="27" s="1"/>
  <c r="S185" i="6" l="1"/>
  <c r="S222" s="1"/>
  <c r="V149"/>
  <c r="AB16" i="27" s="1"/>
  <c r="U149" i="6"/>
  <c r="AA16" i="27" s="1"/>
  <c r="T162" i="6"/>
  <c r="Z29" i="27" s="1"/>
  <c r="T136" i="6"/>
  <c r="Z3" i="27" s="1"/>
  <c r="T185" i="6" l="1"/>
  <c r="T222" s="1"/>
  <c r="U162"/>
  <c r="AA29" i="27" s="1"/>
  <c r="U136" i="6"/>
  <c r="AA3" i="27" s="1"/>
  <c r="W149" i="6" l="1"/>
  <c r="AC16" i="27" s="1"/>
  <c r="V136" i="6"/>
  <c r="AB3" i="27" s="1"/>
  <c r="V162" i="6"/>
  <c r="AB29" i="27" s="1"/>
  <c r="V185" i="6" l="1"/>
  <c r="V222" s="1"/>
  <c r="X149"/>
  <c r="AA101"/>
  <c r="W136"/>
  <c r="AC3" i="27" s="1"/>
  <c r="W162" i="6"/>
  <c r="AC29" i="27" s="1"/>
  <c r="AA149" i="6" l="1"/>
  <c r="AD16" i="27"/>
  <c r="X136" i="6"/>
  <c r="AA88"/>
  <c r="X162"/>
  <c r="AA114"/>
  <c r="AA162" l="1"/>
  <c r="AD29" i="27"/>
  <c r="AA136" i="6"/>
  <c r="AD3" i="27"/>
  <c r="X185" i="6"/>
  <c r="X222" s="1"/>
  <c r="W185" l="1"/>
  <c r="W222" l="1"/>
  <c r="M185" l="1"/>
  <c r="M222" s="1"/>
  <c r="O185" l="1"/>
  <c r="O222" s="1"/>
  <c r="Q185" l="1"/>
  <c r="Q222" s="1"/>
  <c r="U185" l="1"/>
  <c r="U222" s="1"/>
  <c r="Y186" l="1"/>
  <c r="Y223" s="1"/>
  <c r="F186" l="1"/>
  <c r="F223" s="1"/>
  <c r="E186"/>
  <c r="E223" s="1"/>
  <c r="H186" l="1"/>
  <c r="H223" s="1"/>
  <c r="G186"/>
  <c r="J186" l="1"/>
  <c r="L186" l="1"/>
  <c r="L223" s="1"/>
  <c r="K186"/>
  <c r="K223" s="1"/>
  <c r="I186"/>
  <c r="I223" s="1"/>
  <c r="N186" l="1"/>
  <c r="N223" s="1"/>
  <c r="M186"/>
  <c r="M223" s="1"/>
  <c r="O186" l="1"/>
  <c r="O223" s="1"/>
  <c r="P186"/>
  <c r="P223" s="1"/>
  <c r="Q186" l="1"/>
  <c r="Q223" s="1"/>
  <c r="R186" l="1"/>
  <c r="R223" s="1"/>
  <c r="S186"/>
  <c r="S223" s="1"/>
  <c r="T186" l="1"/>
  <c r="T223" s="1"/>
  <c r="U186"/>
  <c r="U223" s="1"/>
  <c r="V186" l="1"/>
  <c r="V223" s="1"/>
  <c r="W186" l="1"/>
  <c r="W223" s="1"/>
  <c r="X186" l="1"/>
  <c r="X223" s="1"/>
  <c r="G185" l="1"/>
  <c r="J185"/>
  <c r="G223" l="1"/>
  <c r="G222"/>
  <c r="J223"/>
  <c r="J222"/>
  <c r="A47" l="1"/>
  <c r="A60"/>
  <c r="A34"/>
  <c r="F47" l="1"/>
  <c r="F112" s="1"/>
  <c r="F160" s="1"/>
  <c r="L27" i="27" s="1"/>
  <c r="V47" i="6"/>
  <c r="V112" s="1"/>
  <c r="V160" s="1"/>
  <c r="AB27" i="27" s="1"/>
  <c r="I47" i="6"/>
  <c r="I112" s="1"/>
  <c r="I160" s="1"/>
  <c r="O27" i="27" s="1"/>
  <c r="S47" i="6"/>
  <c r="S112" s="1"/>
  <c r="S160" s="1"/>
  <c r="Y27" i="27" s="1"/>
  <c r="X47" i="6"/>
  <c r="X112" s="1"/>
  <c r="X160" s="1"/>
  <c r="AD27" i="27" s="1"/>
  <c r="Z47" i="6"/>
  <c r="Y160" s="1"/>
  <c r="AE27" i="27" s="1"/>
  <c r="N47" i="6"/>
  <c r="N112" s="1"/>
  <c r="N160" s="1"/>
  <c r="T27" i="27" s="1"/>
  <c r="P47" i="6"/>
  <c r="P112" s="1"/>
  <c r="P160" s="1"/>
  <c r="V27" i="27" s="1"/>
  <c r="Q47" i="6"/>
  <c r="Q112" s="1"/>
  <c r="Q160" s="1"/>
  <c r="W27" i="27" s="1"/>
  <c r="L47" i="6"/>
  <c r="L112" s="1"/>
  <c r="L160" s="1"/>
  <c r="R27" i="27" s="1"/>
  <c r="U47" i="6"/>
  <c r="U112" s="1"/>
  <c r="U160" s="1"/>
  <c r="AA27" i="27" s="1"/>
  <c r="G47" i="6"/>
  <c r="G112" s="1"/>
  <c r="G160" s="1"/>
  <c r="M27" i="27" s="1"/>
  <c r="W47" i="6"/>
  <c r="W112" s="1"/>
  <c r="W160" s="1"/>
  <c r="AC27" i="27" s="1"/>
  <c r="H47" i="6"/>
  <c r="H112" s="1"/>
  <c r="H160" s="1"/>
  <c r="N27" i="27" s="1"/>
  <c r="E47" i="6"/>
  <c r="E112" s="1"/>
  <c r="T47"/>
  <c r="T112" s="1"/>
  <c r="T160" s="1"/>
  <c r="Z27" i="27" s="1"/>
  <c r="O47" i="6"/>
  <c r="O112" s="1"/>
  <c r="O160" s="1"/>
  <c r="U27" i="27" s="1"/>
  <c r="R47" i="6"/>
  <c r="R112" s="1"/>
  <c r="R160" s="1"/>
  <c r="X27" i="27" s="1"/>
  <c r="M47" i="6"/>
  <c r="M112" s="1"/>
  <c r="M160" s="1"/>
  <c r="S27" i="27" s="1"/>
  <c r="K47" i="6"/>
  <c r="K112" s="1"/>
  <c r="K160" s="1"/>
  <c r="Q27" i="27" s="1"/>
  <c r="J47" i="6"/>
  <c r="J112" s="1"/>
  <c r="J160" s="1"/>
  <c r="P27" i="27" s="1"/>
  <c r="J60" i="6"/>
  <c r="J125" s="1"/>
  <c r="J173" s="1"/>
  <c r="P40" i="27" s="1"/>
  <c r="Q60" i="6"/>
  <c r="Q125" s="1"/>
  <c r="Q173" s="1"/>
  <c r="W40" i="27" s="1"/>
  <c r="W60" i="6"/>
  <c r="W125" s="1"/>
  <c r="W173" s="1"/>
  <c r="AC40" i="27" s="1"/>
  <c r="P60" i="6"/>
  <c r="P125" s="1"/>
  <c r="P173" s="1"/>
  <c r="V40" i="27" s="1"/>
  <c r="F60" i="6"/>
  <c r="F125" s="1"/>
  <c r="F173" s="1"/>
  <c r="L40" i="27" s="1"/>
  <c r="T60" i="6"/>
  <c r="T125" s="1"/>
  <c r="T173" s="1"/>
  <c r="Z40" i="27" s="1"/>
  <c r="L60" i="6"/>
  <c r="L125" s="1"/>
  <c r="L173" s="1"/>
  <c r="R40" i="27" s="1"/>
  <c r="X60" i="6"/>
  <c r="X125" s="1"/>
  <c r="X173" s="1"/>
  <c r="AD40" i="27" s="1"/>
  <c r="M60" i="6"/>
  <c r="M125" s="1"/>
  <c r="M173" s="1"/>
  <c r="S40" i="27" s="1"/>
  <c r="R60" i="6"/>
  <c r="R125" s="1"/>
  <c r="R173" s="1"/>
  <c r="X40" i="27" s="1"/>
  <c r="I60" i="6"/>
  <c r="I125" s="1"/>
  <c r="I173" s="1"/>
  <c r="O40" i="27" s="1"/>
  <c r="O60" i="6"/>
  <c r="O125" s="1"/>
  <c r="O173" s="1"/>
  <c r="U40" i="27" s="1"/>
  <c r="U60" i="6"/>
  <c r="U125" s="1"/>
  <c r="U173" s="1"/>
  <c r="AA40" i="27" s="1"/>
  <c r="V60" i="6"/>
  <c r="V125" s="1"/>
  <c r="V173" s="1"/>
  <c r="AB40" i="27" s="1"/>
  <c r="H60" i="6"/>
  <c r="H125" s="1"/>
  <c r="H173" s="1"/>
  <c r="N40" i="27" s="1"/>
  <c r="G60" i="6"/>
  <c r="G125" s="1"/>
  <c r="G173" s="1"/>
  <c r="M40" i="27" s="1"/>
  <c r="N60" i="6"/>
  <c r="N125" s="1"/>
  <c r="N173" s="1"/>
  <c r="T40" i="27" s="1"/>
  <c r="S60" i="6"/>
  <c r="S125" s="1"/>
  <c r="S173" s="1"/>
  <c r="Y40" i="27" s="1"/>
  <c r="K60" i="6"/>
  <c r="K125" s="1"/>
  <c r="K173" s="1"/>
  <c r="Q40" i="27" s="1"/>
  <c r="Z60" i="6"/>
  <c r="Y173" s="1"/>
  <c r="AE40" i="27" s="1"/>
  <c r="E60" i="6"/>
  <c r="E125" s="1"/>
  <c r="A50"/>
  <c r="A24"/>
  <c r="A37"/>
  <c r="K34"/>
  <c r="K99" s="1"/>
  <c r="K147" s="1"/>
  <c r="Q14" i="27" s="1"/>
  <c r="L34" i="6"/>
  <c r="L99" s="1"/>
  <c r="L147" s="1"/>
  <c r="R14" i="27" s="1"/>
  <c r="H34" i="6"/>
  <c r="H99" s="1"/>
  <c r="H147" s="1"/>
  <c r="N14" i="27" s="1"/>
  <c r="J34" i="6"/>
  <c r="J99" s="1"/>
  <c r="J147" s="1"/>
  <c r="P14" i="27" s="1"/>
  <c r="V34" i="6"/>
  <c r="V99" s="1"/>
  <c r="V147" s="1"/>
  <c r="AB14" i="27" s="1"/>
  <c r="P34" i="6"/>
  <c r="P99" s="1"/>
  <c r="P147" s="1"/>
  <c r="V14" i="27" s="1"/>
  <c r="N34" i="6"/>
  <c r="N99" s="1"/>
  <c r="N147" s="1"/>
  <c r="T14" i="27" s="1"/>
  <c r="I34" i="6"/>
  <c r="I99" s="1"/>
  <c r="I147" s="1"/>
  <c r="O14" i="27" s="1"/>
  <c r="S34" i="6"/>
  <c r="S99" s="1"/>
  <c r="S147" s="1"/>
  <c r="Y14" i="27" s="1"/>
  <c r="W34" i="6"/>
  <c r="W99" s="1"/>
  <c r="W147" s="1"/>
  <c r="AC14" i="27" s="1"/>
  <c r="X34" i="6"/>
  <c r="X99" s="1"/>
  <c r="X147" s="1"/>
  <c r="AD14" i="27" s="1"/>
  <c r="T34" i="6"/>
  <c r="T99" s="1"/>
  <c r="T147" s="1"/>
  <c r="Z14" i="27" s="1"/>
  <c r="Z34" i="6"/>
  <c r="Y147" s="1"/>
  <c r="AE14" i="27" s="1"/>
  <c r="E34" i="6"/>
  <c r="E99" s="1"/>
  <c r="G34"/>
  <c r="G99" s="1"/>
  <c r="G147" s="1"/>
  <c r="M14" i="27" s="1"/>
  <c r="F34" i="6"/>
  <c r="F99" s="1"/>
  <c r="F147" s="1"/>
  <c r="L14" i="27" s="1"/>
  <c r="U34" i="6"/>
  <c r="U99" s="1"/>
  <c r="U147" s="1"/>
  <c r="AA14" i="27" s="1"/>
  <c r="M34" i="6"/>
  <c r="M99" s="1"/>
  <c r="M147" s="1"/>
  <c r="S14" i="27" s="1"/>
  <c r="Q34" i="6"/>
  <c r="Q99" s="1"/>
  <c r="Q147" s="1"/>
  <c r="W14" i="27" s="1"/>
  <c r="R34" i="6"/>
  <c r="R99" s="1"/>
  <c r="R147" s="1"/>
  <c r="X14" i="27" s="1"/>
  <c r="O34" i="6"/>
  <c r="O99" s="1"/>
  <c r="O147" s="1"/>
  <c r="U14" i="27" s="1"/>
  <c r="A25" i="6"/>
  <c r="A51"/>
  <c r="A38"/>
  <c r="E173" l="1"/>
  <c r="AA125"/>
  <c r="J37"/>
  <c r="J102" s="1"/>
  <c r="J150" s="1"/>
  <c r="P17" i="27" s="1"/>
  <c r="I37" i="6"/>
  <c r="I102" s="1"/>
  <c r="I150" s="1"/>
  <c r="O17" i="27" s="1"/>
  <c r="H37" i="6"/>
  <c r="H102" s="1"/>
  <c r="H150" s="1"/>
  <c r="N17" i="27" s="1"/>
  <c r="M37" i="6"/>
  <c r="M102" s="1"/>
  <c r="M150" s="1"/>
  <c r="S17" i="27" s="1"/>
  <c r="V37" i="6"/>
  <c r="V102" s="1"/>
  <c r="V150" s="1"/>
  <c r="AB17" i="27" s="1"/>
  <c r="F37" i="6"/>
  <c r="F102" s="1"/>
  <c r="F150" s="1"/>
  <c r="L17" i="27" s="1"/>
  <c r="P37" i="6"/>
  <c r="P102" s="1"/>
  <c r="P150" s="1"/>
  <c r="V17" i="27" s="1"/>
  <c r="L37" i="6"/>
  <c r="L102" s="1"/>
  <c r="L150" s="1"/>
  <c r="R17" i="27" s="1"/>
  <c r="X37" i="6"/>
  <c r="X102" s="1"/>
  <c r="X150" s="1"/>
  <c r="AD17" i="27" s="1"/>
  <c r="T37" i="6"/>
  <c r="T102" s="1"/>
  <c r="T150" s="1"/>
  <c r="Z17" i="27" s="1"/>
  <c r="O37" i="6"/>
  <c r="O102" s="1"/>
  <c r="O150" s="1"/>
  <c r="U17" i="27" s="1"/>
  <c r="N37" i="6"/>
  <c r="N102" s="1"/>
  <c r="N150" s="1"/>
  <c r="T17" i="27" s="1"/>
  <c r="K37" i="6"/>
  <c r="K102" s="1"/>
  <c r="K150" s="1"/>
  <c r="Q17" i="27" s="1"/>
  <c r="R37" i="6"/>
  <c r="R102" s="1"/>
  <c r="R150" s="1"/>
  <c r="X17" i="27" s="1"/>
  <c r="Q37" i="6"/>
  <c r="Q102" s="1"/>
  <c r="Q150" s="1"/>
  <c r="W17" i="27" s="1"/>
  <c r="G37" i="6"/>
  <c r="G102" s="1"/>
  <c r="G150" s="1"/>
  <c r="M17" i="27" s="1"/>
  <c r="Z37" i="6"/>
  <c r="Y150" s="1"/>
  <c r="AE17" i="27" s="1"/>
  <c r="S37" i="6"/>
  <c r="S102" s="1"/>
  <c r="S150" s="1"/>
  <c r="Y17" i="27" s="1"/>
  <c r="E37" i="6"/>
  <c r="E102" s="1"/>
  <c r="U37"/>
  <c r="U102" s="1"/>
  <c r="U150" s="1"/>
  <c r="AA17" i="27" s="1"/>
  <c r="W37" i="6"/>
  <c r="W102" s="1"/>
  <c r="W150" s="1"/>
  <c r="AC17" i="27" s="1"/>
  <c r="N25" i="6"/>
  <c r="N90" s="1"/>
  <c r="N138" s="1"/>
  <c r="T5" i="27" s="1"/>
  <c r="L25" i="6"/>
  <c r="L90" s="1"/>
  <c r="L138" s="1"/>
  <c r="R5" i="27" s="1"/>
  <c r="X25" i="6"/>
  <c r="X90" s="1"/>
  <c r="X138" s="1"/>
  <c r="AD5" i="27" s="1"/>
  <c r="W25" i="6"/>
  <c r="W90" s="1"/>
  <c r="W138" s="1"/>
  <c r="AC5" i="27" s="1"/>
  <c r="R25" i="6"/>
  <c r="R90" s="1"/>
  <c r="R138" s="1"/>
  <c r="X5" i="27" s="1"/>
  <c r="Q25" i="6"/>
  <c r="Q90" s="1"/>
  <c r="Q138" s="1"/>
  <c r="W5" i="27" s="1"/>
  <c r="H25" i="6"/>
  <c r="H90" s="1"/>
  <c r="H138" s="1"/>
  <c r="N5" i="27" s="1"/>
  <c r="Z25" i="6"/>
  <c r="Y138" s="1"/>
  <c r="AE5" i="27" s="1"/>
  <c r="G25" i="6"/>
  <c r="G90" s="1"/>
  <c r="G138" s="1"/>
  <c r="M5" i="27" s="1"/>
  <c r="I25" i="6"/>
  <c r="I90" s="1"/>
  <c r="I138" s="1"/>
  <c r="O5" i="27" s="1"/>
  <c r="P25" i="6"/>
  <c r="P90" s="1"/>
  <c r="P138" s="1"/>
  <c r="V5" i="27" s="1"/>
  <c r="T25" i="6"/>
  <c r="T90" s="1"/>
  <c r="T138" s="1"/>
  <c r="Z5" i="27" s="1"/>
  <c r="K25" i="6"/>
  <c r="K90" s="1"/>
  <c r="K138" s="1"/>
  <c r="Q5" i="27" s="1"/>
  <c r="M25" i="6"/>
  <c r="M90" s="1"/>
  <c r="M138" s="1"/>
  <c r="S5" i="27" s="1"/>
  <c r="J25" i="6"/>
  <c r="J90" s="1"/>
  <c r="J138" s="1"/>
  <c r="P5" i="27" s="1"/>
  <c r="V25" i="6"/>
  <c r="V90" s="1"/>
  <c r="V138" s="1"/>
  <c r="AB5" i="27" s="1"/>
  <c r="F25" i="6"/>
  <c r="F90" s="1"/>
  <c r="F138" s="1"/>
  <c r="L5" i="27" s="1"/>
  <c r="S25" i="6"/>
  <c r="S90" s="1"/>
  <c r="S138" s="1"/>
  <c r="Y5" i="27" s="1"/>
  <c r="U25" i="6"/>
  <c r="U90" s="1"/>
  <c r="U138" s="1"/>
  <c r="AA5" i="27" s="1"/>
  <c r="E25" i="6"/>
  <c r="E90" s="1"/>
  <c r="O25"/>
  <c r="O90" s="1"/>
  <c r="O138" s="1"/>
  <c r="U5" i="27" s="1"/>
  <c r="AA99" i="6"/>
  <c r="E147"/>
  <c r="G50"/>
  <c r="G115" s="1"/>
  <c r="G163" s="1"/>
  <c r="M30" i="27" s="1"/>
  <c r="U50" i="6"/>
  <c r="U115" s="1"/>
  <c r="U163" s="1"/>
  <c r="AA30" i="27" s="1"/>
  <c r="F50" i="6"/>
  <c r="F115" s="1"/>
  <c r="F163" s="1"/>
  <c r="L30" i="27" s="1"/>
  <c r="X50" i="6"/>
  <c r="X115" s="1"/>
  <c r="X163" s="1"/>
  <c r="AD30" i="27" s="1"/>
  <c r="E50" i="6"/>
  <c r="E115" s="1"/>
  <c r="I50"/>
  <c r="I115" s="1"/>
  <c r="I163" s="1"/>
  <c r="O30" i="27" s="1"/>
  <c r="S50" i="6"/>
  <c r="S115" s="1"/>
  <c r="S163" s="1"/>
  <c r="Y30" i="27" s="1"/>
  <c r="L50" i="6"/>
  <c r="L115" s="1"/>
  <c r="L163" s="1"/>
  <c r="R30" i="27" s="1"/>
  <c r="V50" i="6"/>
  <c r="V115" s="1"/>
  <c r="V163" s="1"/>
  <c r="AB30" i="27" s="1"/>
  <c r="K50" i="6"/>
  <c r="K115" s="1"/>
  <c r="K163" s="1"/>
  <c r="Q30" i="27" s="1"/>
  <c r="Q50" i="6"/>
  <c r="Q115" s="1"/>
  <c r="Q163" s="1"/>
  <c r="W30" i="27" s="1"/>
  <c r="T50" i="6"/>
  <c r="T115" s="1"/>
  <c r="T163" s="1"/>
  <c r="Z30" i="27" s="1"/>
  <c r="Z50" i="6"/>
  <c r="Y163" s="1"/>
  <c r="AE30" i="27" s="1"/>
  <c r="J50" i="6"/>
  <c r="J115" s="1"/>
  <c r="J163" s="1"/>
  <c r="P30" i="27" s="1"/>
  <c r="P50" i="6"/>
  <c r="P115" s="1"/>
  <c r="P163" s="1"/>
  <c r="V30" i="27" s="1"/>
  <c r="O50" i="6"/>
  <c r="O115" s="1"/>
  <c r="O163" s="1"/>
  <c r="U30" i="27" s="1"/>
  <c r="M50" i="6"/>
  <c r="M115" s="1"/>
  <c r="M163" s="1"/>
  <c r="S30" i="27" s="1"/>
  <c r="N50" i="6"/>
  <c r="N115" s="1"/>
  <c r="N163" s="1"/>
  <c r="T30" i="27" s="1"/>
  <c r="R50" i="6"/>
  <c r="R115" s="1"/>
  <c r="R163" s="1"/>
  <c r="X30" i="27" s="1"/>
  <c r="W50" i="6"/>
  <c r="W115" s="1"/>
  <c r="W163" s="1"/>
  <c r="AC30" i="27" s="1"/>
  <c r="H50" i="6"/>
  <c r="H115" s="1"/>
  <c r="H163" s="1"/>
  <c r="N30" i="27" s="1"/>
  <c r="AA112" i="6"/>
  <c r="E160"/>
  <c r="T38"/>
  <c r="T103" s="1"/>
  <c r="T151" s="1"/>
  <c r="Z18" i="27" s="1"/>
  <c r="S38" i="6"/>
  <c r="S103" s="1"/>
  <c r="S151" s="1"/>
  <c r="Y18" i="27" s="1"/>
  <c r="R38" i="6"/>
  <c r="R103" s="1"/>
  <c r="R151" s="1"/>
  <c r="X18" i="27" s="1"/>
  <c r="L38" i="6"/>
  <c r="L103" s="1"/>
  <c r="L151" s="1"/>
  <c r="R18" i="27" s="1"/>
  <c r="G38" i="6"/>
  <c r="G103" s="1"/>
  <c r="G151" s="1"/>
  <c r="M18" i="27" s="1"/>
  <c r="W38" i="6"/>
  <c r="W103" s="1"/>
  <c r="W151" s="1"/>
  <c r="AC18" i="27" s="1"/>
  <c r="Q38" i="6"/>
  <c r="Q103" s="1"/>
  <c r="Q151" s="1"/>
  <c r="W18" i="27" s="1"/>
  <c r="E38" i="6"/>
  <c r="E103" s="1"/>
  <c r="J38"/>
  <c r="J103" s="1"/>
  <c r="J151" s="1"/>
  <c r="P18" i="27" s="1"/>
  <c r="F38" i="6"/>
  <c r="F103" s="1"/>
  <c r="F151" s="1"/>
  <c r="L18" i="27" s="1"/>
  <c r="K38" i="6"/>
  <c r="K103" s="1"/>
  <c r="K151" s="1"/>
  <c r="Q18" i="27" s="1"/>
  <c r="X38" i="6"/>
  <c r="X103" s="1"/>
  <c r="X151" s="1"/>
  <c r="AD18" i="27" s="1"/>
  <c r="P38" i="6"/>
  <c r="P103" s="1"/>
  <c r="P151" s="1"/>
  <c r="V18" i="27" s="1"/>
  <c r="O38" i="6"/>
  <c r="O103" s="1"/>
  <c r="O151" s="1"/>
  <c r="U18" i="27" s="1"/>
  <c r="H38" i="6"/>
  <c r="H103" s="1"/>
  <c r="H151" s="1"/>
  <c r="N18" i="27" s="1"/>
  <c r="V38" i="6"/>
  <c r="V103" s="1"/>
  <c r="V151" s="1"/>
  <c r="AB18" i="27" s="1"/>
  <c r="U38" i="6"/>
  <c r="U103" s="1"/>
  <c r="U151" s="1"/>
  <c r="AA18" i="27" s="1"/>
  <c r="M38" i="6"/>
  <c r="M103" s="1"/>
  <c r="M151" s="1"/>
  <c r="S18" i="27" s="1"/>
  <c r="Z38" i="6"/>
  <c r="Y151" s="1"/>
  <c r="AE18" i="27" s="1"/>
  <c r="I38" i="6"/>
  <c r="I103" s="1"/>
  <c r="I151" s="1"/>
  <c r="O18" i="27" s="1"/>
  <c r="N38" i="6"/>
  <c r="N103" s="1"/>
  <c r="N151" s="1"/>
  <c r="T18" i="27" s="1"/>
  <c r="H51" i="6"/>
  <c r="H116" s="1"/>
  <c r="H164" s="1"/>
  <c r="N31" i="27" s="1"/>
  <c r="R51" i="6"/>
  <c r="R116" s="1"/>
  <c r="R164" s="1"/>
  <c r="X31" i="27" s="1"/>
  <c r="U51" i="6"/>
  <c r="U116" s="1"/>
  <c r="U164" s="1"/>
  <c r="AA31" i="27" s="1"/>
  <c r="S51" i="6"/>
  <c r="S116" s="1"/>
  <c r="S164" s="1"/>
  <c r="Y31" i="27" s="1"/>
  <c r="X51" i="6"/>
  <c r="X116" s="1"/>
  <c r="X164" s="1"/>
  <c r="AD31" i="27" s="1"/>
  <c r="Z51" i="6"/>
  <c r="Y164" s="1"/>
  <c r="AE31" i="27" s="1"/>
  <c r="G51" i="6"/>
  <c r="G116" s="1"/>
  <c r="G164" s="1"/>
  <c r="M31" i="27" s="1"/>
  <c r="W51" i="6"/>
  <c r="W116" s="1"/>
  <c r="W164" s="1"/>
  <c r="AC31" i="27" s="1"/>
  <c r="K51" i="6"/>
  <c r="K116" s="1"/>
  <c r="K164" s="1"/>
  <c r="Q31" i="27" s="1"/>
  <c r="J51" i="6"/>
  <c r="J116" s="1"/>
  <c r="J164" s="1"/>
  <c r="P31" i="27" s="1"/>
  <c r="V51" i="6"/>
  <c r="V116" s="1"/>
  <c r="V164" s="1"/>
  <c r="AB31" i="27" s="1"/>
  <c r="E51" i="6"/>
  <c r="E116" s="1"/>
  <c r="N51"/>
  <c r="N116" s="1"/>
  <c r="N164" s="1"/>
  <c r="T31" i="27" s="1"/>
  <c r="F51" i="6"/>
  <c r="F116" s="1"/>
  <c r="F164" s="1"/>
  <c r="L31" i="27" s="1"/>
  <c r="O51" i="6"/>
  <c r="O116" s="1"/>
  <c r="O164" s="1"/>
  <c r="U31" i="27" s="1"/>
  <c r="Q51" i="6"/>
  <c r="Q116" s="1"/>
  <c r="Q164" s="1"/>
  <c r="W31" i="27" s="1"/>
  <c r="L51" i="6"/>
  <c r="L116" s="1"/>
  <c r="L164" s="1"/>
  <c r="R31" i="27" s="1"/>
  <c r="I51" i="6"/>
  <c r="I116" s="1"/>
  <c r="I164" s="1"/>
  <c r="O31" i="27" s="1"/>
  <c r="P51" i="6"/>
  <c r="P116" s="1"/>
  <c r="P164" s="1"/>
  <c r="V31" i="27" s="1"/>
  <c r="M51" i="6"/>
  <c r="M116" s="1"/>
  <c r="M164" s="1"/>
  <c r="S31" i="27" s="1"/>
  <c r="T51" i="6"/>
  <c r="T116" s="1"/>
  <c r="T164" s="1"/>
  <c r="Z31" i="27" s="1"/>
  <c r="S24" i="6"/>
  <c r="R24"/>
  <c r="N24"/>
  <c r="W24"/>
  <c r="J24"/>
  <c r="F24"/>
  <c r="U24"/>
  <c r="Z24"/>
  <c r="Y137" s="1"/>
  <c r="M24"/>
  <c r="E24"/>
  <c r="T24"/>
  <c r="Q24"/>
  <c r="V24"/>
  <c r="X24"/>
  <c r="L24"/>
  <c r="O24"/>
  <c r="K24"/>
  <c r="P24"/>
  <c r="G24"/>
  <c r="H24"/>
  <c r="I24"/>
  <c r="G89" l="1"/>
  <c r="L89"/>
  <c r="T89"/>
  <c r="U89"/>
  <c r="N89"/>
  <c r="P89"/>
  <c r="X89"/>
  <c r="E89"/>
  <c r="F89"/>
  <c r="R89"/>
  <c r="AA103"/>
  <c r="E151"/>
  <c r="AA160"/>
  <c r="K27" i="27"/>
  <c r="E150" i="6"/>
  <c r="AA102"/>
  <c r="AA173"/>
  <c r="K40" i="27"/>
  <c r="AA116" i="6"/>
  <c r="E164"/>
  <c r="H89"/>
  <c r="O89"/>
  <c r="Q89"/>
  <c r="AE4" i="27"/>
  <c r="W89" i="6"/>
  <c r="E163"/>
  <c r="AA115"/>
  <c r="AA90"/>
  <c r="E138"/>
  <c r="K14" i="27"/>
  <c r="AA147" i="6"/>
  <c r="I89"/>
  <c r="K89"/>
  <c r="V89"/>
  <c r="M89"/>
  <c r="J89"/>
  <c r="S89"/>
  <c r="K5" i="27" l="1"/>
  <c r="AA138" i="6"/>
  <c r="O137"/>
  <c r="K17" i="27"/>
  <c r="AA150" i="6"/>
  <c r="F137"/>
  <c r="X137"/>
  <c r="N137"/>
  <c r="T137"/>
  <c r="G137"/>
  <c r="S137"/>
  <c r="M137"/>
  <c r="K137"/>
  <c r="AA163"/>
  <c r="K30" i="27"/>
  <c r="AA164" i="6"/>
  <c r="K31" i="27"/>
  <c r="K18"/>
  <c r="AA151" i="6"/>
  <c r="Q137"/>
  <c r="H137"/>
  <c r="R137"/>
  <c r="AA89"/>
  <c r="E137"/>
  <c r="P137"/>
  <c r="U137"/>
  <c r="L137"/>
  <c r="J137"/>
  <c r="V137"/>
  <c r="I137"/>
  <c r="W137"/>
  <c r="N4" i="27" l="1"/>
  <c r="S4"/>
  <c r="T4"/>
  <c r="U4"/>
  <c r="X4"/>
  <c r="W4"/>
  <c r="Q4"/>
  <c r="Y4"/>
  <c r="Z4"/>
  <c r="AD4"/>
  <c r="AC4"/>
  <c r="AB4"/>
  <c r="R4"/>
  <c r="V4"/>
  <c r="M4"/>
  <c r="L4"/>
  <c r="O4"/>
  <c r="P4"/>
  <c r="AA4"/>
  <c r="K4"/>
  <c r="AA137" i="6"/>
  <c r="A61" l="1"/>
  <c r="A48"/>
  <c r="A35"/>
  <c r="A30"/>
  <c r="A43"/>
  <c r="A56"/>
  <c r="A55"/>
  <c r="A29"/>
  <c r="A42"/>
  <c r="A52"/>
  <c r="A26"/>
  <c r="A39"/>
  <c r="A46"/>
  <c r="A33"/>
  <c r="A59"/>
  <c r="A54"/>
  <c r="A41"/>
  <c r="A28"/>
  <c r="A45"/>
  <c r="A58"/>
  <c r="A32"/>
  <c r="A31"/>
  <c r="A57"/>
  <c r="A44"/>
  <c r="A40"/>
  <c r="A27"/>
  <c r="A53"/>
  <c r="X53" l="1"/>
  <c r="X118" s="1"/>
  <c r="X166" s="1"/>
  <c r="AD33" i="27" s="1"/>
  <c r="H53" i="6"/>
  <c r="H118" s="1"/>
  <c r="H166" s="1"/>
  <c r="N33" i="27" s="1"/>
  <c r="P53" i="6"/>
  <c r="P118" s="1"/>
  <c r="P166" s="1"/>
  <c r="V33" i="27" s="1"/>
  <c r="L53" i="6"/>
  <c r="L118" s="1"/>
  <c r="L166" s="1"/>
  <c r="R33" i="27" s="1"/>
  <c r="Z53" i="6"/>
  <c r="Y166" s="1"/>
  <c r="AE33" i="27" s="1"/>
  <c r="N53" i="6"/>
  <c r="N118" s="1"/>
  <c r="N166" s="1"/>
  <c r="T33" i="27" s="1"/>
  <c r="W53" i="6"/>
  <c r="W118" s="1"/>
  <c r="W166" s="1"/>
  <c r="AC33" i="27" s="1"/>
  <c r="U53" i="6"/>
  <c r="U118" s="1"/>
  <c r="U166" s="1"/>
  <c r="AA33" i="27" s="1"/>
  <c r="M53" i="6"/>
  <c r="M118" s="1"/>
  <c r="M166" s="1"/>
  <c r="S33" i="27" s="1"/>
  <c r="S53" i="6"/>
  <c r="S118" s="1"/>
  <c r="S166" s="1"/>
  <c r="Y33" i="27" s="1"/>
  <c r="F53" i="6"/>
  <c r="F118" s="1"/>
  <c r="F166" s="1"/>
  <c r="L33" i="27" s="1"/>
  <c r="T53" i="6"/>
  <c r="T118" s="1"/>
  <c r="T166" s="1"/>
  <c r="Z33" i="27" s="1"/>
  <c r="K53" i="6"/>
  <c r="K118" s="1"/>
  <c r="K166" s="1"/>
  <c r="Q33" i="27" s="1"/>
  <c r="J53" i="6"/>
  <c r="J118" s="1"/>
  <c r="J166" s="1"/>
  <c r="P33" i="27" s="1"/>
  <c r="G53" i="6"/>
  <c r="G118" s="1"/>
  <c r="G166" s="1"/>
  <c r="M33" i="27" s="1"/>
  <c r="Q53" i="6"/>
  <c r="Q118" s="1"/>
  <c r="Q166" s="1"/>
  <c r="W33" i="27" s="1"/>
  <c r="R53" i="6"/>
  <c r="R118" s="1"/>
  <c r="R166" s="1"/>
  <c r="X33" i="27" s="1"/>
  <c r="V53" i="6"/>
  <c r="V118" s="1"/>
  <c r="V166" s="1"/>
  <c r="AB33" i="27" s="1"/>
  <c r="O53" i="6"/>
  <c r="O118" s="1"/>
  <c r="O166" s="1"/>
  <c r="U33" i="27" s="1"/>
  <c r="I53" i="6"/>
  <c r="I118" s="1"/>
  <c r="I166" s="1"/>
  <c r="O33" i="27" s="1"/>
  <c r="E53" i="6"/>
  <c r="E118" s="1"/>
  <c r="V57"/>
  <c r="V122" s="1"/>
  <c r="V170" s="1"/>
  <c r="AB37" i="27" s="1"/>
  <c r="F57" i="6"/>
  <c r="F122" s="1"/>
  <c r="F170" s="1"/>
  <c r="L37" i="27" s="1"/>
  <c r="U57" i="6"/>
  <c r="U122" s="1"/>
  <c r="U170" s="1"/>
  <c r="AA37" i="27" s="1"/>
  <c r="K57" i="6"/>
  <c r="K122" s="1"/>
  <c r="K170" s="1"/>
  <c r="Q37" i="27" s="1"/>
  <c r="I57" i="6"/>
  <c r="I122" s="1"/>
  <c r="I170" s="1"/>
  <c r="O37" i="27" s="1"/>
  <c r="S57" i="6"/>
  <c r="S122" s="1"/>
  <c r="S170" s="1"/>
  <c r="Y37" i="27" s="1"/>
  <c r="J57" i="6"/>
  <c r="J122" s="1"/>
  <c r="J170" s="1"/>
  <c r="P37" i="27" s="1"/>
  <c r="G57" i="6"/>
  <c r="G122" s="1"/>
  <c r="G170" s="1"/>
  <c r="M37" i="27" s="1"/>
  <c r="H57" i="6"/>
  <c r="H122" s="1"/>
  <c r="H170" s="1"/>
  <c r="N37" i="27" s="1"/>
  <c r="O57" i="6"/>
  <c r="O122" s="1"/>
  <c r="O170" s="1"/>
  <c r="U37" i="27" s="1"/>
  <c r="T57" i="6"/>
  <c r="T122" s="1"/>
  <c r="T170" s="1"/>
  <c r="Z37" i="27" s="1"/>
  <c r="Z57" i="6"/>
  <c r="Y170" s="1"/>
  <c r="AE37" i="27" s="1"/>
  <c r="L57" i="6"/>
  <c r="L122" s="1"/>
  <c r="L170" s="1"/>
  <c r="R37" i="27" s="1"/>
  <c r="E57" i="6"/>
  <c r="E122" s="1"/>
  <c r="W57"/>
  <c r="W122" s="1"/>
  <c r="W170" s="1"/>
  <c r="AC37" i="27" s="1"/>
  <c r="Q57" i="6"/>
  <c r="Q122" s="1"/>
  <c r="Q170" s="1"/>
  <c r="W37" i="27" s="1"/>
  <c r="X57" i="6"/>
  <c r="X122" s="1"/>
  <c r="X170" s="1"/>
  <c r="AD37" i="27" s="1"/>
  <c r="P57" i="6"/>
  <c r="P122" s="1"/>
  <c r="P170" s="1"/>
  <c r="V37" i="27" s="1"/>
  <c r="R57" i="6"/>
  <c r="R122" s="1"/>
  <c r="R170" s="1"/>
  <c r="X37" i="27" s="1"/>
  <c r="M57" i="6"/>
  <c r="M122" s="1"/>
  <c r="M170" s="1"/>
  <c r="S37" i="27" s="1"/>
  <c r="N57" i="6"/>
  <c r="N122" s="1"/>
  <c r="N170" s="1"/>
  <c r="T37" i="27" s="1"/>
  <c r="M40" i="6"/>
  <c r="M105" s="1"/>
  <c r="M153" s="1"/>
  <c r="S20" i="27" s="1"/>
  <c r="J40" i="6"/>
  <c r="J105" s="1"/>
  <c r="J153" s="1"/>
  <c r="P20" i="27" s="1"/>
  <c r="V40" i="6"/>
  <c r="V105" s="1"/>
  <c r="V153" s="1"/>
  <c r="AB20" i="27" s="1"/>
  <c r="F40" i="6"/>
  <c r="F105" s="1"/>
  <c r="F153" s="1"/>
  <c r="L20" i="27" s="1"/>
  <c r="K40" i="6"/>
  <c r="K105" s="1"/>
  <c r="K153" s="1"/>
  <c r="Q20" i="27" s="1"/>
  <c r="H40" i="6"/>
  <c r="H105" s="1"/>
  <c r="H153" s="1"/>
  <c r="N20" i="27" s="1"/>
  <c r="X40" i="6"/>
  <c r="X105" s="1"/>
  <c r="X153" s="1"/>
  <c r="AD20" i="27" s="1"/>
  <c r="P40" i="6"/>
  <c r="P105" s="1"/>
  <c r="P153" s="1"/>
  <c r="V20" i="27" s="1"/>
  <c r="T40" i="6"/>
  <c r="T105" s="1"/>
  <c r="T153" s="1"/>
  <c r="Z20" i="27" s="1"/>
  <c r="Q40" i="6"/>
  <c r="Q105" s="1"/>
  <c r="Q153" s="1"/>
  <c r="W20" i="27" s="1"/>
  <c r="E40" i="6"/>
  <c r="E105" s="1"/>
  <c r="I40"/>
  <c r="I105" s="1"/>
  <c r="I153" s="1"/>
  <c r="O20" i="27" s="1"/>
  <c r="N40" i="6"/>
  <c r="N105" s="1"/>
  <c r="N153" s="1"/>
  <c r="T20" i="27" s="1"/>
  <c r="W40" i="6"/>
  <c r="W105" s="1"/>
  <c r="W153" s="1"/>
  <c r="AC20" i="27" s="1"/>
  <c r="R40" i="6"/>
  <c r="R105" s="1"/>
  <c r="R153" s="1"/>
  <c r="X20" i="27" s="1"/>
  <c r="U40" i="6"/>
  <c r="U105" s="1"/>
  <c r="U153" s="1"/>
  <c r="AA20" i="27" s="1"/>
  <c r="S40" i="6"/>
  <c r="S105" s="1"/>
  <c r="S153" s="1"/>
  <c r="Y20" i="27" s="1"/>
  <c r="G40" i="6"/>
  <c r="G105" s="1"/>
  <c r="G153" s="1"/>
  <c r="M20" i="27" s="1"/>
  <c r="Z40" i="6"/>
  <c r="Y153" s="1"/>
  <c r="AE20" i="27" s="1"/>
  <c r="L40" i="6"/>
  <c r="L105" s="1"/>
  <c r="L153" s="1"/>
  <c r="R20" i="27" s="1"/>
  <c r="O40" i="6"/>
  <c r="O105" s="1"/>
  <c r="O153" s="1"/>
  <c r="U20" i="27" s="1"/>
  <c r="R32" i="6"/>
  <c r="R97" s="1"/>
  <c r="R145" s="1"/>
  <c r="Z32"/>
  <c r="Y145" s="1"/>
  <c r="V32"/>
  <c r="V97" s="1"/>
  <c r="V145" s="1"/>
  <c r="P32"/>
  <c r="P97" s="1"/>
  <c r="P145" s="1"/>
  <c r="S32"/>
  <c r="S97" s="1"/>
  <c r="S145" s="1"/>
  <c r="K32"/>
  <c r="K97" s="1"/>
  <c r="K145" s="1"/>
  <c r="N32"/>
  <c r="N97" s="1"/>
  <c r="N145" s="1"/>
  <c r="M32"/>
  <c r="M97" s="1"/>
  <c r="M145" s="1"/>
  <c r="G32"/>
  <c r="G97" s="1"/>
  <c r="G145" s="1"/>
  <c r="X32"/>
  <c r="X97" s="1"/>
  <c r="X145" s="1"/>
  <c r="F32"/>
  <c r="F97" s="1"/>
  <c r="F145" s="1"/>
  <c r="W32"/>
  <c r="W97" s="1"/>
  <c r="W145" s="1"/>
  <c r="Q32"/>
  <c r="Q97" s="1"/>
  <c r="Q145" s="1"/>
  <c r="U32"/>
  <c r="U97" s="1"/>
  <c r="U145" s="1"/>
  <c r="E32"/>
  <c r="E97" s="1"/>
  <c r="J32"/>
  <c r="J97" s="1"/>
  <c r="J145" s="1"/>
  <c r="H32"/>
  <c r="H97" s="1"/>
  <c r="H145" s="1"/>
  <c r="I32"/>
  <c r="I97" s="1"/>
  <c r="I145" s="1"/>
  <c r="T32"/>
  <c r="T97" s="1"/>
  <c r="T145" s="1"/>
  <c r="O32"/>
  <c r="O97" s="1"/>
  <c r="O145" s="1"/>
  <c r="L32"/>
  <c r="L97" s="1"/>
  <c r="L145" s="1"/>
  <c r="L41"/>
  <c r="L106" s="1"/>
  <c r="L154" s="1"/>
  <c r="R21" i="27" s="1"/>
  <c r="P41" i="6"/>
  <c r="P106" s="1"/>
  <c r="P154" s="1"/>
  <c r="V21" i="27" s="1"/>
  <c r="H41" i="6"/>
  <c r="H106" s="1"/>
  <c r="H154" s="1"/>
  <c r="N21" i="27" s="1"/>
  <c r="X41" i="6"/>
  <c r="X106" s="1"/>
  <c r="X154" s="1"/>
  <c r="AD21" i="27" s="1"/>
  <c r="Z41" i="6"/>
  <c r="Y154" s="1"/>
  <c r="AE21" i="27" s="1"/>
  <c r="W41" i="6"/>
  <c r="W106" s="1"/>
  <c r="W154" s="1"/>
  <c r="AC21" i="27" s="1"/>
  <c r="F41" i="6"/>
  <c r="F106" s="1"/>
  <c r="F154" s="1"/>
  <c r="L21" i="27" s="1"/>
  <c r="Q41" i="6"/>
  <c r="Q106" s="1"/>
  <c r="Q154" s="1"/>
  <c r="W21" i="27" s="1"/>
  <c r="S41" i="6"/>
  <c r="S106" s="1"/>
  <c r="S154" s="1"/>
  <c r="Y21" i="27" s="1"/>
  <c r="J41" i="6"/>
  <c r="J106" s="1"/>
  <c r="J154" s="1"/>
  <c r="P21" i="27" s="1"/>
  <c r="T41" i="6"/>
  <c r="T106" s="1"/>
  <c r="T154" s="1"/>
  <c r="Z21" i="27" s="1"/>
  <c r="R41" i="6"/>
  <c r="R106" s="1"/>
  <c r="R154" s="1"/>
  <c r="X21" i="27" s="1"/>
  <c r="M41" i="6"/>
  <c r="M106" s="1"/>
  <c r="M154" s="1"/>
  <c r="S21" i="27" s="1"/>
  <c r="O41" i="6"/>
  <c r="O106" s="1"/>
  <c r="O154" s="1"/>
  <c r="U21" i="27" s="1"/>
  <c r="N41" i="6"/>
  <c r="N106" s="1"/>
  <c r="N154" s="1"/>
  <c r="T21" i="27" s="1"/>
  <c r="E41" i="6"/>
  <c r="E106" s="1"/>
  <c r="K41"/>
  <c r="K106" s="1"/>
  <c r="K154" s="1"/>
  <c r="Q21" i="27" s="1"/>
  <c r="G41" i="6"/>
  <c r="G106" s="1"/>
  <c r="G154" s="1"/>
  <c r="M21" i="27" s="1"/>
  <c r="I41" i="6"/>
  <c r="I106" s="1"/>
  <c r="I154" s="1"/>
  <c r="O21" i="27" s="1"/>
  <c r="V41" i="6"/>
  <c r="V106" s="1"/>
  <c r="V154" s="1"/>
  <c r="AB21" i="27" s="1"/>
  <c r="U41" i="6"/>
  <c r="U106" s="1"/>
  <c r="U154" s="1"/>
  <c r="AA21" i="27" s="1"/>
  <c r="Z46" i="6"/>
  <c r="Y159" s="1"/>
  <c r="AE26" i="27" s="1"/>
  <c r="V46" i="6"/>
  <c r="V111" s="1"/>
  <c r="V159" s="1"/>
  <c r="AB26" i="27" s="1"/>
  <c r="T46" i="6"/>
  <c r="T111" s="1"/>
  <c r="T159" s="1"/>
  <c r="Z26" i="27" s="1"/>
  <c r="G46" i="6"/>
  <c r="G111" s="1"/>
  <c r="G159" s="1"/>
  <c r="M26" i="27" s="1"/>
  <c r="Q46" i="6"/>
  <c r="Q111" s="1"/>
  <c r="Q159" s="1"/>
  <c r="W26" i="27" s="1"/>
  <c r="U46" i="6"/>
  <c r="U111" s="1"/>
  <c r="U159" s="1"/>
  <c r="AA26" i="27" s="1"/>
  <c r="K46" i="6"/>
  <c r="K111" s="1"/>
  <c r="K159" s="1"/>
  <c r="Q26" i="27" s="1"/>
  <c r="E46" i="6"/>
  <c r="E111" s="1"/>
  <c r="E159" s="1"/>
  <c r="W46"/>
  <c r="W111" s="1"/>
  <c r="W159" s="1"/>
  <c r="AC26" i="27" s="1"/>
  <c r="N46" i="6"/>
  <c r="N111" s="1"/>
  <c r="N159" s="1"/>
  <c r="T26" i="27" s="1"/>
  <c r="F46" i="6"/>
  <c r="F111" s="1"/>
  <c r="F159" s="1"/>
  <c r="L26" i="27" s="1"/>
  <c r="O46" i="6"/>
  <c r="O111" s="1"/>
  <c r="O159" s="1"/>
  <c r="U26" i="27" s="1"/>
  <c r="H46" i="6"/>
  <c r="H111" s="1"/>
  <c r="H159" s="1"/>
  <c r="N26" i="27" s="1"/>
  <c r="J46" i="6"/>
  <c r="J111" s="1"/>
  <c r="J159" s="1"/>
  <c r="P26" i="27" s="1"/>
  <c r="S46" i="6"/>
  <c r="S111" s="1"/>
  <c r="S159" s="1"/>
  <c r="Y26" i="27" s="1"/>
  <c r="R46" i="6"/>
  <c r="R111" s="1"/>
  <c r="R159" s="1"/>
  <c r="X26" i="27" s="1"/>
  <c r="X46" i="6"/>
  <c r="X111" s="1"/>
  <c r="X159" s="1"/>
  <c r="AD26" i="27" s="1"/>
  <c r="L46" i="6"/>
  <c r="L111" s="1"/>
  <c r="L159" s="1"/>
  <c r="R26" i="27" s="1"/>
  <c r="I46" i="6"/>
  <c r="I111" s="1"/>
  <c r="I159" s="1"/>
  <c r="O26" i="27" s="1"/>
  <c r="P46" i="6"/>
  <c r="P111" s="1"/>
  <c r="P159" s="1"/>
  <c r="V26" i="27" s="1"/>
  <c r="M46" i="6"/>
  <c r="M111" s="1"/>
  <c r="M159" s="1"/>
  <c r="S26" i="27" s="1"/>
  <c r="Z42" i="6"/>
  <c r="Y155" s="1"/>
  <c r="AE22" i="27" s="1"/>
  <c r="Q42" i="6"/>
  <c r="Q107" s="1"/>
  <c r="Q155" s="1"/>
  <c r="W22" i="27" s="1"/>
  <c r="J42" i="6"/>
  <c r="J107" s="1"/>
  <c r="J155" s="1"/>
  <c r="P22" i="27" s="1"/>
  <c r="R42" i="6"/>
  <c r="R107" s="1"/>
  <c r="R155" s="1"/>
  <c r="X22" i="27" s="1"/>
  <c r="O42" i="6"/>
  <c r="O107" s="1"/>
  <c r="O155" s="1"/>
  <c r="U22" i="27" s="1"/>
  <c r="S42" i="6"/>
  <c r="S107" s="1"/>
  <c r="S155" s="1"/>
  <c r="Y22" i="27" s="1"/>
  <c r="K42" i="6"/>
  <c r="K107" s="1"/>
  <c r="K155" s="1"/>
  <c r="Q22" i="27" s="1"/>
  <c r="L42" i="6"/>
  <c r="L107" s="1"/>
  <c r="L155" s="1"/>
  <c r="R22" i="27" s="1"/>
  <c r="E42" i="6"/>
  <c r="E107" s="1"/>
  <c r="M42"/>
  <c r="M107" s="1"/>
  <c r="M155" s="1"/>
  <c r="S22" i="27" s="1"/>
  <c r="U42" i="6"/>
  <c r="U107" s="1"/>
  <c r="U155" s="1"/>
  <c r="AA22" i="27" s="1"/>
  <c r="G42" i="6"/>
  <c r="G107" s="1"/>
  <c r="G155" s="1"/>
  <c r="M22" i="27" s="1"/>
  <c r="N42" i="6"/>
  <c r="N107" s="1"/>
  <c r="N155" s="1"/>
  <c r="T22" i="27" s="1"/>
  <c r="T42" i="6"/>
  <c r="T107" s="1"/>
  <c r="T155" s="1"/>
  <c r="Z22" i="27" s="1"/>
  <c r="H42" i="6"/>
  <c r="H107" s="1"/>
  <c r="H155" s="1"/>
  <c r="N22" i="27" s="1"/>
  <c r="X42" i="6"/>
  <c r="X107" s="1"/>
  <c r="X155" s="1"/>
  <c r="AD22" i="27" s="1"/>
  <c r="P42" i="6"/>
  <c r="P107" s="1"/>
  <c r="P155" s="1"/>
  <c r="V22" i="27" s="1"/>
  <c r="I42" i="6"/>
  <c r="I107" s="1"/>
  <c r="I155" s="1"/>
  <c r="O22" i="27" s="1"/>
  <c r="W42" i="6"/>
  <c r="W107" s="1"/>
  <c r="W155" s="1"/>
  <c r="AC22" i="27" s="1"/>
  <c r="F42" i="6"/>
  <c r="F107" s="1"/>
  <c r="F155" s="1"/>
  <c r="L22" i="27" s="1"/>
  <c r="V42" i="6"/>
  <c r="V107" s="1"/>
  <c r="V155" s="1"/>
  <c r="AB22" i="27" s="1"/>
  <c r="U43" i="6"/>
  <c r="U108" s="1"/>
  <c r="U156" s="1"/>
  <c r="AA23" i="27" s="1"/>
  <c r="N43" i="6"/>
  <c r="N108" s="1"/>
  <c r="N156" s="1"/>
  <c r="T23" i="27" s="1"/>
  <c r="P43" i="6"/>
  <c r="P108" s="1"/>
  <c r="P156" s="1"/>
  <c r="V23" i="27" s="1"/>
  <c r="S43" i="6"/>
  <c r="S108" s="1"/>
  <c r="S156" s="1"/>
  <c r="Y23" i="27" s="1"/>
  <c r="Q43" i="6"/>
  <c r="Q108" s="1"/>
  <c r="Q156" s="1"/>
  <c r="W23" i="27" s="1"/>
  <c r="K43" i="6"/>
  <c r="K108" s="1"/>
  <c r="K156" s="1"/>
  <c r="Q23" i="27" s="1"/>
  <c r="H43" i="6"/>
  <c r="H108" s="1"/>
  <c r="H156" s="1"/>
  <c r="N23" i="27" s="1"/>
  <c r="O43" i="6"/>
  <c r="O108" s="1"/>
  <c r="O156" s="1"/>
  <c r="U23" i="27" s="1"/>
  <c r="M43" i="6"/>
  <c r="M108" s="1"/>
  <c r="M156" s="1"/>
  <c r="S23" i="27" s="1"/>
  <c r="V43" i="6"/>
  <c r="V108" s="1"/>
  <c r="V156" s="1"/>
  <c r="AB23" i="27" s="1"/>
  <c r="E43" i="6"/>
  <c r="E108" s="1"/>
  <c r="J43"/>
  <c r="J108" s="1"/>
  <c r="J156" s="1"/>
  <c r="P23" i="27" s="1"/>
  <c r="F43" i="6"/>
  <c r="F108" s="1"/>
  <c r="F156" s="1"/>
  <c r="L23" i="27" s="1"/>
  <c r="T43" i="6"/>
  <c r="T108" s="1"/>
  <c r="T156" s="1"/>
  <c r="Z23" i="27" s="1"/>
  <c r="W43" i="6"/>
  <c r="W108" s="1"/>
  <c r="W156" s="1"/>
  <c r="AC23" i="27" s="1"/>
  <c r="R43" i="6"/>
  <c r="R108" s="1"/>
  <c r="R156" s="1"/>
  <c r="X23" i="27" s="1"/>
  <c r="L43" i="6"/>
  <c r="L108" s="1"/>
  <c r="L156" s="1"/>
  <c r="R23" i="27" s="1"/>
  <c r="Z43" i="6"/>
  <c r="Y156" s="1"/>
  <c r="AE23" i="27" s="1"/>
  <c r="I43" i="6"/>
  <c r="I108" s="1"/>
  <c r="I156" s="1"/>
  <c r="O23" i="27" s="1"/>
  <c r="G43" i="6"/>
  <c r="G108" s="1"/>
  <c r="G156" s="1"/>
  <c r="M23" i="27" s="1"/>
  <c r="X43" i="6"/>
  <c r="X108" s="1"/>
  <c r="X156" s="1"/>
  <c r="AD23" i="27" s="1"/>
  <c r="J61" i="6"/>
  <c r="J126" s="1"/>
  <c r="J174" s="1"/>
  <c r="P41" i="27" s="1"/>
  <c r="N61" i="6"/>
  <c r="N126" s="1"/>
  <c r="N174" s="1"/>
  <c r="T41" i="27" s="1"/>
  <c r="G61" i="6"/>
  <c r="G126" s="1"/>
  <c r="G174" s="1"/>
  <c r="M41" i="27" s="1"/>
  <c r="I61" i="6"/>
  <c r="I126" s="1"/>
  <c r="I174" s="1"/>
  <c r="O41" i="27" s="1"/>
  <c r="V61" i="6"/>
  <c r="V126" s="1"/>
  <c r="V174" s="1"/>
  <c r="AB41" i="27" s="1"/>
  <c r="L61" i="6"/>
  <c r="L126" s="1"/>
  <c r="L174" s="1"/>
  <c r="R41" i="27" s="1"/>
  <c r="O61" i="6"/>
  <c r="O126" s="1"/>
  <c r="O174" s="1"/>
  <c r="U41" i="27" s="1"/>
  <c r="K61" i="6"/>
  <c r="K126" s="1"/>
  <c r="K174" s="1"/>
  <c r="Q41" i="27" s="1"/>
  <c r="S61" i="6"/>
  <c r="S126" s="1"/>
  <c r="S174" s="1"/>
  <c r="Y41" i="27" s="1"/>
  <c r="M61" i="6"/>
  <c r="M126" s="1"/>
  <c r="M174" s="1"/>
  <c r="S41" i="27" s="1"/>
  <c r="X61" i="6"/>
  <c r="X126" s="1"/>
  <c r="X174" s="1"/>
  <c r="AD41" i="27" s="1"/>
  <c r="U61" i="6"/>
  <c r="U126" s="1"/>
  <c r="U174" s="1"/>
  <c r="AA41" i="27" s="1"/>
  <c r="P61" i="6"/>
  <c r="P126" s="1"/>
  <c r="P174" s="1"/>
  <c r="V41" i="27" s="1"/>
  <c r="Z61" i="6"/>
  <c r="Y174" s="1"/>
  <c r="AE41" i="27" s="1"/>
  <c r="E61" i="6"/>
  <c r="E126" s="1"/>
  <c r="E174" s="1"/>
  <c r="W61"/>
  <c r="W126" s="1"/>
  <c r="W174" s="1"/>
  <c r="AC41" i="27" s="1"/>
  <c r="T61" i="6"/>
  <c r="T126" s="1"/>
  <c r="T174" s="1"/>
  <c r="Z41" i="27" s="1"/>
  <c r="H61" i="6"/>
  <c r="H126" s="1"/>
  <c r="H174" s="1"/>
  <c r="N41" i="27" s="1"/>
  <c r="Q61" i="6"/>
  <c r="Q126" s="1"/>
  <c r="Q174" s="1"/>
  <c r="W41" i="27" s="1"/>
  <c r="F61" i="6"/>
  <c r="F126" s="1"/>
  <c r="F174" s="1"/>
  <c r="L41" i="27" s="1"/>
  <c r="R61" i="6"/>
  <c r="R126" s="1"/>
  <c r="R174" s="1"/>
  <c r="X41" i="27" s="1"/>
  <c r="U59" i="6"/>
  <c r="U124" s="1"/>
  <c r="U172" s="1"/>
  <c r="AA39" i="27" s="1"/>
  <c r="L59" i="6"/>
  <c r="L124" s="1"/>
  <c r="L172" s="1"/>
  <c r="R39" i="27" s="1"/>
  <c r="S59" i="6"/>
  <c r="S124" s="1"/>
  <c r="S172" s="1"/>
  <c r="Y39" i="27" s="1"/>
  <c r="T59" i="6"/>
  <c r="T124" s="1"/>
  <c r="T172" s="1"/>
  <c r="Z39" i="27" s="1"/>
  <c r="J59" i="6"/>
  <c r="J124" s="1"/>
  <c r="J172" s="1"/>
  <c r="P39" i="27" s="1"/>
  <c r="H59" i="6"/>
  <c r="H124" s="1"/>
  <c r="H172" s="1"/>
  <c r="N39" i="27" s="1"/>
  <c r="O59" i="6"/>
  <c r="O124" s="1"/>
  <c r="O172" s="1"/>
  <c r="U39" i="27" s="1"/>
  <c r="F59" i="6"/>
  <c r="F124" s="1"/>
  <c r="F172" s="1"/>
  <c r="L39" i="27" s="1"/>
  <c r="K59" i="6"/>
  <c r="K124" s="1"/>
  <c r="K172" s="1"/>
  <c r="Q39" i="27" s="1"/>
  <c r="R59" i="6"/>
  <c r="R124" s="1"/>
  <c r="R172" s="1"/>
  <c r="X39" i="27" s="1"/>
  <c r="E59" i="6"/>
  <c r="E124" s="1"/>
  <c r="W59"/>
  <c r="W124" s="1"/>
  <c r="W172" s="1"/>
  <c r="AC39" i="27" s="1"/>
  <c r="Q59" i="6"/>
  <c r="Q124" s="1"/>
  <c r="Q172" s="1"/>
  <c r="W39" i="27" s="1"/>
  <c r="X59" i="6"/>
  <c r="X124" s="1"/>
  <c r="X172" s="1"/>
  <c r="AD39" i="27" s="1"/>
  <c r="P59" i="6"/>
  <c r="P124" s="1"/>
  <c r="P172" s="1"/>
  <c r="V39" i="27" s="1"/>
  <c r="Z59" i="6"/>
  <c r="Y172" s="1"/>
  <c r="AE39" i="27" s="1"/>
  <c r="I59" i="6"/>
  <c r="I124" s="1"/>
  <c r="I172" s="1"/>
  <c r="O39" i="27" s="1"/>
  <c r="G59" i="6"/>
  <c r="G124" s="1"/>
  <c r="G172" s="1"/>
  <c r="M39" i="27" s="1"/>
  <c r="N59" i="6"/>
  <c r="N124" s="1"/>
  <c r="N172" s="1"/>
  <c r="T39" i="27" s="1"/>
  <c r="V59" i="6"/>
  <c r="V124" s="1"/>
  <c r="V172" s="1"/>
  <c r="AB39" i="27" s="1"/>
  <c r="M59" i="6"/>
  <c r="M124" s="1"/>
  <c r="M172" s="1"/>
  <c r="S39" i="27" s="1"/>
  <c r="O27" i="6"/>
  <c r="O92" s="1"/>
  <c r="O140" s="1"/>
  <c r="U7" i="27" s="1"/>
  <c r="Q27" i="6"/>
  <c r="Q92" s="1"/>
  <c r="Q140" s="1"/>
  <c r="W7" i="27" s="1"/>
  <c r="W27" i="6"/>
  <c r="W92" s="1"/>
  <c r="W140" s="1"/>
  <c r="AC7" i="27" s="1"/>
  <c r="R27" i="6"/>
  <c r="R92" s="1"/>
  <c r="R140" s="1"/>
  <c r="X7" i="27" s="1"/>
  <c r="S27" i="6"/>
  <c r="S92" s="1"/>
  <c r="S140" s="1"/>
  <c r="Y7" i="27" s="1"/>
  <c r="P27" i="6"/>
  <c r="P92" s="1"/>
  <c r="P140" s="1"/>
  <c r="V7" i="27" s="1"/>
  <c r="H27" i="6"/>
  <c r="H92" s="1"/>
  <c r="H140" s="1"/>
  <c r="N7" i="27" s="1"/>
  <c r="X27" i="6"/>
  <c r="X92" s="1"/>
  <c r="X140" s="1"/>
  <c r="AD7" i="27" s="1"/>
  <c r="E27" i="6"/>
  <c r="E92" s="1"/>
  <c r="N27"/>
  <c r="N92" s="1"/>
  <c r="N140" s="1"/>
  <c r="T7" i="27" s="1"/>
  <c r="T27" i="6"/>
  <c r="T92" s="1"/>
  <c r="T140" s="1"/>
  <c r="Z7" i="27" s="1"/>
  <c r="V27" i="6"/>
  <c r="V92" s="1"/>
  <c r="V140" s="1"/>
  <c r="AB7" i="27" s="1"/>
  <c r="G27" i="6"/>
  <c r="G92" s="1"/>
  <c r="G140" s="1"/>
  <c r="M7" i="27" s="1"/>
  <c r="L27" i="6"/>
  <c r="L92" s="1"/>
  <c r="L140" s="1"/>
  <c r="R7" i="27" s="1"/>
  <c r="U27" i="6"/>
  <c r="U92" s="1"/>
  <c r="U140" s="1"/>
  <c r="AA7" i="27" s="1"/>
  <c r="I27" i="6"/>
  <c r="I92" s="1"/>
  <c r="I140" s="1"/>
  <c r="O7" i="27" s="1"/>
  <c r="K27" i="6"/>
  <c r="K92" s="1"/>
  <c r="K140" s="1"/>
  <c r="Q7" i="27" s="1"/>
  <c r="M27" i="6"/>
  <c r="M92" s="1"/>
  <c r="M140" s="1"/>
  <c r="S7" i="27" s="1"/>
  <c r="F27" i="6"/>
  <c r="F92" s="1"/>
  <c r="F140" s="1"/>
  <c r="L7" i="27" s="1"/>
  <c r="Z27" i="6"/>
  <c r="Y140" s="1"/>
  <c r="AE7" i="27" s="1"/>
  <c r="J27" i="6"/>
  <c r="J92" s="1"/>
  <c r="J140" s="1"/>
  <c r="P7" i="27" s="1"/>
  <c r="E31" i="6"/>
  <c r="E96" s="1"/>
  <c r="E144" s="1"/>
  <c r="T31"/>
  <c r="T96" s="1"/>
  <c r="T144" s="1"/>
  <c r="Z11" i="27" s="1"/>
  <c r="F31" i="6"/>
  <c r="F96" s="1"/>
  <c r="F144" s="1"/>
  <c r="L11" i="27" s="1"/>
  <c r="L31" i="6"/>
  <c r="L96" s="1"/>
  <c r="L144" s="1"/>
  <c r="R11" i="27" s="1"/>
  <c r="H31" i="6"/>
  <c r="H96" s="1"/>
  <c r="H144" s="1"/>
  <c r="N11" i="27" s="1"/>
  <c r="W31" i="6"/>
  <c r="W96" s="1"/>
  <c r="W144" s="1"/>
  <c r="AC11" i="27" s="1"/>
  <c r="J31" i="6"/>
  <c r="J96" s="1"/>
  <c r="J144" s="1"/>
  <c r="P11" i="27" s="1"/>
  <c r="N31" i="6"/>
  <c r="N96" s="1"/>
  <c r="N144" s="1"/>
  <c r="T11" i="27" s="1"/>
  <c r="P31" i="6"/>
  <c r="P96" s="1"/>
  <c r="P144" s="1"/>
  <c r="V11" i="27" s="1"/>
  <c r="K31" i="6"/>
  <c r="K96" s="1"/>
  <c r="K144" s="1"/>
  <c r="Q11" i="27" s="1"/>
  <c r="M31" i="6"/>
  <c r="M96" s="1"/>
  <c r="M144" s="1"/>
  <c r="S11" i="27" s="1"/>
  <c r="I31" i="6"/>
  <c r="I96" s="1"/>
  <c r="I144" s="1"/>
  <c r="O11" i="27" s="1"/>
  <c r="V31" i="6"/>
  <c r="V96" s="1"/>
  <c r="V144" s="1"/>
  <c r="AB11" i="27" s="1"/>
  <c r="G31" i="6"/>
  <c r="G96" s="1"/>
  <c r="G144" s="1"/>
  <c r="M11" i="27" s="1"/>
  <c r="R31" i="6"/>
  <c r="R96" s="1"/>
  <c r="R144" s="1"/>
  <c r="X11" i="27" s="1"/>
  <c r="U31" i="6"/>
  <c r="U96" s="1"/>
  <c r="U144" s="1"/>
  <c r="AA11" i="27" s="1"/>
  <c r="Q31" i="6"/>
  <c r="Q96" s="1"/>
  <c r="Q144" s="1"/>
  <c r="W11" i="27" s="1"/>
  <c r="O31" i="6"/>
  <c r="O96" s="1"/>
  <c r="O144" s="1"/>
  <c r="U11" i="27" s="1"/>
  <c r="S31" i="6"/>
  <c r="S96" s="1"/>
  <c r="S144" s="1"/>
  <c r="Y11" i="27" s="1"/>
  <c r="Z31" i="6"/>
  <c r="Y144" s="1"/>
  <c r="AE11" i="27" s="1"/>
  <c r="X31" i="6"/>
  <c r="X96" s="1"/>
  <c r="X144" s="1"/>
  <c r="AD11" i="27" s="1"/>
  <c r="S28" i="6"/>
  <c r="S93" s="1"/>
  <c r="S141" s="1"/>
  <c r="Y8" i="27" s="1"/>
  <c r="T28" i="6"/>
  <c r="T93" s="1"/>
  <c r="T141" s="1"/>
  <c r="Z8" i="27" s="1"/>
  <c r="X28" i="6"/>
  <c r="X93" s="1"/>
  <c r="X141" s="1"/>
  <c r="AD8" i="27" s="1"/>
  <c r="I28" i="6"/>
  <c r="I93" s="1"/>
  <c r="I141" s="1"/>
  <c r="O8" i="27" s="1"/>
  <c r="K28" i="6"/>
  <c r="K93" s="1"/>
  <c r="K141" s="1"/>
  <c r="Q8" i="27" s="1"/>
  <c r="H28" i="6"/>
  <c r="H93" s="1"/>
  <c r="H141" s="1"/>
  <c r="N8" i="27" s="1"/>
  <c r="Z28" i="6"/>
  <c r="Y141" s="1"/>
  <c r="AE8" i="27" s="1"/>
  <c r="G28" i="6"/>
  <c r="G93" s="1"/>
  <c r="G141" s="1"/>
  <c r="M8" i="27" s="1"/>
  <c r="N28" i="6"/>
  <c r="N93" s="1"/>
  <c r="N141" s="1"/>
  <c r="T8" i="27" s="1"/>
  <c r="P28" i="6"/>
  <c r="P93" s="1"/>
  <c r="P141" s="1"/>
  <c r="V8" i="27" s="1"/>
  <c r="M28" i="6"/>
  <c r="M93" s="1"/>
  <c r="M141" s="1"/>
  <c r="S8" i="27" s="1"/>
  <c r="L28" i="6"/>
  <c r="L93" s="1"/>
  <c r="L141" s="1"/>
  <c r="R8" i="27" s="1"/>
  <c r="F28" i="6"/>
  <c r="F93" s="1"/>
  <c r="F141" s="1"/>
  <c r="L8" i="27" s="1"/>
  <c r="O28" i="6"/>
  <c r="O93" s="1"/>
  <c r="O141" s="1"/>
  <c r="U8" i="27" s="1"/>
  <c r="W28" i="6"/>
  <c r="W93" s="1"/>
  <c r="W141" s="1"/>
  <c r="AC8" i="27" s="1"/>
  <c r="E28" i="6"/>
  <c r="E93" s="1"/>
  <c r="V28"/>
  <c r="V93" s="1"/>
  <c r="V141" s="1"/>
  <c r="AB8" i="27" s="1"/>
  <c r="R28" i="6"/>
  <c r="R93" s="1"/>
  <c r="R141" s="1"/>
  <c r="X8" i="27" s="1"/>
  <c r="J28" i="6"/>
  <c r="J93" s="1"/>
  <c r="J141" s="1"/>
  <c r="P8" i="27" s="1"/>
  <c r="Q28" i="6"/>
  <c r="Q93" s="1"/>
  <c r="Q141" s="1"/>
  <c r="W8" i="27" s="1"/>
  <c r="U28" i="6"/>
  <c r="U93" s="1"/>
  <c r="U141" s="1"/>
  <c r="AA8" i="27" s="1"/>
  <c r="M33" i="6"/>
  <c r="M98" s="1"/>
  <c r="M146" s="1"/>
  <c r="S13" i="27" s="1"/>
  <c r="Q33" i="6"/>
  <c r="Q98" s="1"/>
  <c r="Q146" s="1"/>
  <c r="W13" i="27" s="1"/>
  <c r="T33" i="6"/>
  <c r="T98" s="1"/>
  <c r="T146" s="1"/>
  <c r="Z13" i="27" s="1"/>
  <c r="L33" i="6"/>
  <c r="L98" s="1"/>
  <c r="L146" s="1"/>
  <c r="R13" i="27" s="1"/>
  <c r="X33" i="6"/>
  <c r="X98" s="1"/>
  <c r="X146" s="1"/>
  <c r="AD13" i="27" s="1"/>
  <c r="E33" i="6"/>
  <c r="E98" s="1"/>
  <c r="O33"/>
  <c r="O98" s="1"/>
  <c r="O146" s="1"/>
  <c r="U13" i="27" s="1"/>
  <c r="U33" i="6"/>
  <c r="U98" s="1"/>
  <c r="U146" s="1"/>
  <c r="AA13" i="27" s="1"/>
  <c r="R33" i="6"/>
  <c r="R98" s="1"/>
  <c r="R146" s="1"/>
  <c r="X13" i="27" s="1"/>
  <c r="F33" i="6"/>
  <c r="F98" s="1"/>
  <c r="F146" s="1"/>
  <c r="L13" i="27" s="1"/>
  <c r="H33" i="6"/>
  <c r="H98" s="1"/>
  <c r="H146" s="1"/>
  <c r="N13" i="27" s="1"/>
  <c r="I33" i="6"/>
  <c r="I98" s="1"/>
  <c r="I146" s="1"/>
  <c r="O13" i="27" s="1"/>
  <c r="K33" i="6"/>
  <c r="K98" s="1"/>
  <c r="K146" s="1"/>
  <c r="Q13" i="27" s="1"/>
  <c r="G33" i="6"/>
  <c r="G98" s="1"/>
  <c r="G146" s="1"/>
  <c r="M13" i="27" s="1"/>
  <c r="Z33" i="6"/>
  <c r="Y146" s="1"/>
  <c r="AE13" i="27" s="1"/>
  <c r="P33" i="6"/>
  <c r="P98" s="1"/>
  <c r="P146" s="1"/>
  <c r="V13" i="27" s="1"/>
  <c r="W33" i="6"/>
  <c r="W98" s="1"/>
  <c r="W146" s="1"/>
  <c r="AC13" i="27" s="1"/>
  <c r="J33" i="6"/>
  <c r="J98" s="1"/>
  <c r="J146" s="1"/>
  <c r="P13" i="27" s="1"/>
  <c r="V33" i="6"/>
  <c r="V98" s="1"/>
  <c r="V146" s="1"/>
  <c r="AB13" i="27" s="1"/>
  <c r="N33" i="6"/>
  <c r="N98" s="1"/>
  <c r="N146" s="1"/>
  <c r="T13" i="27" s="1"/>
  <c r="S33" i="6"/>
  <c r="S98" s="1"/>
  <c r="S146" s="1"/>
  <c r="Y13" i="27" s="1"/>
  <c r="T52" i="6"/>
  <c r="T117" s="1"/>
  <c r="T165" s="1"/>
  <c r="Z32" i="27" s="1"/>
  <c r="N52" i="6"/>
  <c r="N117" s="1"/>
  <c r="N165" s="1"/>
  <c r="T32" i="27" s="1"/>
  <c r="L52" i="6"/>
  <c r="L117" s="1"/>
  <c r="L165" s="1"/>
  <c r="R32" i="27" s="1"/>
  <c r="Q52" i="6"/>
  <c r="Q117" s="1"/>
  <c r="Q165" s="1"/>
  <c r="W32" i="27" s="1"/>
  <c r="X52" i="6"/>
  <c r="X117" s="1"/>
  <c r="X165" s="1"/>
  <c r="AD32" i="27" s="1"/>
  <c r="S52" i="6"/>
  <c r="S117" s="1"/>
  <c r="S165" s="1"/>
  <c r="Y32" i="27" s="1"/>
  <c r="Z52" i="6"/>
  <c r="Y165" s="1"/>
  <c r="AE32" i="27" s="1"/>
  <c r="E52" i="6"/>
  <c r="E117" s="1"/>
  <c r="V52"/>
  <c r="V117" s="1"/>
  <c r="V165" s="1"/>
  <c r="AB32" i="27" s="1"/>
  <c r="K52" i="6"/>
  <c r="K117" s="1"/>
  <c r="K165" s="1"/>
  <c r="Q32" i="27" s="1"/>
  <c r="H52" i="6"/>
  <c r="H117" s="1"/>
  <c r="H165" s="1"/>
  <c r="N32" i="27" s="1"/>
  <c r="J52" i="6"/>
  <c r="J117" s="1"/>
  <c r="J165" s="1"/>
  <c r="P32" i="27" s="1"/>
  <c r="O52" i="6"/>
  <c r="O117" s="1"/>
  <c r="O165" s="1"/>
  <c r="U32" i="27" s="1"/>
  <c r="I52" i="6"/>
  <c r="I117" s="1"/>
  <c r="I165" s="1"/>
  <c r="O32" i="27" s="1"/>
  <c r="P52" i="6"/>
  <c r="P117" s="1"/>
  <c r="P165" s="1"/>
  <c r="V32" i="27" s="1"/>
  <c r="F52" i="6"/>
  <c r="F117" s="1"/>
  <c r="F165" s="1"/>
  <c r="L32" i="27" s="1"/>
  <c r="W52" i="6"/>
  <c r="W117" s="1"/>
  <c r="W165" s="1"/>
  <c r="AC32" i="27" s="1"/>
  <c r="R52" i="6"/>
  <c r="R117" s="1"/>
  <c r="R165" s="1"/>
  <c r="X32" i="27" s="1"/>
  <c r="G52" i="6"/>
  <c r="G117" s="1"/>
  <c r="G165" s="1"/>
  <c r="M32" i="27" s="1"/>
  <c r="M52" i="6"/>
  <c r="M117" s="1"/>
  <c r="M165" s="1"/>
  <c r="S32" i="27" s="1"/>
  <c r="U52" i="6"/>
  <c r="U117" s="1"/>
  <c r="U165" s="1"/>
  <c r="AA32" i="27" s="1"/>
  <c r="U56" i="6"/>
  <c r="U121" s="1"/>
  <c r="U169" s="1"/>
  <c r="AA36" i="27" s="1"/>
  <c r="Z56" i="6"/>
  <c r="Y169" s="1"/>
  <c r="AE36" i="27" s="1"/>
  <c r="O56" i="6"/>
  <c r="O121" s="1"/>
  <c r="O169" s="1"/>
  <c r="U36" i="27" s="1"/>
  <c r="N56" i="6"/>
  <c r="N121" s="1"/>
  <c r="N169" s="1"/>
  <c r="T36" i="27" s="1"/>
  <c r="J56" i="6"/>
  <c r="J121" s="1"/>
  <c r="J169" s="1"/>
  <c r="P36" i="27" s="1"/>
  <c r="F56" i="6"/>
  <c r="F121" s="1"/>
  <c r="F169" s="1"/>
  <c r="L36" i="27" s="1"/>
  <c r="H56" i="6"/>
  <c r="H121" s="1"/>
  <c r="H169" s="1"/>
  <c r="N36" i="27" s="1"/>
  <c r="I56" i="6"/>
  <c r="I121" s="1"/>
  <c r="I169" s="1"/>
  <c r="O36" i="27" s="1"/>
  <c r="Q56" i="6"/>
  <c r="Q121" s="1"/>
  <c r="Q169" s="1"/>
  <c r="W36" i="27" s="1"/>
  <c r="T56" i="6"/>
  <c r="T121" s="1"/>
  <c r="T169" s="1"/>
  <c r="Z36" i="27" s="1"/>
  <c r="P56" i="6"/>
  <c r="P121" s="1"/>
  <c r="P169" s="1"/>
  <c r="V36" i="27" s="1"/>
  <c r="G56" i="6"/>
  <c r="G121" s="1"/>
  <c r="G169" s="1"/>
  <c r="M36" i="27" s="1"/>
  <c r="E56" i="6"/>
  <c r="E121" s="1"/>
  <c r="W56"/>
  <c r="W121" s="1"/>
  <c r="W169" s="1"/>
  <c r="AC36" i="27" s="1"/>
  <c r="V56" i="6"/>
  <c r="V121" s="1"/>
  <c r="V169" s="1"/>
  <c r="AB36" i="27" s="1"/>
  <c r="M56" i="6"/>
  <c r="M121" s="1"/>
  <c r="M169" s="1"/>
  <c r="S36" i="27" s="1"/>
  <c r="X56" i="6"/>
  <c r="X121" s="1"/>
  <c r="X169" s="1"/>
  <c r="AD36" i="27" s="1"/>
  <c r="S56" i="6"/>
  <c r="S121" s="1"/>
  <c r="S169" s="1"/>
  <c r="Y36" i="27" s="1"/>
  <c r="K56" i="6"/>
  <c r="K121" s="1"/>
  <c r="K169" s="1"/>
  <c r="Q36" i="27" s="1"/>
  <c r="R56" i="6"/>
  <c r="R121" s="1"/>
  <c r="R169" s="1"/>
  <c r="X36" i="27" s="1"/>
  <c r="L56" i="6"/>
  <c r="L121" s="1"/>
  <c r="L169" s="1"/>
  <c r="R36" i="27" s="1"/>
  <c r="L48" i="6"/>
  <c r="L113" s="1"/>
  <c r="L161" s="1"/>
  <c r="R28" i="27" s="1"/>
  <c r="G48" i="6"/>
  <c r="G113" s="1"/>
  <c r="G161" s="1"/>
  <c r="M28" i="27" s="1"/>
  <c r="Q48" i="6"/>
  <c r="Q113" s="1"/>
  <c r="Q161" s="1"/>
  <c r="W28" i="27" s="1"/>
  <c r="V48" i="6"/>
  <c r="V113" s="1"/>
  <c r="V161" s="1"/>
  <c r="AB28" i="27" s="1"/>
  <c r="F48" i="6"/>
  <c r="F113" s="1"/>
  <c r="F161" s="1"/>
  <c r="L28" i="27" s="1"/>
  <c r="H48" i="6"/>
  <c r="H113" s="1"/>
  <c r="H161" s="1"/>
  <c r="N28" i="27" s="1"/>
  <c r="S48" i="6"/>
  <c r="S113" s="1"/>
  <c r="S161" s="1"/>
  <c r="Y28" i="27" s="1"/>
  <c r="U48" i="6"/>
  <c r="U113" s="1"/>
  <c r="U161" s="1"/>
  <c r="AA28" i="27" s="1"/>
  <c r="N48" i="6"/>
  <c r="N113" s="1"/>
  <c r="N161" s="1"/>
  <c r="T28" i="27" s="1"/>
  <c r="W48" i="6"/>
  <c r="W113" s="1"/>
  <c r="W161" s="1"/>
  <c r="AC28" i="27" s="1"/>
  <c r="Z48" i="6"/>
  <c r="Y161" s="1"/>
  <c r="AE28" i="27" s="1"/>
  <c r="I48" i="6"/>
  <c r="I113" s="1"/>
  <c r="I161" s="1"/>
  <c r="O28" i="27" s="1"/>
  <c r="R48" i="6"/>
  <c r="R113" s="1"/>
  <c r="R161" s="1"/>
  <c r="X28" i="27" s="1"/>
  <c r="J48" i="6"/>
  <c r="J113" s="1"/>
  <c r="J161" s="1"/>
  <c r="P28" i="27" s="1"/>
  <c r="P48" i="6"/>
  <c r="P113" s="1"/>
  <c r="P161" s="1"/>
  <c r="V28" i="27" s="1"/>
  <c r="O48" i="6"/>
  <c r="O113" s="1"/>
  <c r="O161" s="1"/>
  <c r="U28" i="27" s="1"/>
  <c r="M48" i="6"/>
  <c r="M113" s="1"/>
  <c r="M161" s="1"/>
  <c r="S28" i="27" s="1"/>
  <c r="E48" i="6"/>
  <c r="E113" s="1"/>
  <c r="X48"/>
  <c r="X113" s="1"/>
  <c r="X161" s="1"/>
  <c r="AD28" i="27" s="1"/>
  <c r="T48" i="6"/>
  <c r="T113" s="1"/>
  <c r="T161" s="1"/>
  <c r="Z28" i="27" s="1"/>
  <c r="K48" i="6"/>
  <c r="K113" s="1"/>
  <c r="K161" s="1"/>
  <c r="Q28" i="27" s="1"/>
  <c r="W45" i="6"/>
  <c r="W110" s="1"/>
  <c r="W158" s="1"/>
  <c r="AC25" i="27" s="1"/>
  <c r="R45" i="6"/>
  <c r="R110" s="1"/>
  <c r="R158" s="1"/>
  <c r="X25" i="27" s="1"/>
  <c r="I45" i="6"/>
  <c r="I110" s="1"/>
  <c r="I158" s="1"/>
  <c r="O25" i="27" s="1"/>
  <c r="M45" i="6"/>
  <c r="M110" s="1"/>
  <c r="M158" s="1"/>
  <c r="S25" i="27" s="1"/>
  <c r="V45" i="6"/>
  <c r="V110" s="1"/>
  <c r="V158" s="1"/>
  <c r="AB25" i="27" s="1"/>
  <c r="P45" i="6"/>
  <c r="P110" s="1"/>
  <c r="P158" s="1"/>
  <c r="V25" i="27" s="1"/>
  <c r="Z45" i="6"/>
  <c r="Y158" s="1"/>
  <c r="AE25" i="27" s="1"/>
  <c r="E45" i="6"/>
  <c r="E110" s="1"/>
  <c r="N45"/>
  <c r="N110" s="1"/>
  <c r="N158" s="1"/>
  <c r="T25" i="27" s="1"/>
  <c r="J45" i="6"/>
  <c r="J110" s="1"/>
  <c r="J158" s="1"/>
  <c r="P25" i="27" s="1"/>
  <c r="S45" i="6"/>
  <c r="S110" s="1"/>
  <c r="S158" s="1"/>
  <c r="Y25" i="27" s="1"/>
  <c r="Q45" i="6"/>
  <c r="Q110" s="1"/>
  <c r="Q158" s="1"/>
  <c r="W25" i="27" s="1"/>
  <c r="O45" i="6"/>
  <c r="O110" s="1"/>
  <c r="O158" s="1"/>
  <c r="U25" i="27" s="1"/>
  <c r="X45" i="6"/>
  <c r="X110" s="1"/>
  <c r="X158" s="1"/>
  <c r="AD25" i="27" s="1"/>
  <c r="G45" i="6"/>
  <c r="G110" s="1"/>
  <c r="G158" s="1"/>
  <c r="M25" i="27" s="1"/>
  <c r="F45" i="6"/>
  <c r="F110" s="1"/>
  <c r="F158" s="1"/>
  <c r="L25" i="27" s="1"/>
  <c r="H45" i="6"/>
  <c r="H110" s="1"/>
  <c r="H158" s="1"/>
  <c r="N25" i="27" s="1"/>
  <c r="L45" i="6"/>
  <c r="L110" s="1"/>
  <c r="L158" s="1"/>
  <c r="R25" i="27" s="1"/>
  <c r="T45" i="6"/>
  <c r="T110" s="1"/>
  <c r="T158" s="1"/>
  <c r="Z25" i="27" s="1"/>
  <c r="U45" i="6"/>
  <c r="U110" s="1"/>
  <c r="U158" s="1"/>
  <c r="AA25" i="27" s="1"/>
  <c r="K45" i="6"/>
  <c r="K110" s="1"/>
  <c r="K158" s="1"/>
  <c r="Q25" i="27" s="1"/>
  <c r="X26" i="6"/>
  <c r="O26"/>
  <c r="S26"/>
  <c r="N26"/>
  <c r="V26"/>
  <c r="J26"/>
  <c r="I26"/>
  <c r="E26"/>
  <c r="M26"/>
  <c r="F26"/>
  <c r="G26"/>
  <c r="H26"/>
  <c r="U26"/>
  <c r="T26"/>
  <c r="K26"/>
  <c r="Z26"/>
  <c r="Y139" s="1"/>
  <c r="L26"/>
  <c r="Q26"/>
  <c r="W26"/>
  <c r="P26"/>
  <c r="R26"/>
  <c r="U55"/>
  <c r="U120" s="1"/>
  <c r="U168" s="1"/>
  <c r="AA35" i="27" s="1"/>
  <c r="I55" i="6"/>
  <c r="I120" s="1"/>
  <c r="I168" s="1"/>
  <c r="O35" i="27" s="1"/>
  <c r="P55" i="6"/>
  <c r="P120" s="1"/>
  <c r="P168" s="1"/>
  <c r="V35" i="27" s="1"/>
  <c r="Z55" i="6"/>
  <c r="Y168" s="1"/>
  <c r="AE35" i="27" s="1"/>
  <c r="H55" i="6"/>
  <c r="H120" s="1"/>
  <c r="H168" s="1"/>
  <c r="N35" i="27" s="1"/>
  <c r="L55" i="6"/>
  <c r="L120" s="1"/>
  <c r="L168" s="1"/>
  <c r="R35" i="27" s="1"/>
  <c r="V55" i="6"/>
  <c r="V120" s="1"/>
  <c r="V168" s="1"/>
  <c r="AB35" i="27" s="1"/>
  <c r="J55" i="6"/>
  <c r="J120" s="1"/>
  <c r="J168" s="1"/>
  <c r="P35" i="27" s="1"/>
  <c r="K55" i="6"/>
  <c r="K120" s="1"/>
  <c r="K168" s="1"/>
  <c r="Q35" i="27" s="1"/>
  <c r="E55" i="6"/>
  <c r="E120" s="1"/>
  <c r="W55"/>
  <c r="W120" s="1"/>
  <c r="W168" s="1"/>
  <c r="AC35" i="27" s="1"/>
  <c r="X55" i="6"/>
  <c r="X120" s="1"/>
  <c r="X168" s="1"/>
  <c r="AD35" i="27" s="1"/>
  <c r="S55" i="6"/>
  <c r="S120" s="1"/>
  <c r="S168" s="1"/>
  <c r="Y35" i="27" s="1"/>
  <c r="O55" i="6"/>
  <c r="O120" s="1"/>
  <c r="O168" s="1"/>
  <c r="U35" i="27" s="1"/>
  <c r="G55" i="6"/>
  <c r="G120" s="1"/>
  <c r="G168" s="1"/>
  <c r="M35" i="27" s="1"/>
  <c r="Q55" i="6"/>
  <c r="Q120" s="1"/>
  <c r="Q168" s="1"/>
  <c r="W35" i="27" s="1"/>
  <c r="F55" i="6"/>
  <c r="F120" s="1"/>
  <c r="F168" s="1"/>
  <c r="L35" i="27" s="1"/>
  <c r="R55" i="6"/>
  <c r="R120" s="1"/>
  <c r="R168" s="1"/>
  <c r="X35" i="27" s="1"/>
  <c r="N55" i="6"/>
  <c r="N120" s="1"/>
  <c r="N168" s="1"/>
  <c r="T35" i="27" s="1"/>
  <c r="M55" i="6"/>
  <c r="M120" s="1"/>
  <c r="M168" s="1"/>
  <c r="S35" i="27" s="1"/>
  <c r="T55" i="6"/>
  <c r="T120" s="1"/>
  <c r="T168" s="1"/>
  <c r="Z35" i="27" s="1"/>
  <c r="L35" i="6"/>
  <c r="L100" s="1"/>
  <c r="L148" s="1"/>
  <c r="R15" i="27" s="1"/>
  <c r="R35" i="6"/>
  <c r="R100" s="1"/>
  <c r="R148" s="1"/>
  <c r="X15" i="27" s="1"/>
  <c r="K35" i="6"/>
  <c r="K100" s="1"/>
  <c r="K148" s="1"/>
  <c r="Q15" i="27" s="1"/>
  <c r="Z35" i="6"/>
  <c r="Y148" s="1"/>
  <c r="AE15" i="27" s="1"/>
  <c r="M35" i="6"/>
  <c r="M100" s="1"/>
  <c r="M148" s="1"/>
  <c r="S15" i="27" s="1"/>
  <c r="F35" i="6"/>
  <c r="F100" s="1"/>
  <c r="F148" s="1"/>
  <c r="L15" i="27" s="1"/>
  <c r="P35" i="6"/>
  <c r="P100" s="1"/>
  <c r="P148" s="1"/>
  <c r="V15" i="27" s="1"/>
  <c r="W35" i="6"/>
  <c r="W100" s="1"/>
  <c r="W148" s="1"/>
  <c r="AC15" i="27" s="1"/>
  <c r="N35" i="6"/>
  <c r="N100" s="1"/>
  <c r="N148" s="1"/>
  <c r="T15" i="27" s="1"/>
  <c r="T35" i="6"/>
  <c r="T100" s="1"/>
  <c r="T148" s="1"/>
  <c r="Z15" i="27" s="1"/>
  <c r="I35" i="6"/>
  <c r="I100" s="1"/>
  <c r="I148" s="1"/>
  <c r="O15" i="27" s="1"/>
  <c r="J35" i="6"/>
  <c r="J100" s="1"/>
  <c r="J148" s="1"/>
  <c r="P15" i="27" s="1"/>
  <c r="S35" i="6"/>
  <c r="S100" s="1"/>
  <c r="S148" s="1"/>
  <c r="Y15" i="27" s="1"/>
  <c r="E35" i="6"/>
  <c r="E100" s="1"/>
  <c r="H35"/>
  <c r="H100" s="1"/>
  <c r="H148" s="1"/>
  <c r="N15" i="27" s="1"/>
  <c r="G35" i="6"/>
  <c r="G100" s="1"/>
  <c r="G148" s="1"/>
  <c r="M15" i="27" s="1"/>
  <c r="Q35" i="6"/>
  <c r="Q100" s="1"/>
  <c r="Q148" s="1"/>
  <c r="W15" i="27" s="1"/>
  <c r="U35" i="6"/>
  <c r="U100" s="1"/>
  <c r="U148" s="1"/>
  <c r="AA15" i="27" s="1"/>
  <c r="X35" i="6"/>
  <c r="X100" s="1"/>
  <c r="X148" s="1"/>
  <c r="AD15" i="27" s="1"/>
  <c r="V35" i="6"/>
  <c r="V100" s="1"/>
  <c r="V148" s="1"/>
  <c r="AB15" i="27" s="1"/>
  <c r="O35" i="6"/>
  <c r="O100" s="1"/>
  <c r="O148" s="1"/>
  <c r="U15" i="27" s="1"/>
  <c r="E44" i="6"/>
  <c r="E109" s="1"/>
  <c r="X44"/>
  <c r="X109" s="1"/>
  <c r="X157" s="1"/>
  <c r="AD24" i="27" s="1"/>
  <c r="W44" i="6"/>
  <c r="W109" s="1"/>
  <c r="W157" s="1"/>
  <c r="AC24" i="27" s="1"/>
  <c r="O44" i="6"/>
  <c r="O109" s="1"/>
  <c r="O157" s="1"/>
  <c r="U24" i="27" s="1"/>
  <c r="Q44" i="6"/>
  <c r="Q109" s="1"/>
  <c r="Q157" s="1"/>
  <c r="W24" i="27" s="1"/>
  <c r="K44" i="6"/>
  <c r="K109" s="1"/>
  <c r="K157" s="1"/>
  <c r="Q24" i="27" s="1"/>
  <c r="I44" i="6"/>
  <c r="I109" s="1"/>
  <c r="I157" s="1"/>
  <c r="O24" i="27" s="1"/>
  <c r="R44" i="6"/>
  <c r="R109" s="1"/>
  <c r="R157" s="1"/>
  <c r="X24" i="27" s="1"/>
  <c r="T44" i="6"/>
  <c r="T109" s="1"/>
  <c r="T157" s="1"/>
  <c r="Z24" i="27" s="1"/>
  <c r="N44" i="6"/>
  <c r="N109" s="1"/>
  <c r="N157" s="1"/>
  <c r="T24" i="27" s="1"/>
  <c r="L44" i="6"/>
  <c r="L109" s="1"/>
  <c r="L157" s="1"/>
  <c r="R24" i="27" s="1"/>
  <c r="U44" i="6"/>
  <c r="U109" s="1"/>
  <c r="U157" s="1"/>
  <c r="AA24" i="27" s="1"/>
  <c r="S44" i="6"/>
  <c r="S109" s="1"/>
  <c r="S157" s="1"/>
  <c r="Y24" i="27" s="1"/>
  <c r="Z44" i="6"/>
  <c r="Y157" s="1"/>
  <c r="AE24" i="27" s="1"/>
  <c r="G44" i="6"/>
  <c r="G109" s="1"/>
  <c r="G157" s="1"/>
  <c r="M24" i="27" s="1"/>
  <c r="V44" i="6"/>
  <c r="V109" s="1"/>
  <c r="V157" s="1"/>
  <c r="AB24" i="27" s="1"/>
  <c r="P44" i="6"/>
  <c r="P109" s="1"/>
  <c r="P157" s="1"/>
  <c r="V24" i="27" s="1"/>
  <c r="F44" i="6"/>
  <c r="F109" s="1"/>
  <c r="F157" s="1"/>
  <c r="L24" i="27" s="1"/>
  <c r="H44" i="6"/>
  <c r="H109" s="1"/>
  <c r="H157" s="1"/>
  <c r="N24" i="27" s="1"/>
  <c r="M44" i="6"/>
  <c r="M109" s="1"/>
  <c r="M157" s="1"/>
  <c r="S24" i="27" s="1"/>
  <c r="J44" i="6"/>
  <c r="J109" s="1"/>
  <c r="J157" s="1"/>
  <c r="P24" i="27" s="1"/>
  <c r="N58" i="6"/>
  <c r="N123" s="1"/>
  <c r="N171" s="1"/>
  <c r="T38" i="27" s="1"/>
  <c r="W58" i="6"/>
  <c r="W123" s="1"/>
  <c r="W171" s="1"/>
  <c r="AC38" i="27" s="1"/>
  <c r="U58" i="6"/>
  <c r="U123" s="1"/>
  <c r="U171" s="1"/>
  <c r="AA38" i="27" s="1"/>
  <c r="X58" i="6"/>
  <c r="X123" s="1"/>
  <c r="X171" s="1"/>
  <c r="AD38" i="27" s="1"/>
  <c r="Z58" i="6"/>
  <c r="Y171" s="1"/>
  <c r="AE38" i="27" s="1"/>
  <c r="Q58" i="6"/>
  <c r="Q123" s="1"/>
  <c r="Q171" s="1"/>
  <c r="W38" i="27" s="1"/>
  <c r="O58" i="6"/>
  <c r="O123" s="1"/>
  <c r="O171" s="1"/>
  <c r="U38" i="27" s="1"/>
  <c r="I58" i="6"/>
  <c r="I123" s="1"/>
  <c r="I171" s="1"/>
  <c r="O38" i="27" s="1"/>
  <c r="R58" i="6"/>
  <c r="R123" s="1"/>
  <c r="R171" s="1"/>
  <c r="X38" i="27" s="1"/>
  <c r="P58" i="6"/>
  <c r="P123" s="1"/>
  <c r="P171" s="1"/>
  <c r="V38" i="27" s="1"/>
  <c r="H58" i="6"/>
  <c r="H123" s="1"/>
  <c r="H171" s="1"/>
  <c r="N38" i="27" s="1"/>
  <c r="T58" i="6"/>
  <c r="T123" s="1"/>
  <c r="T171" s="1"/>
  <c r="Z38" i="27" s="1"/>
  <c r="E58" i="6"/>
  <c r="E123" s="1"/>
  <c r="S58"/>
  <c r="S123" s="1"/>
  <c r="S171" s="1"/>
  <c r="Y38" i="27" s="1"/>
  <c r="V58" i="6"/>
  <c r="V123" s="1"/>
  <c r="V171" s="1"/>
  <c r="AB38" i="27" s="1"/>
  <c r="G58" i="6"/>
  <c r="G123" s="1"/>
  <c r="G171" s="1"/>
  <c r="M38" i="27" s="1"/>
  <c r="F58" i="6"/>
  <c r="F123" s="1"/>
  <c r="F171" s="1"/>
  <c r="L38" i="27" s="1"/>
  <c r="M58" i="6"/>
  <c r="M123" s="1"/>
  <c r="M171" s="1"/>
  <c r="S38" i="27" s="1"/>
  <c r="L58" i="6"/>
  <c r="L123" s="1"/>
  <c r="L171" s="1"/>
  <c r="R38" i="27" s="1"/>
  <c r="K58" i="6"/>
  <c r="K123" s="1"/>
  <c r="K171" s="1"/>
  <c r="Q38" i="27" s="1"/>
  <c r="J58" i="6"/>
  <c r="J123" s="1"/>
  <c r="J171" s="1"/>
  <c r="P38" i="27" s="1"/>
  <c r="X54" i="6"/>
  <c r="X119" s="1"/>
  <c r="X167" s="1"/>
  <c r="AD34" i="27" s="1"/>
  <c r="Z54" i="6"/>
  <c r="Y167" s="1"/>
  <c r="AE34" i="27" s="1"/>
  <c r="L54" i="6"/>
  <c r="L119" s="1"/>
  <c r="L167" s="1"/>
  <c r="R34" i="27" s="1"/>
  <c r="P54" i="6"/>
  <c r="P119" s="1"/>
  <c r="P167" s="1"/>
  <c r="V34" i="27" s="1"/>
  <c r="Q54" i="6"/>
  <c r="Q119" s="1"/>
  <c r="Q167" s="1"/>
  <c r="W34" i="27" s="1"/>
  <c r="M54" i="6"/>
  <c r="M119" s="1"/>
  <c r="M167" s="1"/>
  <c r="S34" i="27" s="1"/>
  <c r="I54" i="6"/>
  <c r="I119" s="1"/>
  <c r="I167" s="1"/>
  <c r="O34" i="27" s="1"/>
  <c r="V54" i="6"/>
  <c r="V119" s="1"/>
  <c r="V167" s="1"/>
  <c r="AB34" i="27" s="1"/>
  <c r="U54" i="6"/>
  <c r="U119" s="1"/>
  <c r="U167" s="1"/>
  <c r="AA34" i="27" s="1"/>
  <c r="S54" i="6"/>
  <c r="S119" s="1"/>
  <c r="S167" s="1"/>
  <c r="Y34" i="27" s="1"/>
  <c r="T54" i="6"/>
  <c r="T119" s="1"/>
  <c r="T167" s="1"/>
  <c r="Z34" i="27" s="1"/>
  <c r="O54" i="6"/>
  <c r="O119" s="1"/>
  <c r="O167" s="1"/>
  <c r="U34" i="27" s="1"/>
  <c r="F54" i="6"/>
  <c r="F119" s="1"/>
  <c r="F167" s="1"/>
  <c r="L34" i="27" s="1"/>
  <c r="W54" i="6"/>
  <c r="W119" s="1"/>
  <c r="W167" s="1"/>
  <c r="AC34" i="27" s="1"/>
  <c r="H54" i="6"/>
  <c r="H119" s="1"/>
  <c r="H167" s="1"/>
  <c r="N34" i="27" s="1"/>
  <c r="N54" i="6"/>
  <c r="N119" s="1"/>
  <c r="N167" s="1"/>
  <c r="T34" i="27" s="1"/>
  <c r="G54" i="6"/>
  <c r="G119" s="1"/>
  <c r="G167" s="1"/>
  <c r="M34" i="27" s="1"/>
  <c r="J54" i="6"/>
  <c r="J119" s="1"/>
  <c r="J167" s="1"/>
  <c r="P34" i="27" s="1"/>
  <c r="R54" i="6"/>
  <c r="R119" s="1"/>
  <c r="R167" s="1"/>
  <c r="X34" i="27" s="1"/>
  <c r="K54" i="6"/>
  <c r="K119" s="1"/>
  <c r="K167" s="1"/>
  <c r="Q34" i="27" s="1"/>
  <c r="E54" i="6"/>
  <c r="E119" s="1"/>
  <c r="R39"/>
  <c r="R104" s="1"/>
  <c r="R152" s="1"/>
  <c r="X19" i="27" s="1"/>
  <c r="U39" i="6"/>
  <c r="U104" s="1"/>
  <c r="U152" s="1"/>
  <c r="AA19" i="27" s="1"/>
  <c r="Z39" i="6"/>
  <c r="Y152" s="1"/>
  <c r="AE19" i="27" s="1"/>
  <c r="O39" i="6"/>
  <c r="O104" s="1"/>
  <c r="O152" s="1"/>
  <c r="U19" i="27" s="1"/>
  <c r="P39" i="6"/>
  <c r="P104" s="1"/>
  <c r="P152" s="1"/>
  <c r="V19" i="27" s="1"/>
  <c r="N39" i="6"/>
  <c r="N104" s="1"/>
  <c r="N152" s="1"/>
  <c r="T19" i="27" s="1"/>
  <c r="E39" i="6"/>
  <c r="E104" s="1"/>
  <c r="V39"/>
  <c r="V104" s="1"/>
  <c r="V152" s="1"/>
  <c r="AB19" i="27" s="1"/>
  <c r="G39" i="6"/>
  <c r="G104" s="1"/>
  <c r="G152" s="1"/>
  <c r="M19" i="27" s="1"/>
  <c r="T39" i="6"/>
  <c r="T104" s="1"/>
  <c r="T152" s="1"/>
  <c r="Z19" i="27" s="1"/>
  <c r="W39" i="6"/>
  <c r="W104" s="1"/>
  <c r="W152" s="1"/>
  <c r="AC19" i="27" s="1"/>
  <c r="K39" i="6"/>
  <c r="K104" s="1"/>
  <c r="K152" s="1"/>
  <c r="Q19" i="27" s="1"/>
  <c r="S39" i="6"/>
  <c r="S104" s="1"/>
  <c r="S152" s="1"/>
  <c r="Y19" i="27" s="1"/>
  <c r="M39" i="6"/>
  <c r="M104" s="1"/>
  <c r="M152" s="1"/>
  <c r="S19" i="27" s="1"/>
  <c r="Q39" i="6"/>
  <c r="Q104" s="1"/>
  <c r="Q152" s="1"/>
  <c r="W19" i="27" s="1"/>
  <c r="F39" i="6"/>
  <c r="F104" s="1"/>
  <c r="F152" s="1"/>
  <c r="L19" i="27" s="1"/>
  <c r="H39" i="6"/>
  <c r="H104" s="1"/>
  <c r="H152" s="1"/>
  <c r="N19" i="27" s="1"/>
  <c r="J39" i="6"/>
  <c r="J104" s="1"/>
  <c r="J152" s="1"/>
  <c r="P19" i="27" s="1"/>
  <c r="X39" i="6"/>
  <c r="X104" s="1"/>
  <c r="X152" s="1"/>
  <c r="AD19" i="27" s="1"/>
  <c r="L39" i="6"/>
  <c r="L104" s="1"/>
  <c r="L152" s="1"/>
  <c r="R19" i="27" s="1"/>
  <c r="I39" i="6"/>
  <c r="I104" s="1"/>
  <c r="I152" s="1"/>
  <c r="O19" i="27" s="1"/>
  <c r="O29" i="6"/>
  <c r="O94" s="1"/>
  <c r="O142" s="1"/>
  <c r="U9" i="27" s="1"/>
  <c r="J29" i="6"/>
  <c r="J94" s="1"/>
  <c r="J142" s="1"/>
  <c r="P9" i="27" s="1"/>
  <c r="M29" i="6"/>
  <c r="M94" s="1"/>
  <c r="M142" s="1"/>
  <c r="S9" i="27" s="1"/>
  <c r="U29" i="6"/>
  <c r="U94" s="1"/>
  <c r="U142" s="1"/>
  <c r="AA9" i="27" s="1"/>
  <c r="Q29" i="6"/>
  <c r="Q94" s="1"/>
  <c r="Q142" s="1"/>
  <c r="W9" i="27" s="1"/>
  <c r="I29" i="6"/>
  <c r="I94" s="1"/>
  <c r="I142" s="1"/>
  <c r="O9" i="27" s="1"/>
  <c r="V29" i="6"/>
  <c r="V94" s="1"/>
  <c r="V142" s="1"/>
  <c r="AB9" i="27" s="1"/>
  <c r="F29" i="6"/>
  <c r="F94" s="1"/>
  <c r="F142" s="1"/>
  <c r="L9" i="27" s="1"/>
  <c r="E29" i="6"/>
  <c r="E94" s="1"/>
  <c r="T29"/>
  <c r="T94" s="1"/>
  <c r="T142" s="1"/>
  <c r="Z9" i="27" s="1"/>
  <c r="Z29" i="6"/>
  <c r="Y142" s="1"/>
  <c r="AE9" i="27" s="1"/>
  <c r="S29" i="6"/>
  <c r="S94" s="1"/>
  <c r="S142" s="1"/>
  <c r="Y9" i="27" s="1"/>
  <c r="X29" i="6"/>
  <c r="X94" s="1"/>
  <c r="X142" s="1"/>
  <c r="AD9" i="27" s="1"/>
  <c r="P29" i="6"/>
  <c r="P94" s="1"/>
  <c r="P142" s="1"/>
  <c r="V9" i="27" s="1"/>
  <c r="R29" i="6"/>
  <c r="R94" s="1"/>
  <c r="R142" s="1"/>
  <c r="X9" i="27" s="1"/>
  <c r="N29" i="6"/>
  <c r="N94" s="1"/>
  <c r="N142" s="1"/>
  <c r="T9" i="27" s="1"/>
  <c r="G29" i="6"/>
  <c r="G94" s="1"/>
  <c r="G142" s="1"/>
  <c r="M9" i="27" s="1"/>
  <c r="L29" i="6"/>
  <c r="L94" s="1"/>
  <c r="L142" s="1"/>
  <c r="R9" i="27" s="1"/>
  <c r="K29" i="6"/>
  <c r="K94" s="1"/>
  <c r="K142" s="1"/>
  <c r="Q9" i="27" s="1"/>
  <c r="H29" i="6"/>
  <c r="H94" s="1"/>
  <c r="H142" s="1"/>
  <c r="N9" i="27" s="1"/>
  <c r="W29" i="6"/>
  <c r="W94" s="1"/>
  <c r="W142" s="1"/>
  <c r="AC9" i="27" s="1"/>
  <c r="W30" i="6"/>
  <c r="W95" s="1"/>
  <c r="W143" s="1"/>
  <c r="AC10" i="27" s="1"/>
  <c r="U30" i="6"/>
  <c r="U95" s="1"/>
  <c r="U143" s="1"/>
  <c r="AA10" i="27" s="1"/>
  <c r="S30" i="6"/>
  <c r="S95" s="1"/>
  <c r="S143" s="1"/>
  <c r="Y10" i="27" s="1"/>
  <c r="O30" i="6"/>
  <c r="O95" s="1"/>
  <c r="O143" s="1"/>
  <c r="U10" i="27" s="1"/>
  <c r="J30" i="6"/>
  <c r="J95" s="1"/>
  <c r="J143" s="1"/>
  <c r="P10" i="27" s="1"/>
  <c r="X30" i="6"/>
  <c r="X95" s="1"/>
  <c r="X143" s="1"/>
  <c r="AD10" i="27" s="1"/>
  <c r="K30" i="6"/>
  <c r="K95" s="1"/>
  <c r="K143" s="1"/>
  <c r="Q10" i="27" s="1"/>
  <c r="P30" i="6"/>
  <c r="P95" s="1"/>
  <c r="P143" s="1"/>
  <c r="V10" i="27" s="1"/>
  <c r="E30" i="6"/>
  <c r="E95" s="1"/>
  <c r="V30"/>
  <c r="V95" s="1"/>
  <c r="V143" s="1"/>
  <c r="AB10" i="27" s="1"/>
  <c r="L30" i="6"/>
  <c r="L95" s="1"/>
  <c r="L143" s="1"/>
  <c r="R10" i="27" s="1"/>
  <c r="M30" i="6"/>
  <c r="M95" s="1"/>
  <c r="M143" s="1"/>
  <c r="S10" i="27" s="1"/>
  <c r="N30" i="6"/>
  <c r="N95" s="1"/>
  <c r="N143" s="1"/>
  <c r="T10" i="27" s="1"/>
  <c r="Z30" i="6"/>
  <c r="Y143" s="1"/>
  <c r="AE10" i="27" s="1"/>
  <c r="F30" i="6"/>
  <c r="F95" s="1"/>
  <c r="F143" s="1"/>
  <c r="L10" i="27" s="1"/>
  <c r="H30" i="6"/>
  <c r="H95" s="1"/>
  <c r="H143" s="1"/>
  <c r="N10" i="27" s="1"/>
  <c r="I30" i="6"/>
  <c r="I95" s="1"/>
  <c r="I143" s="1"/>
  <c r="O10" i="27" s="1"/>
  <c r="Q30" i="6"/>
  <c r="Q95" s="1"/>
  <c r="Q143" s="1"/>
  <c r="W10" i="27" s="1"/>
  <c r="T30" i="6"/>
  <c r="T95" s="1"/>
  <c r="T143" s="1"/>
  <c r="Z10" i="27" s="1"/>
  <c r="R30" i="6"/>
  <c r="R95" s="1"/>
  <c r="R143" s="1"/>
  <c r="X10" i="27" s="1"/>
  <c r="G30" i="6"/>
  <c r="G95" s="1"/>
  <c r="G143" s="1"/>
  <c r="M10" i="27" s="1"/>
  <c r="E168" i="6" l="1"/>
  <c r="AA120"/>
  <c r="W91"/>
  <c r="W83"/>
  <c r="K91"/>
  <c r="K83"/>
  <c r="G91"/>
  <c r="G83"/>
  <c r="I91"/>
  <c r="I83"/>
  <c r="S91"/>
  <c r="S83"/>
  <c r="E158"/>
  <c r="AA110"/>
  <c r="K26" i="27"/>
  <c r="AA159" i="6"/>
  <c r="O12" i="27"/>
  <c r="I187" i="6"/>
  <c r="I224" s="1"/>
  <c r="I188"/>
  <c r="AA12" i="27"/>
  <c r="U188" i="6"/>
  <c r="U225" s="1"/>
  <c r="U187"/>
  <c r="U224" s="1"/>
  <c r="AD12" i="27"/>
  <c r="X187" i="6"/>
  <c r="X224" s="1"/>
  <c r="X188"/>
  <c r="X225" s="1"/>
  <c r="Q12" i="27"/>
  <c r="K187" i="6"/>
  <c r="K224" s="1"/>
  <c r="K188"/>
  <c r="K225" s="1"/>
  <c r="AE12" i="27"/>
  <c r="Y187" i="6"/>
  <c r="Y224" s="1"/>
  <c r="Y188"/>
  <c r="E153"/>
  <c r="AA105"/>
  <c r="E166"/>
  <c r="AA118"/>
  <c r="AA94"/>
  <c r="E142"/>
  <c r="E157"/>
  <c r="AA109"/>
  <c r="AA100"/>
  <c r="E148"/>
  <c r="P91"/>
  <c r="P83"/>
  <c r="AE6" i="27"/>
  <c r="Y191" i="6"/>
  <c r="Y228" s="1"/>
  <c r="Y189"/>
  <c r="Y226" s="1"/>
  <c r="Y190"/>
  <c r="Y216"/>
  <c r="Y213"/>
  <c r="Y203"/>
  <c r="Y214"/>
  <c r="Y205"/>
  <c r="Y215"/>
  <c r="Y252" s="1"/>
  <c r="Y200"/>
  <c r="Y201"/>
  <c r="Y202"/>
  <c r="Y206"/>
  <c r="Y243" s="1"/>
  <c r="Y196"/>
  <c r="Y195"/>
  <c r="Y177"/>
  <c r="Y212"/>
  <c r="Y249" s="1"/>
  <c r="Y209"/>
  <c r="Y207"/>
  <c r="Y193"/>
  <c r="Y194"/>
  <c r="Y231" s="1"/>
  <c r="Y208"/>
  <c r="Y245" s="1"/>
  <c r="Y210"/>
  <c r="Y211"/>
  <c r="Y199"/>
  <c r="Y236" s="1"/>
  <c r="Y198"/>
  <c r="Y235" s="1"/>
  <c r="Y192"/>
  <c r="Y197"/>
  <c r="Y204"/>
  <c r="Y241" s="1"/>
  <c r="H91"/>
  <c r="H83"/>
  <c r="E91"/>
  <c r="E83"/>
  <c r="N91"/>
  <c r="N83"/>
  <c r="AA113"/>
  <c r="E161"/>
  <c r="E165"/>
  <c r="AA117"/>
  <c r="AA108"/>
  <c r="E156"/>
  <c r="Z12" i="27"/>
  <c r="T188" i="6"/>
  <c r="T225" s="1"/>
  <c r="T187"/>
  <c r="T224" s="1"/>
  <c r="AA97"/>
  <c r="E145"/>
  <c r="L12" i="27"/>
  <c r="F188" i="6"/>
  <c r="F187"/>
  <c r="F224" s="1"/>
  <c r="T12" i="27"/>
  <c r="N188" i="6"/>
  <c r="N187"/>
  <c r="N224" s="1"/>
  <c r="AB12" i="27"/>
  <c r="V187" i="6"/>
  <c r="V224" s="1"/>
  <c r="V188"/>
  <c r="E143"/>
  <c r="AA95"/>
  <c r="E152"/>
  <c r="AA104"/>
  <c r="AA123"/>
  <c r="E171"/>
  <c r="R91"/>
  <c r="R83"/>
  <c r="L91"/>
  <c r="L83"/>
  <c r="U91"/>
  <c r="U83"/>
  <c r="M91"/>
  <c r="M83"/>
  <c r="V91"/>
  <c r="V83"/>
  <c r="X91"/>
  <c r="X83"/>
  <c r="E146"/>
  <c r="AA98"/>
  <c r="E140"/>
  <c r="AA92"/>
  <c r="K41" i="27"/>
  <c r="AA174" i="6"/>
  <c r="AA107"/>
  <c r="E155"/>
  <c r="U12" i="27"/>
  <c r="O188" i="6"/>
  <c r="O225" s="1"/>
  <c r="O187"/>
  <c r="O224" s="1"/>
  <c r="P12" i="27"/>
  <c r="J188" i="6"/>
  <c r="J187"/>
  <c r="J224" s="1"/>
  <c r="AC12" i="27"/>
  <c r="W188" i="6"/>
  <c r="W225" s="1"/>
  <c r="W187"/>
  <c r="W224" s="1"/>
  <c r="S12" i="27"/>
  <c r="M188" i="6"/>
  <c r="M187"/>
  <c r="M224" s="1"/>
  <c r="V12" i="27"/>
  <c r="P187" i="6"/>
  <c r="P224" s="1"/>
  <c r="P188"/>
  <c r="AA122"/>
  <c r="E170"/>
  <c r="E167"/>
  <c r="AA119"/>
  <c r="Q91"/>
  <c r="Q83"/>
  <c r="T91"/>
  <c r="T83"/>
  <c r="F91"/>
  <c r="F83"/>
  <c r="J91"/>
  <c r="J83"/>
  <c r="O91"/>
  <c r="O83"/>
  <c r="E169"/>
  <c r="AA121"/>
  <c r="AA93"/>
  <c r="E141"/>
  <c r="K11" i="27"/>
  <c r="AA144" i="6"/>
  <c r="AA124"/>
  <c r="E172"/>
  <c r="AA106"/>
  <c r="E154"/>
  <c r="R12" i="27"/>
  <c r="L188" i="6"/>
  <c r="L187"/>
  <c r="L224" s="1"/>
  <c r="N12" i="27"/>
  <c r="H188" i="6"/>
  <c r="H225" s="1"/>
  <c r="H187"/>
  <c r="H224" s="1"/>
  <c r="W12" i="27"/>
  <c r="Q187" i="6"/>
  <c r="Q224" s="1"/>
  <c r="Q188"/>
  <c r="Q225" s="1"/>
  <c r="M12" i="27"/>
  <c r="G187" i="6"/>
  <c r="G224" s="1"/>
  <c r="G188"/>
  <c r="Y12" i="27"/>
  <c r="S188" i="6"/>
  <c r="S187"/>
  <c r="S224" s="1"/>
  <c r="X12" i="27"/>
  <c r="R187" i="6"/>
  <c r="R224" s="1"/>
  <c r="R188"/>
  <c r="V225" l="1"/>
  <c r="Y247"/>
  <c r="Y238"/>
  <c r="Y234"/>
  <c r="N225"/>
  <c r="Y225"/>
  <c r="I225"/>
  <c r="K15" i="27"/>
  <c r="AA148" i="6"/>
  <c r="K9" i="27"/>
  <c r="AA142" i="6"/>
  <c r="AA158"/>
  <c r="K25" i="27"/>
  <c r="I139" i="6"/>
  <c r="I128"/>
  <c r="K139"/>
  <c r="K128"/>
  <c r="AA168"/>
  <c r="K35" i="27"/>
  <c r="Y250" i="6"/>
  <c r="AA172"/>
  <c r="K39" i="27"/>
  <c r="K8"/>
  <c r="AA141" i="6"/>
  <c r="AA170"/>
  <c r="K37" i="27"/>
  <c r="K13"/>
  <c r="AA146" i="6"/>
  <c r="V139"/>
  <c r="V128"/>
  <c r="U139"/>
  <c r="U128"/>
  <c r="R139"/>
  <c r="R128"/>
  <c r="K19" i="27"/>
  <c r="AA152" i="6"/>
  <c r="K12" i="27"/>
  <c r="E188" i="6"/>
  <c r="E225" s="1"/>
  <c r="E187"/>
  <c r="E224" s="1"/>
  <c r="AA145"/>
  <c r="AA165"/>
  <c r="K32" i="27"/>
  <c r="N139" i="6"/>
  <c r="N128"/>
  <c r="H139"/>
  <c r="H128"/>
  <c r="P139"/>
  <c r="P128"/>
  <c r="AA157"/>
  <c r="K24" i="27"/>
  <c r="AA166" i="6"/>
  <c r="K33" i="27"/>
  <c r="R225" i="6"/>
  <c r="S225"/>
  <c r="L225"/>
  <c r="J225"/>
  <c r="Y246"/>
  <c r="Y233"/>
  <c r="Y237"/>
  <c r="Y240"/>
  <c r="O139"/>
  <c r="O128"/>
  <c r="F139"/>
  <c r="F128"/>
  <c r="Q139"/>
  <c r="Q128"/>
  <c r="AA156"/>
  <c r="K23" i="27"/>
  <c r="AA161" i="6"/>
  <c r="K28" i="27"/>
  <c r="AA169" i="6"/>
  <c r="K36" i="27"/>
  <c r="J139" i="6"/>
  <c r="J128"/>
  <c r="T139"/>
  <c r="T128"/>
  <c r="AA167"/>
  <c r="K34" i="27"/>
  <c r="S139" i="6"/>
  <c r="S128"/>
  <c r="G139"/>
  <c r="G128"/>
  <c r="W139"/>
  <c r="W128"/>
  <c r="Y229"/>
  <c r="Y244"/>
  <c r="Y232"/>
  <c r="Y251"/>
  <c r="Y227"/>
  <c r="K22" i="27"/>
  <c r="AA155" i="6"/>
  <c r="AA171"/>
  <c r="K38" i="27"/>
  <c r="K21"/>
  <c r="AA154" i="6"/>
  <c r="K7" i="27"/>
  <c r="AA140" i="6"/>
  <c r="X139"/>
  <c r="X128"/>
  <c r="M139"/>
  <c r="M128"/>
  <c r="L139"/>
  <c r="L128"/>
  <c r="K10" i="27"/>
  <c r="AA143" i="6"/>
  <c r="AA91"/>
  <c r="E139"/>
  <c r="E128"/>
  <c r="K20" i="27"/>
  <c r="AA153" i="6"/>
  <c r="G225"/>
  <c r="P225"/>
  <c r="M225"/>
  <c r="F225"/>
  <c r="Y248"/>
  <c r="Y230"/>
  <c r="Y239"/>
  <c r="Y242"/>
  <c r="Y255" s="1"/>
  <c r="Y253"/>
  <c r="R6" i="27" l="1"/>
  <c r="L189" i="6"/>
  <c r="L226" s="1"/>
  <c r="L191"/>
  <c r="L228" s="1"/>
  <c r="L190"/>
  <c r="L198"/>
  <c r="L215"/>
  <c r="L205"/>
  <c r="L203"/>
  <c r="L177"/>
  <c r="L204"/>
  <c r="L241" s="1"/>
  <c r="L193"/>
  <c r="L195"/>
  <c r="L192"/>
  <c r="L229" s="1"/>
  <c r="L210"/>
  <c r="L199"/>
  <c r="L196"/>
  <c r="L233" s="1"/>
  <c r="L208"/>
  <c r="L194"/>
  <c r="L231" s="1"/>
  <c r="L212"/>
  <c r="L201"/>
  <c r="L209"/>
  <c r="L246" s="1"/>
  <c r="L214"/>
  <c r="L200"/>
  <c r="L237" s="1"/>
  <c r="L206"/>
  <c r="L243" s="1"/>
  <c r="L216"/>
  <c r="L253" s="1"/>
  <c r="L202"/>
  <c r="L239" s="1"/>
  <c r="L207"/>
  <c r="L244" s="1"/>
  <c r="L197"/>
  <c r="L234" s="1"/>
  <c r="L211"/>
  <c r="L248" s="1"/>
  <c r="L213"/>
  <c r="L250" s="1"/>
  <c r="AD6" i="27"/>
  <c r="X189" i="6"/>
  <c r="X226" s="1"/>
  <c r="X191"/>
  <c r="X190"/>
  <c r="X227" s="1"/>
  <c r="X202"/>
  <c r="X193"/>
  <c r="X206"/>
  <c r="X243" s="1"/>
  <c r="X198"/>
  <c r="X196"/>
  <c r="X205"/>
  <c r="X204"/>
  <c r="X203"/>
  <c r="X240" s="1"/>
  <c r="X214"/>
  <c r="X201"/>
  <c r="X210"/>
  <c r="X212"/>
  <c r="X213"/>
  <c r="X177"/>
  <c r="X194"/>
  <c r="X231" s="1"/>
  <c r="X195"/>
  <c r="X211"/>
  <c r="X192"/>
  <c r="X209"/>
  <c r="X208"/>
  <c r="X197"/>
  <c r="X234" s="1"/>
  <c r="X199"/>
  <c r="X216"/>
  <c r="X215"/>
  <c r="X252" s="1"/>
  <c r="X207"/>
  <c r="X200"/>
  <c r="X237" s="1"/>
  <c r="AC6" i="27"/>
  <c r="W191" i="6"/>
  <c r="W228" s="1"/>
  <c r="W189"/>
  <c r="W226" s="1"/>
  <c r="W190"/>
  <c r="W202"/>
  <c r="W197"/>
  <c r="W201"/>
  <c r="W238" s="1"/>
  <c r="W194"/>
  <c r="W211"/>
  <c r="W199"/>
  <c r="W209"/>
  <c r="W200"/>
  <c r="W195"/>
  <c r="W232" s="1"/>
  <c r="W193"/>
  <c r="W208"/>
  <c r="W205"/>
  <c r="W177"/>
  <c r="W204"/>
  <c r="W213"/>
  <c r="W250" s="1"/>
  <c r="W210"/>
  <c r="W215"/>
  <c r="W252" s="1"/>
  <c r="W216"/>
  <c r="W196"/>
  <c r="W214"/>
  <c r="W203"/>
  <c r="W240" s="1"/>
  <c r="W206"/>
  <c r="W243" s="1"/>
  <c r="W207"/>
  <c r="W212"/>
  <c r="W192"/>
  <c r="W229" s="1"/>
  <c r="W198"/>
  <c r="W235" s="1"/>
  <c r="Y6" i="27"/>
  <c r="S190" i="6"/>
  <c r="S191"/>
  <c r="S228" s="1"/>
  <c r="S189"/>
  <c r="S226" s="1"/>
  <c r="S205"/>
  <c r="S213"/>
  <c r="S209"/>
  <c r="S201"/>
  <c r="S206"/>
  <c r="S243" s="1"/>
  <c r="S192"/>
  <c r="S202"/>
  <c r="S197"/>
  <c r="S204"/>
  <c r="S199"/>
  <c r="S210"/>
  <c r="S247" s="1"/>
  <c r="S200"/>
  <c r="S237" s="1"/>
  <c r="S193"/>
  <c r="S230" s="1"/>
  <c r="S215"/>
  <c r="S177"/>
  <c r="S207"/>
  <c r="S244" s="1"/>
  <c r="S212"/>
  <c r="S208"/>
  <c r="S203"/>
  <c r="S240" s="1"/>
  <c r="S211"/>
  <c r="S214"/>
  <c r="S251" s="1"/>
  <c r="S195"/>
  <c r="S198"/>
  <c r="S235" s="1"/>
  <c r="S194"/>
  <c r="S231" s="1"/>
  <c r="S216"/>
  <c r="S253" s="1"/>
  <c r="S196"/>
  <c r="S233" s="1"/>
  <c r="Z6" i="27"/>
  <c r="T190" i="6"/>
  <c r="T189"/>
  <c r="T226" s="1"/>
  <c r="T191"/>
  <c r="T208"/>
  <c r="T205"/>
  <c r="T195"/>
  <c r="T212"/>
  <c r="T206"/>
  <c r="T209"/>
  <c r="T213"/>
  <c r="T250" s="1"/>
  <c r="T210"/>
  <c r="T200"/>
  <c r="T204"/>
  <c r="T197"/>
  <c r="T193"/>
  <c r="T211"/>
  <c r="T248" s="1"/>
  <c r="T203"/>
  <c r="T199"/>
  <c r="T236" s="1"/>
  <c r="T194"/>
  <c r="T231" s="1"/>
  <c r="T202"/>
  <c r="T196"/>
  <c r="T233" s="1"/>
  <c r="T201"/>
  <c r="T198"/>
  <c r="T207"/>
  <c r="T244" s="1"/>
  <c r="T214"/>
  <c r="T251" s="1"/>
  <c r="T215"/>
  <c r="T177"/>
  <c r="T192"/>
  <c r="T229" s="1"/>
  <c r="T216"/>
  <c r="T253" s="1"/>
  <c r="L6" i="27"/>
  <c r="F191" i="6"/>
  <c r="F189"/>
  <c r="F226" s="1"/>
  <c r="F190"/>
  <c r="F192"/>
  <c r="F229" s="1"/>
  <c r="F201"/>
  <c r="F195"/>
  <c r="F232" s="1"/>
  <c r="F202"/>
  <c r="F239" s="1"/>
  <c r="F177"/>
  <c r="F194"/>
  <c r="F213"/>
  <c r="F211"/>
  <c r="F248" s="1"/>
  <c r="F196"/>
  <c r="F204"/>
  <c r="F216"/>
  <c r="F212"/>
  <c r="F249" s="1"/>
  <c r="F209"/>
  <c r="F207"/>
  <c r="F208"/>
  <c r="F245" s="1"/>
  <c r="F199"/>
  <c r="F236" s="1"/>
  <c r="F215"/>
  <c r="F193"/>
  <c r="F205"/>
  <c r="F242" s="1"/>
  <c r="F206"/>
  <c r="F197"/>
  <c r="F234" s="1"/>
  <c r="F210"/>
  <c r="F214"/>
  <c r="F251" s="1"/>
  <c r="F203"/>
  <c r="F240" s="1"/>
  <c r="F200"/>
  <c r="F198"/>
  <c r="N6" i="27"/>
  <c r="H191" i="6"/>
  <c r="H228" s="1"/>
  <c r="H189"/>
  <c r="H226" s="1"/>
  <c r="H190"/>
  <c r="H205"/>
  <c r="H198"/>
  <c r="H193"/>
  <c r="H202"/>
  <c r="H192"/>
  <c r="H204"/>
  <c r="H195"/>
  <c r="H201"/>
  <c r="H211"/>
  <c r="H203"/>
  <c r="H240" s="1"/>
  <c r="H206"/>
  <c r="H200"/>
  <c r="H199"/>
  <c r="H212"/>
  <c r="H210"/>
  <c r="H196"/>
  <c r="H214"/>
  <c r="H216"/>
  <c r="H253" s="1"/>
  <c r="H213"/>
  <c r="H208"/>
  <c r="H207"/>
  <c r="H244" s="1"/>
  <c r="H197"/>
  <c r="H234" s="1"/>
  <c r="H194"/>
  <c r="H231" s="1"/>
  <c r="H215"/>
  <c r="H177"/>
  <c r="H209"/>
  <c r="H246" s="1"/>
  <c r="X6" i="27"/>
  <c r="R189" i="6"/>
  <c r="R226" s="1"/>
  <c r="R190"/>
  <c r="R227" s="1"/>
  <c r="R191"/>
  <c r="R205"/>
  <c r="R203"/>
  <c r="R213"/>
  <c r="R208"/>
  <c r="R201"/>
  <c r="R216"/>
  <c r="R212"/>
  <c r="R211"/>
  <c r="R197"/>
  <c r="R193"/>
  <c r="R214"/>
  <c r="R251" s="1"/>
  <c r="R215"/>
  <c r="R196"/>
  <c r="R198"/>
  <c r="R194"/>
  <c r="R231" s="1"/>
  <c r="R195"/>
  <c r="R202"/>
  <c r="R239" s="1"/>
  <c r="R177"/>
  <c r="R209"/>
  <c r="R192"/>
  <c r="R229" s="1"/>
  <c r="R200"/>
  <c r="R237" s="1"/>
  <c r="R199"/>
  <c r="R236" s="1"/>
  <c r="R206"/>
  <c r="R243" s="1"/>
  <c r="R210"/>
  <c r="R207"/>
  <c r="R204"/>
  <c r="R241" s="1"/>
  <c r="AB6" i="27"/>
  <c r="V190" i="6"/>
  <c r="V227" s="1"/>
  <c r="V189"/>
  <c r="V226" s="1"/>
  <c r="V191"/>
  <c r="V209"/>
  <c r="V246" s="1"/>
  <c r="V198"/>
  <c r="V235" s="1"/>
  <c r="V212"/>
  <c r="V197"/>
  <c r="V199"/>
  <c r="V200"/>
  <c r="V196"/>
  <c r="V192"/>
  <c r="V229" s="1"/>
  <c r="V201"/>
  <c r="V203"/>
  <c r="V193"/>
  <c r="V230" s="1"/>
  <c r="V194"/>
  <c r="V210"/>
  <c r="V247" s="1"/>
  <c r="V215"/>
  <c r="V213"/>
  <c r="V250" s="1"/>
  <c r="V208"/>
  <c r="V195"/>
  <c r="V232" s="1"/>
  <c r="V216"/>
  <c r="V253" s="1"/>
  <c r="V206"/>
  <c r="V243" s="1"/>
  <c r="V204"/>
  <c r="V202"/>
  <c r="V239" s="1"/>
  <c r="V211"/>
  <c r="V207"/>
  <c r="V244" s="1"/>
  <c r="V205"/>
  <c r="V242" s="1"/>
  <c r="V214"/>
  <c r="V251" s="1"/>
  <c r="V177"/>
  <c r="Q6" i="27"/>
  <c r="K191" i="6"/>
  <c r="K189"/>
  <c r="K226" s="1"/>
  <c r="K190"/>
  <c r="K206"/>
  <c r="K201"/>
  <c r="K207"/>
  <c r="K244" s="1"/>
  <c r="K208"/>
  <c r="K192"/>
  <c r="K211"/>
  <c r="K213"/>
  <c r="K200"/>
  <c r="K195"/>
  <c r="K193"/>
  <c r="K196"/>
  <c r="K233" s="1"/>
  <c r="K205"/>
  <c r="K214"/>
  <c r="K203"/>
  <c r="K177"/>
  <c r="K210"/>
  <c r="K216"/>
  <c r="K198"/>
  <c r="K212"/>
  <c r="K249" s="1"/>
  <c r="K209"/>
  <c r="K246" s="1"/>
  <c r="K194"/>
  <c r="K215"/>
  <c r="K204"/>
  <c r="K241" s="1"/>
  <c r="K197"/>
  <c r="K202"/>
  <c r="K199"/>
  <c r="K236" s="1"/>
  <c r="K6" i="27"/>
  <c r="AA139" i="6"/>
  <c r="B177" s="1"/>
  <c r="E191"/>
  <c r="E190"/>
  <c r="E189"/>
  <c r="E226" s="1"/>
  <c r="E211"/>
  <c r="E209"/>
  <c r="E204"/>
  <c r="E200"/>
  <c r="E207"/>
  <c r="E215"/>
  <c r="E195"/>
  <c r="E214"/>
  <c r="E251" s="1"/>
  <c r="E210"/>
  <c r="E247" s="1"/>
  <c r="E212"/>
  <c r="E213"/>
  <c r="E216"/>
  <c r="E253" s="1"/>
  <c r="E177"/>
  <c r="E193"/>
  <c r="E208"/>
  <c r="E197"/>
  <c r="E194"/>
  <c r="E231" s="1"/>
  <c r="E201"/>
  <c r="E205"/>
  <c r="E242" s="1"/>
  <c r="E192"/>
  <c r="E229" s="1"/>
  <c r="E196"/>
  <c r="E206"/>
  <c r="E202"/>
  <c r="E199"/>
  <c r="E198"/>
  <c r="E203"/>
  <c r="O6" i="27"/>
  <c r="I191" i="6"/>
  <c r="I189"/>
  <c r="I226" s="1"/>
  <c r="I190"/>
  <c r="I210"/>
  <c r="I195"/>
  <c r="I208"/>
  <c r="I212"/>
  <c r="I215"/>
  <c r="I214"/>
  <c r="I200"/>
  <c r="I203"/>
  <c r="I209"/>
  <c r="I197"/>
  <c r="I206"/>
  <c r="I196"/>
  <c r="I213"/>
  <c r="I202"/>
  <c r="I177"/>
  <c r="I205"/>
  <c r="I204"/>
  <c r="I199"/>
  <c r="I193"/>
  <c r="I211"/>
  <c r="I216"/>
  <c r="I253" s="1"/>
  <c r="I194"/>
  <c r="I198"/>
  <c r="I207"/>
  <c r="I201"/>
  <c r="I192"/>
  <c r="I229" s="1"/>
  <c r="S6" i="27"/>
  <c r="M191" i="6"/>
  <c r="M190"/>
  <c r="M189"/>
  <c r="M226" s="1"/>
  <c r="M201"/>
  <c r="M207"/>
  <c r="M203"/>
  <c r="M199"/>
  <c r="M197"/>
  <c r="M192"/>
  <c r="M229" s="1"/>
  <c r="M208"/>
  <c r="M193"/>
  <c r="M213"/>
  <c r="M202"/>
  <c r="M200"/>
  <c r="M215"/>
  <c r="M205"/>
  <c r="M177"/>
  <c r="M204"/>
  <c r="M241" s="1"/>
  <c r="M206"/>
  <c r="M211"/>
  <c r="M198"/>
  <c r="M194"/>
  <c r="M216"/>
  <c r="M253" s="1"/>
  <c r="M209"/>
  <c r="M210"/>
  <c r="M212"/>
  <c r="M214"/>
  <c r="M251" s="1"/>
  <c r="M195"/>
  <c r="M196"/>
  <c r="M6" i="27"/>
  <c r="G191" i="6"/>
  <c r="G190"/>
  <c r="G189"/>
  <c r="G226" s="1"/>
  <c r="G212"/>
  <c r="G206"/>
  <c r="G208"/>
  <c r="G196"/>
  <c r="G209"/>
  <c r="G194"/>
  <c r="G231" s="1"/>
  <c r="G210"/>
  <c r="G193"/>
  <c r="G198"/>
  <c r="G213"/>
  <c r="G197"/>
  <c r="G234" s="1"/>
  <c r="G203"/>
  <c r="G216"/>
  <c r="G214"/>
  <c r="G251" s="1"/>
  <c r="G207"/>
  <c r="G211"/>
  <c r="G215"/>
  <c r="G201"/>
  <c r="G205"/>
  <c r="G202"/>
  <c r="G195"/>
  <c r="G192"/>
  <c r="G229" s="1"/>
  <c r="G200"/>
  <c r="G177"/>
  <c r="G204"/>
  <c r="G241" s="1"/>
  <c r="G199"/>
  <c r="G236" s="1"/>
  <c r="P6" i="27"/>
  <c r="J190" i="6"/>
  <c r="J189"/>
  <c r="J226" s="1"/>
  <c r="J191"/>
  <c r="J228" s="1"/>
  <c r="J197"/>
  <c r="J204"/>
  <c r="J210"/>
  <c r="J177"/>
  <c r="J198"/>
  <c r="J235" s="1"/>
  <c r="J212"/>
  <c r="J200"/>
  <c r="J208"/>
  <c r="J206"/>
  <c r="J203"/>
  <c r="J209"/>
  <c r="J216"/>
  <c r="J201"/>
  <c r="J194"/>
  <c r="J205"/>
  <c r="J242" s="1"/>
  <c r="J213"/>
  <c r="J250" s="1"/>
  <c r="J215"/>
  <c r="J211"/>
  <c r="J193"/>
  <c r="J196"/>
  <c r="J199"/>
  <c r="J236" s="1"/>
  <c r="J202"/>
  <c r="J214"/>
  <c r="J195"/>
  <c r="J232" s="1"/>
  <c r="J207"/>
  <c r="J244" s="1"/>
  <c r="J192"/>
  <c r="W6" i="27"/>
  <c r="Q191" i="6"/>
  <c r="Q190"/>
  <c r="Q227" s="1"/>
  <c r="Q189"/>
  <c r="Q226" s="1"/>
  <c r="Q201"/>
  <c r="Q214"/>
  <c r="Q216"/>
  <c r="Q192"/>
  <c r="Q211"/>
  <c r="Q204"/>
  <c r="Q199"/>
  <c r="Q236" s="1"/>
  <c r="Q198"/>
  <c r="Q212"/>
  <c r="Q249" s="1"/>
  <c r="Q177"/>
  <c r="Q195"/>
  <c r="Q232" s="1"/>
  <c r="Q194"/>
  <c r="Q207"/>
  <c r="Q202"/>
  <c r="Q197"/>
  <c r="Q210"/>
  <c r="Q206"/>
  <c r="Q205"/>
  <c r="Q242" s="1"/>
  <c r="Q213"/>
  <c r="Q215"/>
  <c r="Q203"/>
  <c r="Q196"/>
  <c r="Q233" s="1"/>
  <c r="Q200"/>
  <c r="Q237" s="1"/>
  <c r="Q193"/>
  <c r="Q230" s="1"/>
  <c r="Q209"/>
  <c r="Q208"/>
  <c r="U6" i="27"/>
  <c r="O190" i="6"/>
  <c r="O189"/>
  <c r="O226" s="1"/>
  <c r="O191"/>
  <c r="O228" s="1"/>
  <c r="O206"/>
  <c r="O202"/>
  <c r="O216"/>
  <c r="O253" s="1"/>
  <c r="O203"/>
  <c r="O240" s="1"/>
  <c r="O197"/>
  <c r="O215"/>
  <c r="O204"/>
  <c r="O201"/>
  <c r="O177"/>
  <c r="O198"/>
  <c r="O199"/>
  <c r="O236" s="1"/>
  <c r="O208"/>
  <c r="O205"/>
  <c r="O214"/>
  <c r="O194"/>
  <c r="O196"/>
  <c r="O207"/>
  <c r="O244" s="1"/>
  <c r="O209"/>
  <c r="O195"/>
  <c r="O232" s="1"/>
  <c r="O212"/>
  <c r="O192"/>
  <c r="O210"/>
  <c r="O247" s="1"/>
  <c r="O211"/>
  <c r="O248" s="1"/>
  <c r="O213"/>
  <c r="O250" s="1"/>
  <c r="O200"/>
  <c r="O193"/>
  <c r="V6" i="27"/>
  <c r="P189" i="6"/>
  <c r="P226" s="1"/>
  <c r="P190"/>
  <c r="P191"/>
  <c r="P208"/>
  <c r="P197"/>
  <c r="P207"/>
  <c r="P201"/>
  <c r="P204"/>
  <c r="P213"/>
  <c r="P199"/>
  <c r="P215"/>
  <c r="P196"/>
  <c r="P193"/>
  <c r="P195"/>
  <c r="P198"/>
  <c r="P210"/>
  <c r="P177"/>
  <c r="P194"/>
  <c r="P206"/>
  <c r="P214"/>
  <c r="P216"/>
  <c r="P253" s="1"/>
  <c r="P205"/>
  <c r="P209"/>
  <c r="P192"/>
  <c r="P229" s="1"/>
  <c r="P203"/>
  <c r="P202"/>
  <c r="P239" s="1"/>
  <c r="P200"/>
  <c r="P211"/>
  <c r="P248" s="1"/>
  <c r="P212"/>
  <c r="T6" i="27"/>
  <c r="N189" i="6"/>
  <c r="N226" s="1"/>
  <c r="N191"/>
  <c r="N190"/>
  <c r="N227" s="1"/>
  <c r="N212"/>
  <c r="N194"/>
  <c r="N214"/>
  <c r="N208"/>
  <c r="N195"/>
  <c r="N215"/>
  <c r="N197"/>
  <c r="N196"/>
  <c r="N233" s="1"/>
  <c r="N210"/>
  <c r="N193"/>
  <c r="N211"/>
  <c r="N203"/>
  <c r="N213"/>
  <c r="N250" s="1"/>
  <c r="N204"/>
  <c r="N201"/>
  <c r="N199"/>
  <c r="N207"/>
  <c r="N177"/>
  <c r="N209"/>
  <c r="N200"/>
  <c r="N237" s="1"/>
  <c r="N202"/>
  <c r="N205"/>
  <c r="N242" s="1"/>
  <c r="N216"/>
  <c r="N253" s="1"/>
  <c r="N192"/>
  <c r="N229" s="1"/>
  <c r="N198"/>
  <c r="N206"/>
  <c r="N243" s="1"/>
  <c r="AA6" i="27"/>
  <c r="U189" i="6"/>
  <c r="U226" s="1"/>
  <c r="U190"/>
  <c r="U191"/>
  <c r="U203"/>
  <c r="U216"/>
  <c r="U206"/>
  <c r="U212"/>
  <c r="U207"/>
  <c r="U177"/>
  <c r="U215"/>
  <c r="U193"/>
  <c r="U200"/>
  <c r="U237" s="1"/>
  <c r="U213"/>
  <c r="U250" s="1"/>
  <c r="U204"/>
  <c r="U194"/>
  <c r="U231" s="1"/>
  <c r="U192"/>
  <c r="U229" s="1"/>
  <c r="U214"/>
  <c r="U251" s="1"/>
  <c r="U198"/>
  <c r="U199"/>
  <c r="U210"/>
  <c r="U205"/>
  <c r="U242" s="1"/>
  <c r="U211"/>
  <c r="U195"/>
  <c r="U232" s="1"/>
  <c r="U202"/>
  <c r="U239" s="1"/>
  <c r="U196"/>
  <c r="U233" s="1"/>
  <c r="U208"/>
  <c r="U201"/>
  <c r="U197"/>
  <c r="U209"/>
  <c r="U246" s="1"/>
  <c r="AA128"/>
  <c r="V248" l="1"/>
  <c r="V252"/>
  <c r="V237"/>
  <c r="R247"/>
  <c r="R252"/>
  <c r="R228"/>
  <c r="H249"/>
  <c r="S248"/>
  <c r="W253"/>
  <c r="P237"/>
  <c r="M235"/>
  <c r="M239"/>
  <c r="I244"/>
  <c r="H243"/>
  <c r="F233"/>
  <c r="T238"/>
  <c r="W233"/>
  <c r="X244"/>
  <c r="X248"/>
  <c r="L236"/>
  <c r="L230"/>
  <c r="V240"/>
  <c r="R232"/>
  <c r="F243"/>
  <c r="F227"/>
  <c r="T240"/>
  <c r="T246"/>
  <c r="X232"/>
  <c r="U234"/>
  <c r="U244"/>
  <c r="N246"/>
  <c r="N248"/>
  <c r="P251"/>
  <c r="O241"/>
  <c r="Q240"/>
  <c r="J251"/>
  <c r="G232"/>
  <c r="M231"/>
  <c r="M237"/>
  <c r="F230"/>
  <c r="S229"/>
  <c r="W249"/>
  <c r="X236"/>
  <c r="X229"/>
  <c r="L227"/>
  <c r="U253"/>
  <c r="N236"/>
  <c r="N240"/>
  <c r="N245"/>
  <c r="P240"/>
  <c r="O245"/>
  <c r="O238"/>
  <c r="Q251"/>
  <c r="Q228"/>
  <c r="J253"/>
  <c r="J245"/>
  <c r="G238"/>
  <c r="G243"/>
  <c r="G228"/>
  <c r="M243"/>
  <c r="M230"/>
  <c r="M236"/>
  <c r="I231"/>
  <c r="I236"/>
  <c r="I234"/>
  <c r="I228"/>
  <c r="E236"/>
  <c r="E234"/>
  <c r="R245"/>
  <c r="T227"/>
  <c r="U228"/>
  <c r="P243"/>
  <c r="P228"/>
  <c r="O230"/>
  <c r="O235"/>
  <c r="J239"/>
  <c r="G248"/>
  <c r="M233"/>
  <c r="M247"/>
  <c r="E249"/>
  <c r="U247"/>
  <c r="N238"/>
  <c r="N234"/>
  <c r="N251"/>
  <c r="N228"/>
  <c r="P247"/>
  <c r="P233"/>
  <c r="P241"/>
  <c r="P245"/>
  <c r="O231"/>
  <c r="Q246"/>
  <c r="Q243"/>
  <c r="Q248"/>
  <c r="Q238"/>
  <c r="J230"/>
  <c r="J246"/>
  <c r="J237"/>
  <c r="G252"/>
  <c r="G235"/>
  <c r="G246"/>
  <c r="G249"/>
  <c r="M249"/>
  <c r="M245"/>
  <c r="M240"/>
  <c r="M227"/>
  <c r="I238"/>
  <c r="I241"/>
  <c r="I250"/>
  <c r="I246"/>
  <c r="I252"/>
  <c r="E239"/>
  <c r="E245"/>
  <c r="E250"/>
  <c r="E232"/>
  <c r="E241"/>
  <c r="K252"/>
  <c r="K235"/>
  <c r="K240"/>
  <c r="K230"/>
  <c r="K248"/>
  <c r="K238"/>
  <c r="K228"/>
  <c r="P249"/>
  <c r="P230"/>
  <c r="P250"/>
  <c r="P234"/>
  <c r="O249"/>
  <c r="O233"/>
  <c r="Q245"/>
  <c r="Q239"/>
  <c r="Q241"/>
  <c r="J233"/>
  <c r="G250"/>
  <c r="M252"/>
  <c r="I239"/>
  <c r="I251"/>
  <c r="I232"/>
  <c r="E237"/>
  <c r="K250"/>
  <c r="R248"/>
  <c r="H241"/>
  <c r="H235"/>
  <c r="T241"/>
  <c r="T242"/>
  <c r="S234"/>
  <c r="S238"/>
  <c r="W241"/>
  <c r="W230"/>
  <c r="W236"/>
  <c r="W234"/>
  <c r="X245"/>
  <c r="X249"/>
  <c r="X235"/>
  <c r="L251"/>
  <c r="L247"/>
  <c r="L252"/>
  <c r="AA177"/>
  <c r="E179"/>
  <c r="F179" s="1"/>
  <c r="G179" s="1"/>
  <c r="H179" s="1"/>
  <c r="I179" s="1"/>
  <c r="J179" s="1"/>
  <c r="K179" s="1"/>
  <c r="L179" s="1"/>
  <c r="M179" s="1"/>
  <c r="N179" s="1"/>
  <c r="O179" s="1"/>
  <c r="P179" s="1"/>
  <c r="Q179" s="1"/>
  <c r="R179" s="1"/>
  <c r="S179" s="1"/>
  <c r="T179" s="1"/>
  <c r="U179" s="1"/>
  <c r="V179" s="1"/>
  <c r="W179" s="1"/>
  <c r="X179" s="1"/>
  <c r="U245"/>
  <c r="U248"/>
  <c r="U235"/>
  <c r="U241"/>
  <c r="U252"/>
  <c r="U243"/>
  <c r="U227"/>
  <c r="N235"/>
  <c r="N239"/>
  <c r="N244"/>
  <c r="N247"/>
  <c r="N232"/>
  <c r="N249"/>
  <c r="P242"/>
  <c r="P231"/>
  <c r="P232"/>
  <c r="P236"/>
  <c r="P244"/>
  <c r="P227"/>
  <c r="O237"/>
  <c r="O229"/>
  <c r="O242"/>
  <c r="O234"/>
  <c r="O243"/>
  <c r="Q250"/>
  <c r="Q234"/>
  <c r="Q253"/>
  <c r="J252"/>
  <c r="J238"/>
  <c r="J243"/>
  <c r="J234"/>
  <c r="G237"/>
  <c r="G242"/>
  <c r="G244"/>
  <c r="G247"/>
  <c r="G245"/>
  <c r="G227"/>
  <c r="M232"/>
  <c r="M246"/>
  <c r="M248"/>
  <c r="M242"/>
  <c r="M250"/>
  <c r="M234"/>
  <c r="M238"/>
  <c r="I235"/>
  <c r="I230"/>
  <c r="I243"/>
  <c r="I237"/>
  <c r="I245"/>
  <c r="E235"/>
  <c r="E233"/>
  <c r="E244"/>
  <c r="E248"/>
  <c r="K234"/>
  <c r="K247"/>
  <c r="K242"/>
  <c r="K237"/>
  <c r="K245"/>
  <c r="K227"/>
  <c r="V233"/>
  <c r="V249"/>
  <c r="R244"/>
  <c r="R233"/>
  <c r="R234"/>
  <c r="R238"/>
  <c r="R242"/>
  <c r="H250"/>
  <c r="H247"/>
  <c r="H232"/>
  <c r="H230"/>
  <c r="F237"/>
  <c r="F252"/>
  <c r="F246"/>
  <c r="T252"/>
  <c r="T234"/>
  <c r="T232"/>
  <c r="S249"/>
  <c r="S241"/>
  <c r="S242"/>
  <c r="W244"/>
  <c r="W245"/>
  <c r="W246"/>
  <c r="X250"/>
  <c r="X251"/>
  <c r="X233"/>
  <c r="X239"/>
  <c r="L249"/>
  <c r="L242"/>
  <c r="U238"/>
  <c r="U236"/>
  <c r="U230"/>
  <c r="U249"/>
  <c r="N241"/>
  <c r="N230"/>
  <c r="N252"/>
  <c r="N231"/>
  <c r="P246"/>
  <c r="P235"/>
  <c r="P252"/>
  <c r="P238"/>
  <c r="O246"/>
  <c r="O251"/>
  <c r="O252"/>
  <c r="O239"/>
  <c r="O227"/>
  <c r="Q252"/>
  <c r="Q247"/>
  <c r="Q231"/>
  <c r="Q235"/>
  <c r="Q229"/>
  <c r="J229"/>
  <c r="J248"/>
  <c r="J231"/>
  <c r="J240"/>
  <c r="J249"/>
  <c r="J241"/>
  <c r="J227"/>
  <c r="G239"/>
  <c r="G240"/>
  <c r="G230"/>
  <c r="G233"/>
  <c r="M244"/>
  <c r="M228"/>
  <c r="I248"/>
  <c r="I242"/>
  <c r="I233"/>
  <c r="I240"/>
  <c r="I249"/>
  <c r="I227"/>
  <c r="E240"/>
  <c r="E243"/>
  <c r="E238"/>
  <c r="E230"/>
  <c r="E252"/>
  <c r="E246"/>
  <c r="E228"/>
  <c r="K239"/>
  <c r="K231"/>
  <c r="K253"/>
  <c r="K251"/>
  <c r="K232"/>
  <c r="K229"/>
  <c r="K243"/>
  <c r="V241"/>
  <c r="V245"/>
  <c r="V231"/>
  <c r="V234"/>
  <c r="V228"/>
  <c r="R235"/>
  <c r="R230"/>
  <c r="R253"/>
  <c r="R240"/>
  <c r="H252"/>
  <c r="H245"/>
  <c r="H233"/>
  <c r="H237"/>
  <c r="H238"/>
  <c r="H239"/>
  <c r="H227"/>
  <c r="F235"/>
  <c r="F247"/>
  <c r="F244"/>
  <c r="F241"/>
  <c r="F231"/>
  <c r="F238"/>
  <c r="F228"/>
  <c r="T235"/>
  <c r="T230"/>
  <c r="T247"/>
  <c r="T249"/>
  <c r="T228"/>
  <c r="S232"/>
  <c r="S245"/>
  <c r="S252"/>
  <c r="S236"/>
  <c r="S250"/>
  <c r="S227"/>
  <c r="W251"/>
  <c r="W247"/>
  <c r="W242"/>
  <c r="W237"/>
  <c r="W231"/>
  <c r="W227"/>
  <c r="X238"/>
  <c r="X242"/>
  <c r="X230"/>
  <c r="L238"/>
  <c r="L232"/>
  <c r="L240"/>
  <c r="U240"/>
  <c r="O255"/>
  <c r="Q244"/>
  <c r="J247"/>
  <c r="G253"/>
  <c r="I247"/>
  <c r="E227"/>
  <c r="V238"/>
  <c r="V236"/>
  <c r="R246"/>
  <c r="R249"/>
  <c r="R250"/>
  <c r="H251"/>
  <c r="H236"/>
  <c r="H248"/>
  <c r="H229"/>
  <c r="H242"/>
  <c r="F253"/>
  <c r="F255" s="1"/>
  <c r="F250"/>
  <c r="T239"/>
  <c r="T237"/>
  <c r="T243"/>
  <c r="T245"/>
  <c r="S239"/>
  <c r="S246"/>
  <c r="W248"/>
  <c r="W239"/>
  <c r="X253"/>
  <c r="X246"/>
  <c r="X247"/>
  <c r="X241"/>
  <c r="X228"/>
  <c r="L245"/>
  <c r="L235"/>
  <c r="J255" l="1"/>
  <c r="N255"/>
  <c r="H255"/>
  <c r="M255"/>
  <c r="L255"/>
  <c r="Q255"/>
  <c r="P255"/>
  <c r="T255"/>
  <c r="X255"/>
  <c r="S255"/>
  <c r="G255"/>
  <c r="W255"/>
  <c r="R255"/>
  <c r="V255"/>
  <c r="I255"/>
  <c r="K255"/>
  <c r="U255"/>
  <c r="E255"/>
  <c r="E256" s="1"/>
  <c r="F256" s="1"/>
  <c r="G256" s="1"/>
  <c r="H256" s="1"/>
  <c r="I256" s="1"/>
  <c r="J256" l="1"/>
  <c r="K256" s="1"/>
  <c r="L256" s="1"/>
  <c r="M256" s="1"/>
  <c r="N256" s="1"/>
  <c r="O256" s="1"/>
  <c r="P256" s="1"/>
  <c r="Q256" s="1"/>
  <c r="R256" s="1"/>
  <c r="S256" s="1"/>
  <c r="T256" s="1"/>
  <c r="U256" s="1"/>
  <c r="V256" s="1"/>
  <c r="W256" s="1"/>
  <c r="X256" s="1"/>
  <c r="B8" i="20"/>
  <c r="B9" l="1"/>
  <c r="C9" s="1"/>
  <c r="B10"/>
  <c r="C10" s="1"/>
</calcChain>
</file>

<file path=xl/comments1.xml><?xml version="1.0" encoding="utf-8"?>
<comments xmlns="http://schemas.openxmlformats.org/spreadsheetml/2006/main">
  <authors>
    <author>Tina Jayaweera</author>
  </authors>
  <commentList>
    <comment ref="B22" authorId="0">
      <text>
        <r>
          <rPr>
            <b/>
            <sz val="9"/>
            <color indexed="81"/>
            <rFont val="Tahoma"/>
            <family val="2"/>
          </rPr>
          <t>Tina Jayaweera:</t>
        </r>
        <r>
          <rPr>
            <sz val="9"/>
            <color indexed="81"/>
            <rFont val="Tahoma"/>
            <family val="2"/>
          </rPr>
          <t xml:space="preserve">
Accounts for portion of region served by HVAC system type</t>
        </r>
      </text>
    </comment>
  </commentList>
</comments>
</file>

<file path=xl/comments2.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7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73"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73"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7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11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17"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17"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17"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3.xml><?xml version="1.0" encoding="utf-8"?>
<comments xmlns="http://schemas.openxmlformats.org/spreadsheetml/2006/main">
  <authors>
    <author xml:space="preserve"> </author>
  </authors>
  <commentList>
    <comment ref="N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5" authorId="0">
      <text>
        <r>
          <rPr>
            <b/>
            <sz val="8"/>
            <color indexed="81"/>
            <rFont val="Tahoma"/>
            <family val="2"/>
          </rPr>
          <t xml:space="preserve"> :ProCost</t>
        </r>
        <r>
          <rPr>
            <sz val="8"/>
            <color indexed="81"/>
            <rFont val="Tahoma"/>
            <family val="2"/>
          </rPr>
          <t xml:space="preserve">
Physical life of the measure in years.  Must be &gt;=1.</t>
        </r>
      </text>
    </comment>
    <comment ref="J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5" authorId="0">
      <text>
        <r>
          <rPr>
            <b/>
            <sz val="8"/>
            <color indexed="81"/>
            <rFont val="Tahoma"/>
            <family val="2"/>
          </rPr>
          <t xml:space="preserve"> :</t>
        </r>
        <r>
          <rPr>
            <sz val="8"/>
            <color indexed="81"/>
            <rFont val="Tahoma"/>
            <family val="2"/>
          </rPr>
          <t xml:space="preserve">
Annual gas savings, or increases, in therms.</t>
        </r>
      </text>
    </comment>
    <comment ref="U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3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13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13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3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3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35" authorId="0">
      <text>
        <r>
          <rPr>
            <b/>
            <sz val="8"/>
            <color indexed="81"/>
            <rFont val="Tahoma"/>
            <family val="2"/>
          </rPr>
          <t xml:space="preserve"> :ProCost</t>
        </r>
        <r>
          <rPr>
            <sz val="8"/>
            <color indexed="81"/>
            <rFont val="Tahoma"/>
            <family val="2"/>
          </rPr>
          <t xml:space="preserve">
Physical life of the measure in years.  Must be &gt;=1.</t>
        </r>
      </text>
    </comment>
    <comment ref="J13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13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13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13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13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13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13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13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13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13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135" authorId="0">
      <text>
        <r>
          <rPr>
            <b/>
            <sz val="8"/>
            <color indexed="81"/>
            <rFont val="Tahoma"/>
            <family val="2"/>
          </rPr>
          <t xml:space="preserve"> :</t>
        </r>
        <r>
          <rPr>
            <sz val="8"/>
            <color indexed="81"/>
            <rFont val="Tahoma"/>
            <family val="2"/>
          </rPr>
          <t xml:space="preserve">
Annual gas savings, or increases, in therms.</t>
        </r>
      </text>
    </comment>
    <comment ref="U13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4.xml><?xml version="1.0" encoding="utf-8"?>
<comments xmlns="http://schemas.openxmlformats.org/spreadsheetml/2006/main">
  <authors>
    <author xml:space="preserve"> </author>
  </authors>
  <commentList>
    <comment ref="J3"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3"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4"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4"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4"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4" authorId="0">
      <text>
        <r>
          <rPr>
            <b/>
            <sz val="8"/>
            <color indexed="81"/>
            <rFont val="Tahoma"/>
            <family val="2"/>
          </rPr>
          <t xml:space="preserve"> :ProCost</t>
        </r>
        <r>
          <rPr>
            <sz val="8"/>
            <color indexed="81"/>
            <rFont val="Tahoma"/>
            <family val="2"/>
          </rPr>
          <t xml:space="preserve">
Physical life of the measure in years.  Must be &gt;=1.</t>
        </r>
      </text>
    </comment>
    <comment ref="F4"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4"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4"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4"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4"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4"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4"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4"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4"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4" authorId="0">
      <text>
        <r>
          <rPr>
            <b/>
            <sz val="8"/>
            <color indexed="81"/>
            <rFont val="Tahoma"/>
            <family val="2"/>
          </rPr>
          <t xml:space="preserve"> :</t>
        </r>
        <r>
          <rPr>
            <sz val="8"/>
            <color indexed="81"/>
            <rFont val="Tahoma"/>
            <family val="2"/>
          </rPr>
          <t xml:space="preserve">
Annual gas savings, or increases, in therms.</t>
        </r>
      </text>
    </comment>
    <comment ref="Q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5.xml><?xml version="1.0" encoding="utf-8"?>
<comments xmlns="http://schemas.openxmlformats.org/spreadsheetml/2006/main">
  <authors>
    <author xml:space="preserve"> </author>
  </authors>
  <commentList>
    <comment ref="J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 authorId="0">
      <text>
        <r>
          <rPr>
            <b/>
            <sz val="8"/>
            <color indexed="81"/>
            <rFont val="Tahoma"/>
            <family val="2"/>
          </rPr>
          <t xml:space="preserve"> :ProCost</t>
        </r>
        <r>
          <rPr>
            <sz val="8"/>
            <color indexed="81"/>
            <rFont val="Tahoma"/>
            <family val="2"/>
          </rPr>
          <t xml:space="preserve">
Physical life of the measure in years.  Must be &gt;=1.</t>
        </r>
      </text>
    </comment>
    <comment ref="F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 authorId="0">
      <text>
        <r>
          <rPr>
            <b/>
            <sz val="8"/>
            <color indexed="81"/>
            <rFont val="Tahoma"/>
            <family val="2"/>
          </rPr>
          <t xml:space="preserve"> :</t>
        </r>
        <r>
          <rPr>
            <sz val="8"/>
            <color indexed="81"/>
            <rFont val="Tahoma"/>
            <family val="2"/>
          </rPr>
          <t xml:space="preserve">
Annual gas savings, or increases, in therms.</t>
        </r>
      </text>
    </comment>
    <comment ref="Q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6.xml><?xml version="1.0" encoding="utf-8"?>
<comments xmlns="http://schemas.openxmlformats.org/spreadsheetml/2006/main">
  <authors>
    <author>Tina Jayaweera</author>
  </authors>
  <commentList>
    <comment ref="G630" authorId="0">
      <text>
        <r>
          <rPr>
            <b/>
            <sz val="9"/>
            <color indexed="81"/>
            <rFont val="Tahoma"/>
            <family val="2"/>
          </rPr>
          <t>Tina Jayaweera:</t>
        </r>
        <r>
          <rPr>
            <sz val="9"/>
            <color indexed="81"/>
            <rFont val="Tahoma"/>
            <family val="2"/>
          </rPr>
          <t xml:space="preserve">
deleted, was 15180</t>
        </r>
      </text>
    </comment>
  </commentList>
</comments>
</file>

<file path=xl/comments7.xml><?xml version="1.0" encoding="utf-8"?>
<comments xmlns="http://schemas.openxmlformats.org/spreadsheetml/2006/main">
  <authors>
    <author>Adam Hadley, PE</author>
    <author>Adam Hadley</author>
  </authors>
  <commentList>
    <comment ref="K6" authorId="0">
      <text>
        <r>
          <rPr>
            <b/>
            <sz val="8"/>
            <color indexed="81"/>
            <rFont val="Tahoma"/>
            <family val="2"/>
          </rPr>
          <t>Adam Hadley, PE:</t>
        </r>
        <r>
          <rPr>
            <sz val="8"/>
            <color indexed="81"/>
            <rFont val="Tahoma"/>
            <family val="2"/>
          </rPr>
          <t xml:space="preserve">
Don't copy all the way down
</t>
        </r>
      </text>
    </comment>
    <comment ref="N6" authorId="0">
      <text>
        <r>
          <rPr>
            <b/>
            <sz val="8"/>
            <color indexed="81"/>
            <rFont val="Tahoma"/>
            <family val="2"/>
          </rPr>
          <t>Adam Hadley, PE:</t>
        </r>
        <r>
          <rPr>
            <sz val="8"/>
            <color indexed="81"/>
            <rFont val="Tahoma"/>
            <family val="2"/>
          </rPr>
          <t xml:space="preserve">
Don't copy all the way down
</t>
        </r>
      </text>
    </comment>
    <comment ref="Q6" authorId="0">
      <text>
        <r>
          <rPr>
            <b/>
            <sz val="8"/>
            <color indexed="81"/>
            <rFont val="Tahoma"/>
            <family val="2"/>
          </rPr>
          <t>Adam Hadley, PE:</t>
        </r>
        <r>
          <rPr>
            <sz val="8"/>
            <color indexed="81"/>
            <rFont val="Tahoma"/>
            <family val="2"/>
          </rPr>
          <t xml:space="preserve">
Don't copy all the way down
</t>
        </r>
      </text>
    </comment>
    <comment ref="T6" authorId="0">
      <text>
        <r>
          <rPr>
            <b/>
            <sz val="8"/>
            <color indexed="81"/>
            <rFont val="Tahoma"/>
            <family val="2"/>
          </rPr>
          <t>Adam Hadley, PE:</t>
        </r>
        <r>
          <rPr>
            <sz val="8"/>
            <color indexed="81"/>
            <rFont val="Tahoma"/>
            <family val="2"/>
          </rPr>
          <t xml:space="preserve">
Don't copy all the way down
</t>
        </r>
      </text>
    </comment>
    <comment ref="W6" authorId="0">
      <text>
        <r>
          <rPr>
            <b/>
            <sz val="8"/>
            <color indexed="81"/>
            <rFont val="Tahoma"/>
            <family val="2"/>
          </rPr>
          <t>Adam Hadley, PE:</t>
        </r>
        <r>
          <rPr>
            <sz val="8"/>
            <color indexed="81"/>
            <rFont val="Tahoma"/>
            <family val="2"/>
          </rPr>
          <t xml:space="preserve">
Don't copy all the way down
</t>
        </r>
      </text>
    </comment>
    <comment ref="Z6" authorId="0">
      <text>
        <r>
          <rPr>
            <b/>
            <sz val="8"/>
            <color indexed="81"/>
            <rFont val="Tahoma"/>
            <family val="2"/>
          </rPr>
          <t>Adam Hadley, PE:</t>
        </r>
        <r>
          <rPr>
            <sz val="8"/>
            <color indexed="81"/>
            <rFont val="Tahoma"/>
            <family val="2"/>
          </rPr>
          <t xml:space="preserve">
Don't copy all the way down
</t>
        </r>
      </text>
    </comment>
    <comment ref="AC6" authorId="0">
      <text>
        <r>
          <rPr>
            <b/>
            <sz val="8"/>
            <color indexed="81"/>
            <rFont val="Tahoma"/>
            <family val="2"/>
          </rPr>
          <t>Adam Hadley, PE:</t>
        </r>
        <r>
          <rPr>
            <sz val="8"/>
            <color indexed="81"/>
            <rFont val="Tahoma"/>
            <family val="2"/>
          </rPr>
          <t xml:space="preserve">
Don't copy all the way down
</t>
        </r>
      </text>
    </comment>
    <comment ref="AF6" authorId="0">
      <text>
        <r>
          <rPr>
            <b/>
            <sz val="8"/>
            <color indexed="81"/>
            <rFont val="Tahoma"/>
            <family val="2"/>
          </rPr>
          <t>Adam Hadley, PE:</t>
        </r>
        <r>
          <rPr>
            <sz val="8"/>
            <color indexed="81"/>
            <rFont val="Tahoma"/>
            <family val="2"/>
          </rPr>
          <t xml:space="preserve">
Don't copy all the way down
</t>
        </r>
      </text>
    </comment>
    <comment ref="AI6" authorId="0">
      <text>
        <r>
          <rPr>
            <b/>
            <sz val="8"/>
            <color indexed="81"/>
            <rFont val="Tahoma"/>
            <family val="2"/>
          </rPr>
          <t>Adam Hadley, PE:</t>
        </r>
        <r>
          <rPr>
            <sz val="8"/>
            <color indexed="81"/>
            <rFont val="Tahoma"/>
            <family val="2"/>
          </rPr>
          <t xml:space="preserve">
Don't copy all the way down
</t>
        </r>
      </text>
    </comment>
    <comment ref="AL6" authorId="0">
      <text>
        <r>
          <rPr>
            <b/>
            <sz val="8"/>
            <color indexed="81"/>
            <rFont val="Tahoma"/>
            <family val="2"/>
          </rPr>
          <t>Adam Hadley, PE:</t>
        </r>
        <r>
          <rPr>
            <sz val="8"/>
            <color indexed="81"/>
            <rFont val="Tahoma"/>
            <family val="2"/>
          </rPr>
          <t xml:space="preserve">
Don't copy all the way down
</t>
        </r>
      </text>
    </comment>
    <comment ref="AO6" authorId="0">
      <text>
        <r>
          <rPr>
            <b/>
            <sz val="8"/>
            <color indexed="81"/>
            <rFont val="Tahoma"/>
            <family val="2"/>
          </rPr>
          <t>Adam Hadley, PE:</t>
        </r>
        <r>
          <rPr>
            <sz val="8"/>
            <color indexed="81"/>
            <rFont val="Tahoma"/>
            <family val="2"/>
          </rPr>
          <t xml:space="preserve">
Don't copy all the way down
</t>
        </r>
      </text>
    </comment>
    <comment ref="AR6" authorId="0">
      <text>
        <r>
          <rPr>
            <b/>
            <sz val="8"/>
            <color indexed="81"/>
            <rFont val="Tahoma"/>
            <family val="2"/>
          </rPr>
          <t>Adam Hadley, PE:</t>
        </r>
        <r>
          <rPr>
            <sz val="8"/>
            <color indexed="81"/>
            <rFont val="Tahoma"/>
            <family val="2"/>
          </rPr>
          <t xml:space="preserve">
Don't copy all the way down
</t>
        </r>
      </text>
    </comment>
    <comment ref="AU6" authorId="0">
      <text>
        <r>
          <rPr>
            <b/>
            <sz val="8"/>
            <color indexed="81"/>
            <rFont val="Tahoma"/>
            <family val="2"/>
          </rPr>
          <t>Adam Hadley, PE:</t>
        </r>
        <r>
          <rPr>
            <sz val="8"/>
            <color indexed="81"/>
            <rFont val="Tahoma"/>
            <family val="2"/>
          </rPr>
          <t xml:space="preserve">
Don't copy all the way down
</t>
        </r>
      </text>
    </comment>
    <comment ref="AX6" authorId="0">
      <text>
        <r>
          <rPr>
            <b/>
            <sz val="8"/>
            <color indexed="81"/>
            <rFont val="Tahoma"/>
            <family val="2"/>
          </rPr>
          <t>Adam Hadley, PE:</t>
        </r>
        <r>
          <rPr>
            <sz val="8"/>
            <color indexed="81"/>
            <rFont val="Tahoma"/>
            <family val="2"/>
          </rPr>
          <t xml:space="preserve">
Don't copy all the way down
</t>
        </r>
      </text>
    </comment>
    <comment ref="BA6" authorId="0">
      <text>
        <r>
          <rPr>
            <b/>
            <sz val="8"/>
            <color indexed="81"/>
            <rFont val="Tahoma"/>
            <family val="2"/>
          </rPr>
          <t>Adam Hadley, PE:</t>
        </r>
        <r>
          <rPr>
            <sz val="8"/>
            <color indexed="81"/>
            <rFont val="Tahoma"/>
            <family val="2"/>
          </rPr>
          <t xml:space="preserve">
Don't copy all the way down
</t>
        </r>
      </text>
    </comment>
    <comment ref="BD6" authorId="0">
      <text>
        <r>
          <rPr>
            <b/>
            <sz val="8"/>
            <color indexed="81"/>
            <rFont val="Tahoma"/>
            <family val="2"/>
          </rPr>
          <t>Adam Hadley, PE:</t>
        </r>
        <r>
          <rPr>
            <sz val="8"/>
            <color indexed="81"/>
            <rFont val="Tahoma"/>
            <family val="2"/>
          </rPr>
          <t xml:space="preserve">
Don't copy all the way down
</t>
        </r>
      </text>
    </comment>
    <comment ref="BG6" authorId="0">
      <text>
        <r>
          <rPr>
            <b/>
            <sz val="8"/>
            <color indexed="81"/>
            <rFont val="Tahoma"/>
            <family val="2"/>
          </rPr>
          <t>Adam Hadley, PE:</t>
        </r>
        <r>
          <rPr>
            <sz val="8"/>
            <color indexed="81"/>
            <rFont val="Tahoma"/>
            <family val="2"/>
          </rPr>
          <t xml:space="preserve">
Don't copy all the way down
</t>
        </r>
      </text>
    </comment>
    <comment ref="BJ6" authorId="0">
      <text>
        <r>
          <rPr>
            <b/>
            <sz val="8"/>
            <color indexed="81"/>
            <rFont val="Tahoma"/>
            <family val="2"/>
          </rPr>
          <t>Adam Hadley, PE:</t>
        </r>
        <r>
          <rPr>
            <sz val="8"/>
            <color indexed="81"/>
            <rFont val="Tahoma"/>
            <family val="2"/>
          </rPr>
          <t xml:space="preserve">
Don't copy all the way down
</t>
        </r>
      </text>
    </comment>
    <comment ref="BM6" authorId="0">
      <text>
        <r>
          <rPr>
            <b/>
            <sz val="8"/>
            <color indexed="81"/>
            <rFont val="Tahoma"/>
            <family val="2"/>
          </rPr>
          <t>Adam Hadley, PE:</t>
        </r>
        <r>
          <rPr>
            <sz val="8"/>
            <color indexed="81"/>
            <rFont val="Tahoma"/>
            <family val="2"/>
          </rPr>
          <t xml:space="preserve">
Don't copy all the way down
</t>
        </r>
      </text>
    </comment>
    <comment ref="BP6" authorId="0">
      <text>
        <r>
          <rPr>
            <b/>
            <sz val="8"/>
            <color indexed="81"/>
            <rFont val="Tahoma"/>
            <family val="2"/>
          </rPr>
          <t>Adam Hadley, PE:</t>
        </r>
        <r>
          <rPr>
            <sz val="8"/>
            <color indexed="81"/>
            <rFont val="Tahoma"/>
            <family val="2"/>
          </rPr>
          <t xml:space="preserve">
Don't copy all the way down
</t>
        </r>
      </text>
    </comment>
    <comment ref="BS6" authorId="0">
      <text>
        <r>
          <rPr>
            <b/>
            <sz val="8"/>
            <color indexed="81"/>
            <rFont val="Tahoma"/>
            <family val="2"/>
          </rPr>
          <t>Adam Hadley, PE:</t>
        </r>
        <r>
          <rPr>
            <sz val="8"/>
            <color indexed="81"/>
            <rFont val="Tahoma"/>
            <family val="2"/>
          </rPr>
          <t xml:space="preserve">
Don't copy all the way down
</t>
        </r>
      </text>
    </comment>
    <comment ref="BV6" authorId="0">
      <text>
        <r>
          <rPr>
            <b/>
            <sz val="8"/>
            <color indexed="81"/>
            <rFont val="Tahoma"/>
            <family val="2"/>
          </rPr>
          <t>Adam Hadley, PE:</t>
        </r>
        <r>
          <rPr>
            <sz val="8"/>
            <color indexed="81"/>
            <rFont val="Tahoma"/>
            <family val="2"/>
          </rPr>
          <t xml:space="preserve">
Don't copy all the way down
</t>
        </r>
      </text>
    </comment>
    <comment ref="BY6" authorId="0">
      <text>
        <r>
          <rPr>
            <b/>
            <sz val="8"/>
            <color indexed="81"/>
            <rFont val="Tahoma"/>
            <family val="2"/>
          </rPr>
          <t>Adam Hadley, PE:</t>
        </r>
        <r>
          <rPr>
            <sz val="8"/>
            <color indexed="81"/>
            <rFont val="Tahoma"/>
            <family val="2"/>
          </rPr>
          <t xml:space="preserve">
Don't copy all the way down
</t>
        </r>
      </text>
    </comment>
    <comment ref="CB6" authorId="0">
      <text>
        <r>
          <rPr>
            <b/>
            <sz val="8"/>
            <color indexed="81"/>
            <rFont val="Tahoma"/>
            <family val="2"/>
          </rPr>
          <t>Adam Hadley, PE:</t>
        </r>
        <r>
          <rPr>
            <sz val="8"/>
            <color indexed="81"/>
            <rFont val="Tahoma"/>
            <family val="2"/>
          </rPr>
          <t xml:space="preserve">
Don't copy all the way down
</t>
        </r>
      </text>
    </comment>
    <comment ref="CE6" authorId="0">
      <text>
        <r>
          <rPr>
            <b/>
            <sz val="8"/>
            <color indexed="81"/>
            <rFont val="Tahoma"/>
            <family val="2"/>
          </rPr>
          <t>Adam Hadley, PE:</t>
        </r>
        <r>
          <rPr>
            <sz val="8"/>
            <color indexed="81"/>
            <rFont val="Tahoma"/>
            <family val="2"/>
          </rPr>
          <t xml:space="preserve">
Don't copy all the way down
</t>
        </r>
      </text>
    </comment>
    <comment ref="CH6" authorId="0">
      <text>
        <r>
          <rPr>
            <b/>
            <sz val="8"/>
            <color indexed="81"/>
            <rFont val="Tahoma"/>
            <family val="2"/>
          </rPr>
          <t>Adam Hadley, PE:</t>
        </r>
        <r>
          <rPr>
            <sz val="8"/>
            <color indexed="81"/>
            <rFont val="Tahoma"/>
            <family val="2"/>
          </rPr>
          <t xml:space="preserve">
Don't copy all the way down
</t>
        </r>
      </text>
    </comment>
    <comment ref="CK6" authorId="0">
      <text>
        <r>
          <rPr>
            <b/>
            <sz val="8"/>
            <color indexed="81"/>
            <rFont val="Tahoma"/>
            <family val="2"/>
          </rPr>
          <t>Adam Hadley, PE:</t>
        </r>
        <r>
          <rPr>
            <sz val="8"/>
            <color indexed="81"/>
            <rFont val="Tahoma"/>
            <family val="2"/>
          </rPr>
          <t xml:space="preserve">
Don't copy all the way down
</t>
        </r>
      </text>
    </comment>
    <comment ref="CN6" authorId="0">
      <text>
        <r>
          <rPr>
            <b/>
            <sz val="8"/>
            <color indexed="81"/>
            <rFont val="Tahoma"/>
            <family val="2"/>
          </rPr>
          <t>Adam Hadley, PE:</t>
        </r>
        <r>
          <rPr>
            <sz val="8"/>
            <color indexed="81"/>
            <rFont val="Tahoma"/>
            <family val="2"/>
          </rPr>
          <t xml:space="preserve">
Don't copy all the way down
</t>
        </r>
      </text>
    </comment>
    <comment ref="CQ6" authorId="0">
      <text>
        <r>
          <rPr>
            <b/>
            <sz val="8"/>
            <color indexed="81"/>
            <rFont val="Tahoma"/>
            <family val="2"/>
          </rPr>
          <t>Adam Hadley, PE:</t>
        </r>
        <r>
          <rPr>
            <sz val="8"/>
            <color indexed="81"/>
            <rFont val="Tahoma"/>
            <family val="2"/>
          </rPr>
          <t xml:space="preserve">
Don't copy all the way down
</t>
        </r>
      </text>
    </comment>
    <comment ref="CT6" authorId="0">
      <text>
        <r>
          <rPr>
            <b/>
            <sz val="8"/>
            <color indexed="81"/>
            <rFont val="Tahoma"/>
            <family val="2"/>
          </rPr>
          <t>Adam Hadley, PE:</t>
        </r>
        <r>
          <rPr>
            <sz val="8"/>
            <color indexed="81"/>
            <rFont val="Tahoma"/>
            <family val="2"/>
          </rPr>
          <t xml:space="preserve">
Don't copy all the way down
</t>
        </r>
      </text>
    </comment>
    <comment ref="K48" authorId="0">
      <text>
        <r>
          <rPr>
            <b/>
            <sz val="8"/>
            <color indexed="81"/>
            <rFont val="Tahoma"/>
            <family val="2"/>
          </rPr>
          <t>Adam Hadley, PE:</t>
        </r>
        <r>
          <rPr>
            <sz val="8"/>
            <color indexed="81"/>
            <rFont val="Tahoma"/>
            <family val="2"/>
          </rPr>
          <t xml:space="preserve">
=IF(K$5="pre",hpmid5bytype("Standard",VLOOKUP($F48,HPinputs,hspfMid,FALSE), VLOOKUP($F48,HPinputs,hspfLow,FALSE),VLOOKUP($F48,HPinputs,hspfHigh,FALSE),VLOOKUP(K$3&amp;K$2&amp;"hLa"&amp;$B48&amp;K$5,SEEMOutput,11,FALSE),VLOOKUP(K$3&amp;K$2&amp;"hLb"&amp;$B48&amp;K$5,SEEMOutput,11,FALSE),VLOOKUP(K$3&amp;K$2&amp;"hLc"&amp;$B48&amp;K$5,SEEMOutput,11,FALSE), VLOOKUP(K$3&amp;K$2&amp;"hLd"&amp;$B48&amp;K$5,SEEMOutput,11,FALSE), VLOOKUP(K$3&amp;K$2&amp;"hLe"&amp;$B48&amp;K$5,SEEMOutput,11,FALSE),VLOOKUP(K$3&amp;K$2&amp;"hHa"&amp;$B48&amp;K$5,SEEMOutput,11,FALSE),VLOOKUP(K$3&amp;K$2&amp;"hHb"&amp;$B48&amp;K$5,SEEMOutput,11,FALSE),VLOOKUP(K$3&amp;K$2&amp;"hHc"&amp;$B48&amp;K$5,SEEMOutput,11,FALSE), VLOOKUP(K$3&amp;K$2&amp;"hHd"&amp;$B48&amp;K$5,SEEMOutput,11,FALSE), VLOOKUP(K$3&amp;K$2&amp;"hHe"&amp;$B48&amp;K$5,SEEMOutput,11,FALSE)),IF(K$5="pst",hpmid5bytype("Standard",VLOOKUP($G48,HPinputs,hspfMid,FALSE), VLOOKUP($G48,HPinputs,hspfLow,FALSE),VLOOKUP($G48,HPinputs,hspfHigh,FALSE),VLOOKUP(K$3&amp;K$2&amp;"hLa"&amp;$B48&amp;K$5,SEEMOutput,11,FALSE),VLOOKUP(K$3&amp;K$2&amp;"hLb"&amp;$B48&amp;K$5,SEEMOutput,11,FALSE),VLOOKUP(K$3&amp;K$2&amp;"hLc"&amp;$B48&amp;K$5,SEEMOutput,11,FALSE), VLOOKUP(K$3&amp;K$2&amp;"hLd"&amp;$B48&amp;K$5,SEEMOutput,11,FALSE), VLOOKUP(K$3&amp;K$2&amp;"hLe"&amp;$B48&amp;K$5,SEEMOutput,11,FALSE),VLOOKUP(K$3&amp;K$2&amp;"hHa"&amp;$B48&amp;K$5,SEEMOutput,11,FALSE),VLOOKUP(K$3&amp;K$2&amp;"hHb"&amp;$B48&amp;K$5,SEEMOutput,11,FALSE),VLOOKUP(K$3&amp;K$2&amp;"hHc"&amp;$B48&amp;K$5,SEEMOutput,11,FALSE), VLOOKUP(K$3&amp;K$2&amp;"hHd"&amp;$B48&amp;K$5,SEEMOutput,11,FALSE), VLOOKUP(K$3&amp;K$2&amp;"hHe"&amp;$B48&amp;K$5,SEEMOutput,11,FALSE)),"error"))</t>
        </r>
      </text>
    </comment>
    <comment ref="CU48" authorId="0">
      <text>
        <r>
          <rPr>
            <b/>
            <sz val="8"/>
            <color indexed="81"/>
            <rFont val="Tahoma"/>
            <family val="2"/>
          </rPr>
          <t>Adam Hadley, PE:</t>
        </r>
        <r>
          <rPr>
            <sz val="8"/>
            <color indexed="81"/>
            <rFont val="Tahoma"/>
            <family val="2"/>
          </rPr>
          <t xml:space="preserve">
=IF(CU$5="pre",IF($F48="7.7/13",VLOOKUP(CU$3&amp;CU$2&amp;"hHa"&amp;$B48&amp;CU$5,SEEMOutput,17,FALSE),IF(OR($F48="8.5/13",$F48="8.2/13"),VLOOKUP(CU$3&amp;CU$2&amp;"hLa"&amp;$B48&amp;CU$5,SEEMOutput,17,FALSE),IF($F48="9.0/14",VLOOKUP(CU$3&amp;CU$2&amp;"hHa"&amp;$B48&amp;CU$5,SEEMOutput,17,FALSE)*Constants!$I$168,"error"))),IF(CU$5="pst",IF($G48="7.7/13",VLOOKUP(CU$3&amp;CU$2&amp;"hHa"&amp;$B48&amp;CU$5,SEEMOutput,17,FALSE),IF(OR($G48="8.5/13",$G48="8.2/13"),VLOOKUP(CU$3&amp;CU$2&amp;"hLa"&amp;$B48&amp;CU$5,SEEMOutput,17,FALSE),IF($G48="9.0/14",VLOOKUP(CU$3&amp;CU$2&amp;"hHa"&amp;$B48&amp;CU$5,SEEMOutput,17,FALSE)*Constants!$I$168,"error"))),"error2"))</t>
        </r>
      </text>
    </comment>
    <comment ref="K51" authorId="0">
      <text>
        <r>
          <rPr>
            <b/>
            <sz val="8"/>
            <color indexed="81"/>
            <rFont val="Tahoma"/>
            <family val="2"/>
          </rPr>
          <t>Adam Hadley, PE:</t>
        </r>
        <r>
          <rPr>
            <sz val="8"/>
            <color indexed="81"/>
            <rFont val="Tahoma"/>
            <family val="2"/>
          </rPr>
          <t xml:space="preserve">
=IF(K$5="pre",N48,IF(K$5="pst",hpmid5bytype($G51,VLOOKUP(HSPFseer,HPinputs,hspfMid,FALSE), VLOOKUP(HSPFseer,HPinputs,hspfLow,FALSE),VLOOKUP(HSPFseer,HPinputs,hspfHigh,FALSE),VLOOKUP(K$3&amp;K$2&amp;"hLaCEcase",SEEMOutput,11,FALSE),VLOOKUP(K$3&amp;K$2&amp;"hLbCEcase",SEEMOutput,11,FALSE),VLOOKUP(K$3&amp;K$2&amp;"hLcCEcase",SEEMOutput,11,FALSE), VLOOKUP(K$3&amp;K$2&amp;"hLdCEcase",SEEMOutput,11,FALSE), VLOOKUP(K$3&amp;K$2&amp;"hLeCEcase",SEEMOutput,11,FALSE),VLOOKUP(K$3&amp;K$2&amp;"hHaCEcase",SEEMOutput,11,FALSE),VLOOKUP(K$3&amp;K$2&amp;"hHbCEcase",SEEMOutput,11,FALSE),VLOOKUP(K$3&amp;K$2&amp;"hHcCEcase",SEEMOutput,11,FALSE), VLOOKUP(K$3&amp;K$2&amp;"hHdCEcase",SEEMOutput,11,FALSE), VLOOKUP(K$3&amp;K$2&amp;"hHeCEcase",SEEMOutput,11,FALSE)),"error"))</t>
        </r>
      </text>
    </comment>
    <comment ref="CV51" authorId="1">
      <text>
        <r>
          <rPr>
            <b/>
            <sz val="8"/>
            <color indexed="81"/>
            <rFont val="Tahoma"/>
            <family val="2"/>
          </rPr>
          <t>Adam Hadley:</t>
        </r>
        <r>
          <rPr>
            <sz val="8"/>
            <color indexed="81"/>
            <rFont val="Tahoma"/>
            <family val="2"/>
          </rPr>
          <t xml:space="preserve">
=IF(HSPFseer="7.7/13",VLOOKUP(CV$3&amp;CV$2&amp;"hHaCEcase",SEEMOutput,17,FALSE),IF(HSPFseer="8.5/13",VLOOKUP(CV$3&amp;CV$2&amp;"hLaCEcase",SEEMOutput,17,FALSE),IF(HSPFseer="9.0/14",VLOOKUP(CV$3&amp;CV$2&amp;"hHaCEcase",SEEMOutput,17,FALSE)*Constants!J212,"error")))</t>
        </r>
      </text>
    </comment>
  </commentList>
</comments>
</file>

<file path=xl/comments8.xml><?xml version="1.0" encoding="utf-8"?>
<comments xmlns="http://schemas.openxmlformats.org/spreadsheetml/2006/main">
  <authors>
    <author>Adam Hadley</author>
  </authors>
  <commentList>
    <comment ref="B15" authorId="0">
      <text>
        <r>
          <rPr>
            <b/>
            <sz val="8"/>
            <color indexed="81"/>
            <rFont val="Tahoma"/>
            <family val="2"/>
          </rPr>
          <t>Adam Hadley:</t>
        </r>
        <r>
          <rPr>
            <sz val="8"/>
            <color indexed="81"/>
            <rFont val="Tahoma"/>
            <family val="2"/>
          </rPr>
          <t xml:space="preserve">
Class 30 to class 22 $1.36/sqft based on June 2009 RTF meeting.</t>
        </r>
      </text>
    </comment>
    <comment ref="B16" authorId="0">
      <text>
        <r>
          <rPr>
            <b/>
            <sz val="8"/>
            <color indexed="81"/>
            <rFont val="Tahoma"/>
            <family val="2"/>
          </rPr>
          <t>Adam Hadley:</t>
        </r>
        <r>
          <rPr>
            <sz val="8"/>
            <color indexed="81"/>
            <rFont val="Tahoma"/>
            <family val="2"/>
          </rPr>
          <t xml:space="preserve">
Class 30 to class 22 $1.36/sqft based on June 2009 RTF meeting.</t>
        </r>
      </text>
    </comment>
    <comment ref="B20" authorId="0">
      <text>
        <r>
          <rPr>
            <b/>
            <sz val="8"/>
            <color indexed="81"/>
            <rFont val="Tahoma"/>
            <family val="2"/>
          </rPr>
          <t>Adam Hadley:</t>
        </r>
        <r>
          <rPr>
            <sz val="8"/>
            <color indexed="81"/>
            <rFont val="Tahoma"/>
            <family val="2"/>
          </rPr>
          <t xml:space="preserve">
Class 30 to class 22 $1.36/sqft based on June 2009 RTF meeting.</t>
        </r>
      </text>
    </comment>
  </commentList>
</comments>
</file>

<file path=xl/sharedStrings.xml><?xml version="1.0" encoding="utf-8"?>
<sst xmlns="http://schemas.openxmlformats.org/spreadsheetml/2006/main" count="16070" uniqueCount="2193">
  <si>
    <t>Data Set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</si>
  <si>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</si>
  <si>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</si>
  <si>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</si>
  <si>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</si>
  <si>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</si>
  <si>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</si>
  <si>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</si>
  <si>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</si>
  <si>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</si>
  <si>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</si>
  <si>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</si>
  <si>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</si>
  <si>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</si>
  <si>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</si>
  <si>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</si>
  <si>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</si>
  <si>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</si>
  <si>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</si>
  <si>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</si>
  <si>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Concatenate</t>
  </si>
  <si>
    <t>Measure  Index</t>
  </si>
  <si>
    <t>ResWX</t>
  </si>
  <si>
    <t>Segment</t>
  </si>
  <si>
    <t>Vintage</t>
  </si>
  <si>
    <t>Single Family</t>
  </si>
  <si>
    <t>FloorSqft</t>
  </si>
  <si>
    <t>WindowSqft</t>
  </si>
  <si>
    <t>AtticSqft</t>
  </si>
  <si>
    <t>Measure Index Name</t>
  </si>
  <si>
    <t>Shaped Savings Results; By Category and sorted by TRC BC ratio</t>
  </si>
  <si>
    <t>Category</t>
  </si>
  <si>
    <t>Measure</t>
  </si>
  <si>
    <t>Busbar Savings</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</si>
  <si>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</si>
  <si>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</si>
  <si>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</si>
  <si>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</si>
  <si>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</si>
  <si>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</si>
  <si>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</si>
  <si>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Net Levelized Cost (Net of All Benefits) in mills/kWh</t>
  </si>
  <si>
    <t>TRC B/C Ratio</t>
  </si>
  <si>
    <t>Net Electric &amp; Gas System CO2 Avoided (Lifetime Tons)</t>
  </si>
  <si>
    <t>Jan</t>
  </si>
  <si>
    <t>Feb</t>
  </si>
  <si>
    <t>Mar</t>
  </si>
  <si>
    <t>Apr</t>
  </si>
  <si>
    <t>May</t>
  </si>
  <si>
    <t>Jun</t>
  </si>
  <si>
    <t>Jul</t>
  </si>
  <si>
    <t>Aug</t>
  </si>
  <si>
    <t>Sep</t>
  </si>
  <si>
    <t>Oct</t>
  </si>
  <si>
    <t>Nov</t>
  </si>
  <si>
    <t>Dec</t>
  </si>
  <si>
    <t>Floor</t>
  </si>
  <si>
    <t>Attic</t>
  </si>
  <si>
    <t>Infiltration</t>
  </si>
  <si>
    <t>HZ1</t>
  </si>
  <si>
    <t>HZ2</t>
  </si>
  <si>
    <t>HZ3</t>
  </si>
  <si>
    <t>Wall</t>
  </si>
  <si>
    <t>Wallsqft</t>
  </si>
  <si>
    <t/>
  </si>
  <si>
    <t>ATTIC R0 - R38</t>
  </si>
  <si>
    <t>ATTIC R0 - R49</t>
  </si>
  <si>
    <t>ATTIC R19 - R38</t>
  </si>
  <si>
    <t>ATTIC R19 - R49</t>
  </si>
  <si>
    <t>WALL R0 - R11</t>
  </si>
  <si>
    <t>FLOOR R0 - R19</t>
  </si>
  <si>
    <t>FLOOR R0 - R30</t>
  </si>
  <si>
    <t>WINDOW CL30 Prime Window Replacement of Single Pane Base</t>
  </si>
  <si>
    <t>WINDOW CL30 Prime Window Replacement of Double Pane Base</t>
  </si>
  <si>
    <t>WINDOW CL22 Prime Window Replacement of Single Pane Base</t>
  </si>
  <si>
    <t>WINDOW CL22 Prime Window Replacement of Double Pane Base</t>
  </si>
  <si>
    <t>Electric FAF</t>
  </si>
  <si>
    <t>Electric Zonal</t>
  </si>
  <si>
    <t>Heat Pump</t>
  </si>
  <si>
    <t>Apply per Home saturations to adjust savings &amp; cost</t>
  </si>
  <si>
    <t>Methodology</t>
  </si>
  <si>
    <t>Retrofit</t>
  </si>
  <si>
    <t>Retro</t>
  </si>
  <si>
    <t>Measure Bundle</t>
  </si>
  <si>
    <t>ResWx</t>
  </si>
  <si>
    <t>Report Year</t>
  </si>
  <si>
    <t>Output Range</t>
  </si>
  <si>
    <t>Multifamily - Low Rise</t>
  </si>
  <si>
    <t>Multifamily - High Rise</t>
  </si>
  <si>
    <t>Manufactured</t>
  </si>
  <si>
    <t>REG_TOTAL_STOCK_# HOMES</t>
  </si>
  <si>
    <t>Total Regional Stock</t>
  </si>
  <si>
    <t>Applicability</t>
  </si>
  <si>
    <t>Achievability =&gt;</t>
  </si>
  <si>
    <t>Homes Treated Max</t>
  </si>
  <si>
    <t>SUPPLY CURVE SAVINGS BY BUNDLE</t>
  </si>
  <si>
    <t>kWh per home</t>
  </si>
  <si>
    <t>lvlcost</t>
  </si>
  <si>
    <t>segment</t>
  </si>
  <si>
    <t>measure</t>
  </si>
  <si>
    <t>RECOMBINE MEASURE BUNDLES INTO SUPPLY CURVE CUMULATIVE</t>
  </si>
  <si>
    <t>Block 1: &lt;= 0 mills/kWh</t>
  </si>
  <si>
    <t>&gt;=-9999</t>
  </si>
  <si>
    <t>&lt;=0</t>
  </si>
  <si>
    <t>Block 2: &lt;= 10 mills/kWh</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</si>
  <si>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</si>
  <si>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</si>
  <si>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</si>
  <si>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</si>
  <si>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</si>
  <si>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</si>
  <si>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</si>
  <si>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</si>
  <si>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</si>
  <si>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</si>
  <si>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</si>
  <si>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</si>
  <si>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</si>
  <si>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</si>
  <si>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</si>
  <si>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</si>
  <si>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</si>
  <si>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</si>
  <si>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</si>
  <si>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</si>
  <si>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</si>
  <si>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</si>
  <si>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</si>
  <si>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</si>
  <si>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</si>
  <si>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</si>
  <si>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</si>
  <si>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</si>
  <si>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</si>
  <si>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</si>
  <si>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</si>
  <si>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</si>
  <si>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</si>
  <si>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</si>
  <si>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</si>
  <si>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</si>
  <si>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</si>
  <si>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</si>
  <si>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</si>
  <si>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</si>
  <si>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</si>
  <si>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</si>
  <si>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</si>
  <si>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</si>
  <si>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</si>
  <si>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</si>
  <si>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</si>
  <si>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</si>
  <si>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</si>
  <si>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</si>
  <si>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</si>
  <si>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</si>
  <si>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</si>
  <si>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</si>
  <si>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</si>
  <si>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</si>
  <si>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</si>
  <si>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</si>
  <si>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</si>
  <si>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Block 22: &gt; 200 mills/kWh</t>
  </si>
  <si>
    <t>&gt;200</t>
  </si>
  <si>
    <t>&lt;=9999</t>
  </si>
  <si>
    <t>RECOMBINE MEASURE BUNDLES INTO SUPPLY CURVE INCREMENTAL</t>
  </si>
  <si>
    <t>siteid</t>
  </si>
  <si>
    <t>WA</t>
  </si>
  <si>
    <t>OR</t>
  </si>
  <si>
    <t>ID</t>
  </si>
  <si>
    <t>MT</t>
  </si>
  <si>
    <t>R0</t>
  </si>
  <si>
    <t>R19</t>
  </si>
  <si>
    <t>R30</t>
  </si>
  <si>
    <t>Windows</t>
  </si>
  <si>
    <t>Double</t>
  </si>
  <si>
    <t>PTCS</t>
  </si>
  <si>
    <t>0.35 ACHn</t>
  </si>
  <si>
    <t>Htg System</t>
  </si>
  <si>
    <t>FAF</t>
  </si>
  <si>
    <t>DHP</t>
  </si>
  <si>
    <t>Zonal</t>
  </si>
  <si>
    <t>Single</t>
  </si>
  <si>
    <t>Weighting</t>
  </si>
  <si>
    <t>Slab</t>
  </si>
  <si>
    <t>Crawlspace</t>
  </si>
  <si>
    <t>Prototype</t>
  </si>
  <si>
    <t>AtticInsLvl</t>
  </si>
  <si>
    <t>AtticInsCond</t>
  </si>
  <si>
    <t>AtticArea</t>
  </si>
  <si>
    <t>AtticEstImprovement</t>
  </si>
  <si>
    <t>AtticInsType</t>
  </si>
  <si>
    <t>Blown Cellulose</t>
  </si>
  <si>
    <t>Blown Rock Wool</t>
  </si>
  <si>
    <t>Batt Fiberglass</t>
  </si>
  <si>
    <t>R11-R15</t>
  </si>
  <si>
    <t>Mixed</t>
  </si>
  <si>
    <t>R16-R20</t>
  </si>
  <si>
    <t>Other</t>
  </si>
  <si>
    <t>Blown FB</t>
  </si>
  <si>
    <t>R21-25</t>
  </si>
  <si>
    <t>R26-R30</t>
  </si>
  <si>
    <t>R31-R40</t>
  </si>
  <si>
    <t>R41-R50</t>
  </si>
  <si>
    <t>R50+</t>
  </si>
  <si>
    <t>2x8</t>
  </si>
  <si>
    <t>Batt (other)</t>
  </si>
  <si>
    <t>Row Labels</t>
  </si>
  <si>
    <t>Grand Total</t>
  </si>
  <si>
    <t>Column Labels</t>
  </si>
  <si>
    <t>(blank)</t>
  </si>
  <si>
    <t>u_window</t>
  </si>
  <si>
    <t>Average of u_window</t>
  </si>
  <si>
    <t>HVAC</t>
  </si>
  <si>
    <t>Apply Weighting by heating zone</t>
  </si>
  <si>
    <t>Region</t>
  </si>
  <si>
    <t>R0 - R19</t>
  </si>
  <si>
    <t>ATTIC R0 - R38_Electric FAF</t>
  </si>
  <si>
    <t>ATTIC R0 - R49_Electric FAF</t>
  </si>
  <si>
    <t>ATTIC R19 - R38_Electric FAF</t>
  </si>
  <si>
    <t>ATTIC R19 - R49_Electric FAF</t>
  </si>
  <si>
    <t>WALL R0 - R11_Electric FAF</t>
  </si>
  <si>
    <t>FLOOR R0 - R19_Electric FAF</t>
  </si>
  <si>
    <t>FLOOR R0 - R30_Electric FAF</t>
  </si>
  <si>
    <t>WINDOW CL30 Prime Window Replacement of Single Pane Base_Electric FAF</t>
  </si>
  <si>
    <t>WINDOW CL30 Prime Window Replacement of Double Pane Base_Electric FAF</t>
  </si>
  <si>
    <t>WINDOW CL22 Prime Window Replacement of Single Pane Base_Electric FAF</t>
  </si>
  <si>
    <t>WINDOW CL22 Prime Window Replacement of Double Pane Base_Electric FAF</t>
  </si>
  <si>
    <t>ATTIC R0 - R38_Electric Zonal</t>
  </si>
  <si>
    <t>ATTIC R0 - R49_Electric Zonal</t>
  </si>
  <si>
    <t>ATTIC R19 - R38_Electric Zonal</t>
  </si>
  <si>
    <t>ATTIC R19 - R49_Electric Zonal</t>
  </si>
  <si>
    <t>WALL R0 - R11_Electric Zonal</t>
  </si>
  <si>
    <t>FLOOR R0 - R19_Electric Zonal</t>
  </si>
  <si>
    <t>FLOOR R0 - R30_Electric Zonal</t>
  </si>
  <si>
    <t>WINDOW CL30 Prime Window Replacement of Single Pane Base_Electric Zonal</t>
  </si>
  <si>
    <t>WINDOW CL30 Prime Window Replacement of Double Pane Base_Electric Zonal</t>
  </si>
  <si>
    <t>WINDOW CL22 Prime Window Replacement of Single Pane Base_Electric Zonal</t>
  </si>
  <si>
    <t>WINDOW CL22 Prime Window Replacement of Double Pane Base_Electric Zonal</t>
  </si>
  <si>
    <t>ATTIC R0 - R38_Heat Pump</t>
  </si>
  <si>
    <t>ATTIC R0 - R49_Heat Pump</t>
  </si>
  <si>
    <t>ATTIC R19 - R38_Heat Pump</t>
  </si>
  <si>
    <t>ATTIC R19 - R49_Heat Pump</t>
  </si>
  <si>
    <t>WALL R0 - R11_Heat Pump</t>
  </si>
  <si>
    <t>FLOOR R0 - R19_Heat Pump</t>
  </si>
  <si>
    <t>FLOOR R0 - R30_Heat Pump</t>
  </si>
  <si>
    <t>WINDOW CL30 Prime Window Replacement of Single Pane Base_Heat Pump</t>
  </si>
  <si>
    <t>WINDOW CL30 Prime Window Replacement of Double Pane Base_Heat Pump</t>
  </si>
  <si>
    <t>WINDOW CL22 Prime Window Replacement of Single Pane Base_Heat Pump</t>
  </si>
  <si>
    <t>WINDOW CL22 Prime Window Replacement of Double Pane Base_Heat Pump</t>
  </si>
  <si>
    <t>R38max</t>
  </si>
  <si>
    <t>R49max</t>
  </si>
  <si>
    <t>Values</t>
  </si>
  <si>
    <t>CL22</t>
  </si>
  <si>
    <t>CL35</t>
  </si>
  <si>
    <t>Metal</t>
  </si>
  <si>
    <t>Wood-Vinyl-Fiberglass</t>
  </si>
  <si>
    <t>StdFloorInsulation</t>
  </si>
  <si>
    <t>StdFloorInsulationCondition</t>
  </si>
  <si>
    <t>CrawlWallInsulated</t>
  </si>
  <si>
    <t>CrawlWallInsLevel</t>
  </si>
  <si>
    <t>CrawlVentsPresent</t>
  </si>
  <si>
    <t>CrawlVentsBlocked</t>
  </si>
  <si>
    <t>CrawlArea</t>
  </si>
  <si>
    <t>CrawlFraming</t>
  </si>
  <si>
    <t>CrawlJoistSize</t>
  </si>
  <si>
    <t>CrawlMoreInsulation</t>
  </si>
  <si>
    <t>Post and beam</t>
  </si>
  <si>
    <t>False</t>
  </si>
  <si>
    <t>R12-R20</t>
  </si>
  <si>
    <t>2x6</t>
  </si>
  <si>
    <t>True</t>
  </si>
  <si>
    <t>Joist</t>
  </si>
  <si>
    <t>2x10</t>
  </si>
  <si>
    <t>R16-R22</t>
  </si>
  <si>
    <t>R23-R27</t>
  </si>
  <si>
    <t>2x12</t>
  </si>
  <si>
    <t>R28-R35</t>
  </si>
  <si>
    <t>R4-R10</t>
  </si>
  <si>
    <t>None</t>
  </si>
  <si>
    <t>R3-R11</t>
  </si>
  <si>
    <t>2x10 Total</t>
  </si>
  <si>
    <t>2x12 Total</t>
  </si>
  <si>
    <t>2x6 Total</t>
  </si>
  <si>
    <t>2x8 Total</t>
  </si>
  <si>
    <t>at least 2x8, false to R30</t>
  </si>
  <si>
    <t>at least 2x10 True to R30</t>
  </si>
  <si>
    <t>='[7P Forecasts D1.xlsx]Res Forecast (Base Case)'!$D$5</t>
  </si>
  <si>
    <t># HOMES</t>
  </si>
  <si>
    <t>Portion of region</t>
  </si>
  <si>
    <t>Space</t>
  </si>
  <si>
    <t>HZ</t>
  </si>
  <si>
    <t>CONCATENATE</t>
  </si>
  <si>
    <t>Item</t>
  </si>
  <si>
    <t>Methods &amp; Sources</t>
  </si>
  <si>
    <t>Note</t>
  </si>
  <si>
    <t>Measures Described</t>
  </si>
  <si>
    <t>Energy Savings Calculation Basis</t>
  </si>
  <si>
    <t>Applicable Stock</t>
  </si>
  <si>
    <t>Baseline Saturation</t>
  </si>
  <si>
    <t>Permutations</t>
  </si>
  <si>
    <t>Costs</t>
  </si>
  <si>
    <t>Measure Life</t>
  </si>
  <si>
    <t>Savings Shape</t>
  </si>
  <si>
    <t>savingsYear</t>
  </si>
  <si>
    <t>Sector</t>
  </si>
  <si>
    <t>EndUse</t>
  </si>
  <si>
    <t>MeasureCategory</t>
  </si>
  <si>
    <t>MeasureIndex</t>
  </si>
  <si>
    <t>savingsType</t>
  </si>
  <si>
    <t>AchievedKWhBusbar</t>
  </si>
  <si>
    <t>AchievedaMWBusbar</t>
  </si>
  <si>
    <t>Residential</t>
  </si>
  <si>
    <t>Envelope Retro</t>
  </si>
  <si>
    <t>Single Family Weatherization</t>
  </si>
  <si>
    <t>lost opportunity</t>
  </si>
  <si>
    <t>retrofit</t>
  </si>
  <si>
    <t>From 6 going on 7 workbook</t>
  </si>
  <si>
    <t>2012 only</t>
  </si>
  <si>
    <t>Prototype (house size)</t>
  </si>
  <si>
    <t>Wx, etc.</t>
  </si>
  <si>
    <t>Heating System Type</t>
  </si>
  <si>
    <t>Heating Zone 1</t>
  </si>
  <si>
    <t>Heating Zone 2</t>
  </si>
  <si>
    <t>Heating Zone 3</t>
  </si>
  <si>
    <t>Measure:</t>
  </si>
  <si>
    <t>7P Updates</t>
  </si>
  <si>
    <t>Baseline HVAC Loads</t>
  </si>
  <si>
    <t>Achievability Ramp Rate</t>
  </si>
  <si>
    <t>Attic, floor, wall Insulation, window, and infiltration improvements</t>
  </si>
  <si>
    <t>SEEM models</t>
  </si>
  <si>
    <t>RBSA based on existing levels of insulation (grouped)</t>
  </si>
  <si>
    <t>ETO database</t>
  </si>
  <si>
    <t>RTF assumptions</t>
  </si>
  <si>
    <t>Wx programs have had long duration</t>
  </si>
  <si>
    <t>6P used 15yr retro</t>
  </si>
  <si>
    <t>Somewhat new increments based on RTF work</t>
  </si>
  <si>
    <t>Retro or LO</t>
  </si>
  <si>
    <t>Early Retrofit Parameters</t>
  </si>
  <si>
    <t>R or L</t>
  </si>
  <si>
    <t>Savings 2
(kWh)</t>
  </si>
  <si>
    <t>Remaining
Life (yrs)</t>
  </si>
  <si>
    <t>Salvage Value ($)</t>
  </si>
  <si>
    <t>R</t>
  </si>
  <si>
    <t>PROGRAMCODE</t>
  </si>
  <si>
    <t>MEASURECODE</t>
  </si>
  <si>
    <t>MEASUREDESC</t>
  </si>
  <si>
    <t>MEASUREID</t>
  </si>
  <si>
    <t>RECOGNIZEDT</t>
  </si>
  <si>
    <t>KWHANNUAL</t>
  </si>
  <si>
    <t>THERMANNUAL</t>
  </si>
  <si>
    <t>ETOINCENTIVE</t>
  </si>
  <si>
    <t>COSTINSTALL</t>
  </si>
  <si>
    <t>SQ_FT</t>
  </si>
  <si>
    <t>Cost/Sq Ft</t>
  </si>
  <si>
    <t>BEGIN_R</t>
  </si>
  <si>
    <t>END_R</t>
  </si>
  <si>
    <t>Cost/SF/R</t>
  </si>
  <si>
    <t>MHS</t>
  </si>
  <si>
    <t>MFINSCEILE</t>
  </si>
  <si>
    <t>MF Ceiling/Attic Insulation, R-0 to R-18 existing to R-38, Ele H</t>
  </si>
  <si>
    <t>M00000267999</t>
  </si>
  <si>
    <t>M00000268008</t>
  </si>
  <si>
    <t>M00000272198</t>
  </si>
  <si>
    <t>M00000282970</t>
  </si>
  <si>
    <t>M00000291043</t>
  </si>
  <si>
    <t>M00000300596</t>
  </si>
  <si>
    <t>M00000300610</t>
  </si>
  <si>
    <t>M00000301611</t>
  </si>
  <si>
    <t>M00000301995</t>
  </si>
  <si>
    <t>M00000303827</t>
  </si>
  <si>
    <t>M00000303833</t>
  </si>
  <si>
    <t>M00000309425</t>
  </si>
  <si>
    <t>M00000310232</t>
  </si>
  <si>
    <t>M00000314637</t>
  </si>
  <si>
    <t>M00000314813</t>
  </si>
  <si>
    <t>M00000321029</t>
  </si>
  <si>
    <t>M00000321084</t>
  </si>
  <si>
    <t>M00000321869</t>
  </si>
  <si>
    <t>M00000324240</t>
  </si>
  <si>
    <t>M00000325997</t>
  </si>
  <si>
    <t>M00000326010</t>
  </si>
  <si>
    <t>M00000326022</t>
  </si>
  <si>
    <t>M00000327809</t>
  </si>
  <si>
    <t>M00000328112</t>
  </si>
  <si>
    <t>M00000328114</t>
  </si>
  <si>
    <t>M00000328118</t>
  </si>
  <si>
    <t>M00000328122</t>
  </si>
  <si>
    <t>M00000328126</t>
  </si>
  <si>
    <t>M00000328130</t>
  </si>
  <si>
    <t>M00000328134</t>
  </si>
  <si>
    <t>M00000330691</t>
  </si>
  <si>
    <t>M00000331430</t>
  </si>
  <si>
    <t>M00000331478</t>
  </si>
  <si>
    <t>M00000331551</t>
  </si>
  <si>
    <t>M00000331574</t>
  </si>
  <si>
    <t>M00000331715</t>
  </si>
  <si>
    <t>M00000333357</t>
  </si>
  <si>
    <t>M00000339674</t>
  </si>
  <si>
    <t>M00000349919</t>
  </si>
  <si>
    <t>M00000350112</t>
  </si>
  <si>
    <t>M00000350246</t>
  </si>
  <si>
    <t>M00000356991</t>
  </si>
  <si>
    <t>M00000364710</t>
  </si>
  <si>
    <t>M00000371573</t>
  </si>
  <si>
    <t>M00000375608</t>
  </si>
  <si>
    <t>MFINSCEILG</t>
  </si>
  <si>
    <t>MF Ceiling/Attic Insulation, R-0 to R-18 existing to R-38, Gas H</t>
  </si>
  <si>
    <t>M00000277131</t>
  </si>
  <si>
    <t>M00000307682</t>
  </si>
  <si>
    <t>M00000308314</t>
  </si>
  <si>
    <t>M00000327730</t>
  </si>
  <si>
    <t>M00000328106</t>
  </si>
  <si>
    <t>M00000354989</t>
  </si>
  <si>
    <t>M00000356026</t>
  </si>
  <si>
    <t>M00000356036</t>
  </si>
  <si>
    <t>M00000358013</t>
  </si>
  <si>
    <t>M00000363790</t>
  </si>
  <si>
    <t>M00000365376</t>
  </si>
  <si>
    <t>MFINSFLOORE</t>
  </si>
  <si>
    <t>MF Floor Insulation, R-0 to R-11 existing to R-25, Ele Heat</t>
  </si>
  <si>
    <t>M00000276113</t>
  </si>
  <si>
    <t>M00000282961</t>
  </si>
  <si>
    <t>M00000282969</t>
  </si>
  <si>
    <t>M00000291046</t>
  </si>
  <si>
    <t>M00000299124</t>
  </si>
  <si>
    <t>M00000300597</t>
  </si>
  <si>
    <t>M00000300601</t>
  </si>
  <si>
    <t>M00000300611</t>
  </si>
  <si>
    <t>M00000301612</t>
  </si>
  <si>
    <t>M00000301996</t>
  </si>
  <si>
    <t>M00000303825</t>
  </si>
  <si>
    <t>M00000308187</t>
  </si>
  <si>
    <t>M00000309424</t>
  </si>
  <si>
    <t>M00000314814</t>
  </si>
  <si>
    <t>M00000315713</t>
  </si>
  <si>
    <t>M00000321030</t>
  </si>
  <si>
    <t>M00000321085</t>
  </si>
  <si>
    <t>M00000321874</t>
  </si>
  <si>
    <t>M00000323121</t>
  </si>
  <si>
    <t>M00000324241</t>
  </si>
  <si>
    <t>M00000325998</t>
  </si>
  <si>
    <t>M00000326013</t>
  </si>
  <si>
    <t>M00000328111</t>
  </si>
  <si>
    <t>M00000328115</t>
  </si>
  <si>
    <t>M00000328119</t>
  </si>
  <si>
    <t>M00000328123</t>
  </si>
  <si>
    <t>M00000328127</t>
  </si>
  <si>
    <t>M00000328131</t>
  </si>
  <si>
    <t>M00000328135</t>
  </si>
  <si>
    <t>M00000328143</t>
  </si>
  <si>
    <t>M00000328144</t>
  </si>
  <si>
    <t>M00000328146</t>
  </si>
  <si>
    <t>M00000330692</t>
  </si>
  <si>
    <t>M00000331431</t>
  </si>
  <si>
    <t>M00000331550</t>
  </si>
  <si>
    <t>M00000331714</t>
  </si>
  <si>
    <t>M00000333356</t>
  </si>
  <si>
    <t>M00000349581</t>
  </si>
  <si>
    <t>M00000349921</t>
  </si>
  <si>
    <t>M00000350113</t>
  </si>
  <si>
    <t>M00000350247</t>
  </si>
  <si>
    <t>M00000364711</t>
  </si>
  <si>
    <t>MFINSFLOORG</t>
  </si>
  <si>
    <t>MF Floor Insulation, R-0 to R-11 existing to R-25, Gas Heat</t>
  </si>
  <si>
    <t>M00000274213</t>
  </si>
  <si>
    <t>M00000308243</t>
  </si>
  <si>
    <t>M00000308315</t>
  </si>
  <si>
    <t>M00000327731</t>
  </si>
  <si>
    <t>M00000328105</t>
  </si>
  <si>
    <t>MFINSWALLE</t>
  </si>
  <si>
    <t>MF Wall Insulation, R-0 to R-4 existing to R-21, Ele Heat</t>
  </si>
  <si>
    <t>M00000291044</t>
  </si>
  <si>
    <t>M00000300598</t>
  </si>
  <si>
    <t>M00000328152</t>
  </si>
  <si>
    <t>M00000331432</t>
  </si>
  <si>
    <t>M00000331575</t>
  </si>
  <si>
    <t>Cost/SF</t>
  </si>
  <si>
    <t>Mean</t>
  </si>
  <si>
    <t>Median</t>
  </si>
  <si>
    <t>GDP Deflator</t>
  </si>
  <si>
    <t>Incremental R</t>
  </si>
  <si>
    <t>2007$ Cost/SF</t>
  </si>
  <si>
    <t>R19 - R30</t>
  </si>
  <si>
    <t>R30 - R38</t>
  </si>
  <si>
    <t>R38 - R49 Std</t>
  </si>
  <si>
    <t>???</t>
  </si>
  <si>
    <t>R-15</t>
  </si>
  <si>
    <t>2012$ Cost/SF</t>
  </si>
  <si>
    <t>Multi Family Weatherization - Insulate Walls - R-0 to R-11</t>
  </si>
  <si>
    <t>Multi Family Weatherization - Insulate Floors - R-0 to R-19</t>
  </si>
  <si>
    <t>Multi Family Weatherization - Insulate Floors - R-0 to R-30</t>
  </si>
  <si>
    <t>Multi Family Weatherization - Insulate Floors - R-19 to R-30</t>
  </si>
  <si>
    <t>Multi Family Weatherization - Insulate Attic - R-0 to R-19</t>
  </si>
  <si>
    <t>Multi Family Weatherization - Insulate Attic - R-0 to R-38</t>
  </si>
  <si>
    <t>Multi Family Weatherization - Insulate Attic - R-0 to R-49</t>
  </si>
  <si>
    <t>Multi Family Weatherization - Insulate Attic - R-30 to R-38</t>
  </si>
  <si>
    <t>Multi Family Weatherization - Insulate Attic - R-30 to R-49</t>
  </si>
  <si>
    <t>Multi Family Weatherization - Insulate Attic - R-38 to R-49</t>
  </si>
  <si>
    <t>Multi Family Weatherization - Insulate Attic - R-19 to R-30</t>
  </si>
  <si>
    <t>Multi Family Weatherization - Insulate Attic - R-19 to R-38</t>
  </si>
  <si>
    <t>Multi Family Weatherization - Insulate Attic - R-19 to R-49</t>
  </si>
  <si>
    <t>Windows - Single Pane to Class 22</t>
  </si>
  <si>
    <t>Windows - Double Pane to Class 22</t>
  </si>
  <si>
    <t>Windows - Single Pane to Class 30</t>
  </si>
  <si>
    <t>Windows - Double Pane to Class 30</t>
  </si>
  <si>
    <t>Windows - Class 35 to Class 30</t>
  </si>
  <si>
    <t>Windows - Class 35 to Class 22</t>
  </si>
  <si>
    <t>Savings Per Sq. Ft. by Heating Zone</t>
  </si>
  <si>
    <t>Multi Family Weatherization - Insulate Walls - R-0 to R-11 (Cost and Savings per square foot of component) - Average Heating System - Heating Zone 1</t>
  </si>
  <si>
    <t xml:space="preserve">  Weighted to Avg House Size</t>
  </si>
  <si>
    <t>Multi Family Weatherization - Insulate Walls - R-0 to R-11 - Heating Zone 1</t>
  </si>
  <si>
    <t>Infiltration Reduction - 0.1 ACHn reduction - Heating Zone 1 (Average Heating System)</t>
  </si>
  <si>
    <t>SAVINGS (kWh/yr/unit)</t>
  </si>
  <si>
    <t>measure ID</t>
  </si>
  <si>
    <t>Measure Type</t>
  </si>
  <si>
    <t>MeasureTypeNumber</t>
  </si>
  <si>
    <t>Pre</t>
  </si>
  <si>
    <t>Post</t>
  </si>
  <si>
    <t>Climate</t>
  </si>
  <si>
    <t>Heating</t>
  </si>
  <si>
    <t>Cooling</t>
  </si>
  <si>
    <t>Multi Family Weatherization - Insulate Walls - R-0 to R-11 - Heating Zone 1 (Average Heating System)</t>
  </si>
  <si>
    <t>Walls10</t>
  </si>
  <si>
    <t>Walls</t>
  </si>
  <si>
    <t>R-0</t>
  </si>
  <si>
    <t>R-11</t>
  </si>
  <si>
    <t>Average Heating System</t>
  </si>
  <si>
    <t>Multi Family Weatherization - Insulate BGWalls - R-0 to R-11 - Heating Zone 1 (Average Heating System)</t>
  </si>
  <si>
    <t>BGWal10</t>
  </si>
  <si>
    <t>BGWalls10</t>
  </si>
  <si>
    <t>BGWalls</t>
  </si>
  <si>
    <t>Multi Family Weatherization - Insulate Floors - R-0 to R-19 - Heating Zone 1 (Average Heating System)</t>
  </si>
  <si>
    <t>Floor10</t>
  </si>
  <si>
    <t>Floors10</t>
  </si>
  <si>
    <t>Floors</t>
  </si>
  <si>
    <t>R-19</t>
  </si>
  <si>
    <t>Areas (units)</t>
  </si>
  <si>
    <t>Ceiling</t>
  </si>
  <si>
    <t>DuctTightness</t>
  </si>
  <si>
    <t>DuctInsulation</t>
  </si>
  <si>
    <t>HeatPump</t>
  </si>
  <si>
    <t>HPCntrls</t>
  </si>
  <si>
    <t>Multi Family Weatherization - Insulate Floors - R-0 to R-25 - Heating Zone 1 (Average Heating System)</t>
  </si>
  <si>
    <t>Floor11</t>
  </si>
  <si>
    <t>Floors11</t>
  </si>
  <si>
    <t>R-25</t>
  </si>
  <si>
    <t>Multi Family Weatherization - Insulate Floors - R-0 to R-30 - Heating Zone 1 (Average Heating System)</t>
  </si>
  <si>
    <t>Floor12</t>
  </si>
  <si>
    <t>Floors12</t>
  </si>
  <si>
    <t>R-30</t>
  </si>
  <si>
    <t>Multi Family Weatherization - Insulate Floors - R-0 to R-38 - Heating Zone 1 (Average Heating System)</t>
  </si>
  <si>
    <t>Floor13</t>
  </si>
  <si>
    <t>Floors13</t>
  </si>
  <si>
    <t>R-38</t>
  </si>
  <si>
    <t>Multi Family Weatherization - Insulate Floors - R-19 to R-25 - Heating Zone 1 (Average Heating System)</t>
  </si>
  <si>
    <t>Floor14</t>
  </si>
  <si>
    <t>Floors14</t>
  </si>
  <si>
    <t>Average</t>
  </si>
  <si>
    <t>Multi Family Weatherization - Insulate Floors - R-19 to R-30 - Heating Zone 1 (Average Heating System)</t>
  </si>
  <si>
    <t>Floor15</t>
  </si>
  <si>
    <t>Floors15</t>
  </si>
  <si>
    <t>Multi Family Weatherization - Insulate Floors - R-19 to R-38 - Heating Zone 1 (Average Heating System)</t>
  </si>
  <si>
    <t>Floor16</t>
  </si>
  <si>
    <t>Floors16</t>
  </si>
  <si>
    <t>Multi Family Weatherization - Insulate Floors - R-11 to R-30 - Heating Zone 1 (Average Heating System)</t>
  </si>
  <si>
    <t>Floor17</t>
  </si>
  <si>
    <t>Floors17</t>
  </si>
  <si>
    <t>Floor18</t>
  </si>
  <si>
    <t>Floors18</t>
  </si>
  <si>
    <t>Multi Family Weatherization - Insulate Attic - R-0 to R-19 - Heating Zone 1 (Average Heating System)</t>
  </si>
  <si>
    <t>Ceili10</t>
  </si>
  <si>
    <t>Ceiling10</t>
  </si>
  <si>
    <t>Multi Family Weatherization - Insulate Attic - R-0 to R-38 - Heating Zone 1 (Average Heating System)</t>
  </si>
  <si>
    <t>Ceili11</t>
  </si>
  <si>
    <t>Ceiling11</t>
  </si>
  <si>
    <t>Multi Family Weatherization - Insulate Attic - R-0 to R-49 - Heating Zone 1 (Average Heating System)</t>
  </si>
  <si>
    <t>Ceili12</t>
  </si>
  <si>
    <t>Ceiling12</t>
  </si>
  <si>
    <t>R-49</t>
  </si>
  <si>
    <t>Multi Family Weatherization - Insulate Attic - R-30 to R-38 - Heating Zone 1 (Average Heating System)</t>
  </si>
  <si>
    <t>Ceili13</t>
  </si>
  <si>
    <t>Ceiling13</t>
  </si>
  <si>
    <t>Multi Family Weatherization - Insulate Attic - R-30 to R-49 - Heating Zone 1 (Average Heating System)</t>
  </si>
  <si>
    <t>Ceili14</t>
  </si>
  <si>
    <t>Ceiling14</t>
  </si>
  <si>
    <t>Multi Family Weatherization - Insulate Attic - R-19 to R-30 - Heating Zone 1 (Average Heating System)</t>
  </si>
  <si>
    <t>Ceili15</t>
  </si>
  <si>
    <t>Ceiling15</t>
  </si>
  <si>
    <t>Multi Family Weatherization - Insulate Attic - R-19 to R-38 - Heating Zone 1 (Average Heating System)</t>
  </si>
  <si>
    <t>Ceili16</t>
  </si>
  <si>
    <t>Ceiling16</t>
  </si>
  <si>
    <t>Multi Family Weatherization - Insulate Attic - R-19 to R-49 - Heating Zone 1 (Average Heating System)</t>
  </si>
  <si>
    <t>Ceili17</t>
  </si>
  <si>
    <t>Ceiling17</t>
  </si>
  <si>
    <t>Multi Family Weatherization - Insulate Attic - R-38 to R-49 - Heating Zone 1 (Average Heating System)</t>
  </si>
  <si>
    <t>Ceili18</t>
  </si>
  <si>
    <t>Ceiling18</t>
  </si>
  <si>
    <t>Windows - Class 85 to Class 35 - Heating Zone 1 (Average Heating System)</t>
  </si>
  <si>
    <t>Windo10</t>
  </si>
  <si>
    <t>Windows10</t>
  </si>
  <si>
    <t>Class 85</t>
  </si>
  <si>
    <t>Class 35</t>
  </si>
  <si>
    <t>Windows - Class 85 to Class 30 - Heating Zone 1 (Average Heating System)</t>
  </si>
  <si>
    <t>Windo11</t>
  </si>
  <si>
    <t>Windows11</t>
  </si>
  <si>
    <t>Class 30</t>
  </si>
  <si>
    <t>Windows - Class 85 to Class 25 - Heating Zone 1 (Average Heating System)</t>
  </si>
  <si>
    <t>Windo12</t>
  </si>
  <si>
    <t>Windows12</t>
  </si>
  <si>
    <t>Class 25</t>
  </si>
  <si>
    <t>Windows - Class 85 to Class 20 - Heating Zone 1 (Average Heating System)</t>
  </si>
  <si>
    <t>Windo13</t>
  </si>
  <si>
    <t>Windows13</t>
  </si>
  <si>
    <t>Class 20</t>
  </si>
  <si>
    <t>Windows - Class 85 to Class 15 - Heating Zone 1 (Average Heating System)</t>
  </si>
  <si>
    <t>Windo14</t>
  </si>
  <si>
    <t>Windows14</t>
  </si>
  <si>
    <t>Class 15</t>
  </si>
  <si>
    <t>Windows - Class 50 to Class 35 - Heating Zone 1 (Average Heating System)</t>
  </si>
  <si>
    <t>Windo15</t>
  </si>
  <si>
    <t>Windows15</t>
  </si>
  <si>
    <t>Class 50</t>
  </si>
  <si>
    <t>Windows - Class 50 to Class 30 - Heating Zone 1 (Average Heating System)</t>
  </si>
  <si>
    <t>Windo16</t>
  </si>
  <si>
    <t>Windows16</t>
  </si>
  <si>
    <t>Windows - Class 50 to Class 25 - Heating Zone 1 (Average Heating System)</t>
  </si>
  <si>
    <t>Windo17</t>
  </si>
  <si>
    <t>Windows17</t>
  </si>
  <si>
    <t>Windows - Class 50 to Class 20 - Heating Zone 1 (Average Heating System)</t>
  </si>
  <si>
    <t>Windo18</t>
  </si>
  <si>
    <t>Windows18</t>
  </si>
  <si>
    <t>Windows - Class 35 to Class 22 - Heating Zone 1 (Average Heating System)</t>
  </si>
  <si>
    <t>Windo19</t>
  </si>
  <si>
    <t>Windows19</t>
  </si>
  <si>
    <t>Class 22</t>
  </si>
  <si>
    <t>Windows - Single Pane to Class 22 - Heating Zone 1 (Average Heating System)</t>
  </si>
  <si>
    <t>Windo20</t>
  </si>
  <si>
    <t>Windows20</t>
  </si>
  <si>
    <t>Single Pane</t>
  </si>
  <si>
    <t>Windows - Double Pane to Class 22 - Heating Zone 1 (Average Heating System)</t>
  </si>
  <si>
    <t>Windo21</t>
  </si>
  <si>
    <t>Windows21</t>
  </si>
  <si>
    <t>Double Pane</t>
  </si>
  <si>
    <t>Windows - Single Pane to Class 30 - Heating Zone 1 (Average Heating System)</t>
  </si>
  <si>
    <t>Windo22</t>
  </si>
  <si>
    <t>Windows22</t>
  </si>
  <si>
    <t>Windows - Double Pane to Class 30 - Heating Zone 1 (Average Heating System)</t>
  </si>
  <si>
    <t>Windo23</t>
  </si>
  <si>
    <t>Windows23</t>
  </si>
  <si>
    <t>Windows - Class 35 to Class 30 - Heating Zone 1 (Average Heating System)</t>
  </si>
  <si>
    <t>Windo24</t>
  </si>
  <si>
    <t>Windows24</t>
  </si>
  <si>
    <t>Infil10</t>
  </si>
  <si>
    <t>Infiltration10</t>
  </si>
  <si>
    <t>0.45 ACHn</t>
  </si>
  <si>
    <t>Infiltration Reduction - 0.45 ACHn to 0.20 ACHn - Heating Zone 1 (Average Heating System)</t>
  </si>
  <si>
    <t>Infil11</t>
  </si>
  <si>
    <t>Infiltration11</t>
  </si>
  <si>
    <t>0.20 ACHn</t>
  </si>
  <si>
    <t>Infiltration Reduction - 0.35 ACHn to 0.20 ACHn - Heating Zone 1 (Average Heating System)</t>
  </si>
  <si>
    <t>Infil12</t>
  </si>
  <si>
    <t>Infiltration12</t>
  </si>
  <si>
    <t>DuctTightness - Std-crawl to PTCS-crawl - Heating Zone 1 (Average Heating System)</t>
  </si>
  <si>
    <t>DuctT10</t>
  </si>
  <si>
    <t>DuctTightness10</t>
  </si>
  <si>
    <t>Std-crawl</t>
  </si>
  <si>
    <t>PTCS-crawl</t>
  </si>
  <si>
    <t>DuctInsulation - R-0 to R-4.2 - Heating Zone 1 (Average Heating System)</t>
  </si>
  <si>
    <t>DuctI10</t>
  </si>
  <si>
    <t>DuctInsulation10</t>
  </si>
  <si>
    <t>R-4.2</t>
  </si>
  <si>
    <t>DuctInsulation - R-0 to R-11 - Heating Zone 1 (Average Heating System)</t>
  </si>
  <si>
    <t>DuctI11</t>
  </si>
  <si>
    <t>DuctInsulation11</t>
  </si>
  <si>
    <t>DuctInsulation - R-4.2 to R-11 - Heating Zone 1 (Average Heating System)</t>
  </si>
  <si>
    <t>DuctI12</t>
  </si>
  <si>
    <t>DuctInsulation12</t>
  </si>
  <si>
    <t>HeatPump Upgrade - 7.7/13 to 8.5/13 - Heating Zone 1 (Average Heating System)</t>
  </si>
  <si>
    <t>HeatP10</t>
  </si>
  <si>
    <t>HeatPump10</t>
  </si>
  <si>
    <t>7.7/13</t>
  </si>
  <si>
    <t>8.5/13</t>
  </si>
  <si>
    <t>HeatPump Upgrade - 7.7/13 to 9.0/14 - Heating Zone 1 (Average Heating System)</t>
  </si>
  <si>
    <t>HeatP11</t>
  </si>
  <si>
    <t>HeatPump11</t>
  </si>
  <si>
    <t>9.0/14</t>
  </si>
  <si>
    <t>HeatPump Upgrade - 7.7/13 to 8.2/13 - Heating Zone 1 (Average Heating System)</t>
  </si>
  <si>
    <t>HeatP12</t>
  </si>
  <si>
    <t>HeatPump12</t>
  </si>
  <si>
    <t>8.2/13</t>
  </si>
  <si>
    <t>HPCntrls Upgrade - Standard to PTCS - Heating Zone 1 (Average Heating System)</t>
  </si>
  <si>
    <t>HPCnt10</t>
  </si>
  <si>
    <t>HPCntrls10</t>
  </si>
  <si>
    <t>Standard</t>
  </si>
  <si>
    <t>Multi Family Weatherization - Insulate Walls - R-0 to R-11 - Heating Zone 2 (Average Heating System)</t>
  </si>
  <si>
    <t>Multi Family Weatherization - Insulate BGWalls - R-0 to R-11 - Heating Zone 2 (Average Heating System)</t>
  </si>
  <si>
    <t>Multi Family Weatherization - Insulate Floors - R-0 to R-19 - Heating Zone 2 (Average Heating System)</t>
  </si>
  <si>
    <t>Multi Family Weatherization - Insulate Floors - R-0 to R-25 - Heating Zone 2 (Average Heating System)</t>
  </si>
  <si>
    <t>Multi Family Weatherization - Insulate Floors - R-0 to R-30 - Heating Zone 2 (Average Heating System)</t>
  </si>
  <si>
    <t>Multi Family Weatherization - Insulate Floors - R-0 to R-38 - Heating Zone 2 (Average Heating System)</t>
  </si>
  <si>
    <t>Multi Family Weatherization - Insulate Floors - R-19 to R-25 - Heating Zone 2 (Average Heating System)</t>
  </si>
  <si>
    <t>Multi Family Weatherization - Insulate Floors - R-19 to R-30 - Heating Zone 2 (Average Heating System)</t>
  </si>
  <si>
    <t>Multi Family Weatherization - Insulate Floors - R-19 to R-38 - Heating Zone 2 (Average Heating System)</t>
  </si>
  <si>
    <t>Multi Family Weatherization - Insulate Floors - R-11 to R-30 - Heating Zone 2 (Average Heating System)</t>
  </si>
  <si>
    <t>Multi Family Weatherization - Insulate Attic - R-0 to R-19 - Heating Zone 2 (Average Heating System)</t>
  </si>
  <si>
    <t>Multi Family Weatherization - Insulate Attic - R-0 to R-38 - Heating Zone 2 (Average Heating System)</t>
  </si>
  <si>
    <t>Multi Family Weatherization - Insulate Attic - R-0 to R-49 - Heating Zone 2 (Average Heating System)</t>
  </si>
  <si>
    <t>Multi Family Weatherization - Insulate Attic - R-30 to R-38 - Heating Zone 2 (Average Heating System)</t>
  </si>
  <si>
    <t>Multi Family Weatherization - Insulate Attic - R-30 to R-49 - Heating Zone 2 (Average Heating System)</t>
  </si>
  <si>
    <t>Multi Family Weatherization - Insulate Attic - R-19 to R-30 - Heating Zone 2 (Average Heating System)</t>
  </si>
  <si>
    <t>Multi Family Weatherization - Insulate Attic - R-19 to R-38 - Heating Zone 2 (Average Heating System)</t>
  </si>
  <si>
    <t>Multi Family Weatherization - Insulate Attic - R-19 to R-49 - Heating Zone 2 (Average Heating System)</t>
  </si>
  <si>
    <t>Multi Family Weatherization - Insulate Attic - R-38 to R-49 - Heating Zone 2 (Average Heating System)</t>
  </si>
  <si>
    <t>Windows - Class 85 to Class 35 - Heating Zone 2 (Average Heating System)</t>
  </si>
  <si>
    <t>Windows - Class 85 to Class 30 - Heating Zone 2 (Average Heating System)</t>
  </si>
  <si>
    <t>Windows - Class 85 to Class 25 - Heating Zone 2 (Average Heating System)</t>
  </si>
  <si>
    <t>Windows - Class 85 to Class 20 - Heating Zone 2 (Average Heating System)</t>
  </si>
  <si>
    <t>Windows - Class 85 to Class 15 - Heating Zone 2 (Average Heating System)</t>
  </si>
  <si>
    <t>Windows - Class 50 to Class 35 - Heating Zone 2 (Average Heating System)</t>
  </si>
  <si>
    <t>Windows - Class 50 to Class 30 - Heating Zone 2 (Average Heating System)</t>
  </si>
  <si>
    <t>Windows - Class 50 to Class 25 - Heating Zone 2 (Average Heating System)</t>
  </si>
  <si>
    <t>Windows - Class 50 to Class 20 - Heating Zone 2 (Average Heating System)</t>
  </si>
  <si>
    <t>Windows - Class 35 to Class 22 - Heating Zone 2 (Average Heating System)</t>
  </si>
  <si>
    <t>Windows - Single Pane to Class 22 - Heating Zone 2 (Average Heating System)</t>
  </si>
  <si>
    <t>Windows - Double Pane to Class 22 - Heating Zone 2 (Average Heating System)</t>
  </si>
  <si>
    <t>Windows - Single Pane to Class 30 - Heating Zone 2 (Average Heating System)</t>
  </si>
  <si>
    <t>Windows - Double Pane to Class 30 - Heating Zone 2 (Average Heating System)</t>
  </si>
  <si>
    <t>Windows - Class 35 to Class 30 - Heating Zone 2 (Average Heating System)</t>
  </si>
  <si>
    <t>Infiltration Reduction - 0.1 ACHn reduction - Heating Zone 2 (Average Heating System)</t>
  </si>
  <si>
    <t>Infiltration Reduction - 0.45 ACHn to 0.20 ACHn - Heating Zone 2 (Average Heating System)</t>
  </si>
  <si>
    <t>Infiltration Reduction - 0.35 ACHn to 0.20 ACHn - Heating Zone 2 (Average Heating System)</t>
  </si>
  <si>
    <t>DuctTightness - Std-crawl to PTCS-crawl - Heating Zone 2 (Average Heating System)</t>
  </si>
  <si>
    <t>DuctInsulation - R-0 to R-4.2 - Heating Zone 2 (Average Heating System)</t>
  </si>
  <si>
    <t>DuctInsulation - R-0 to R-11 - Heating Zone 2 (Average Heating System)</t>
  </si>
  <si>
    <t>DuctInsulation - R-4.2 to R-11 - Heating Zone 2 (Average Heating System)</t>
  </si>
  <si>
    <t>HeatPump Upgrade - 7.7/13 to 8.5/13 - Heating Zone 2 (Average Heating System)</t>
  </si>
  <si>
    <t>HeatPump Upgrade - 7.7/13 to 9.0/14 - Heating Zone 2 (Average Heating System)</t>
  </si>
  <si>
    <t>HeatPump Upgrade - 7.7/13 to 8.2/13 - Heating Zone 2 (Average Heating System)</t>
  </si>
  <si>
    <t>HPCntrls Upgrade - Standard to PTCS - Heating Zone 2 (Average Heating System)</t>
  </si>
  <si>
    <t>Multi Family Weatherization - Insulate Walls - R-0 to R-11 - Heating Zone 3 (Average Heating System)</t>
  </si>
  <si>
    <t>Multi Family Weatherization - Insulate BGWalls - R-0 to R-11 - Heating Zone 3 (Average Heating System)</t>
  </si>
  <si>
    <t>Multi Family Weatherization - Insulate Floors - R-0 to R-19 - Heating Zone 3 (Average Heating System)</t>
  </si>
  <si>
    <t>Multi Family Weatherization - Insulate Floors - R-0 to R-25 - Heating Zone 3 (Average Heating System)</t>
  </si>
  <si>
    <t>Multi Family Weatherization - Insulate Floors - R-0 to R-30 - Heating Zone 3 (Average Heating System)</t>
  </si>
  <si>
    <t>Multi Family Weatherization - Insulate Floors - R-0 to R-38 - Heating Zone 3 (Average Heating System)</t>
  </si>
  <si>
    <t>Multi Family Weatherization - Insulate Floors - R-19 to R-25 - Heating Zone 3 (Average Heating System)</t>
  </si>
  <si>
    <t>Multi Family Weatherization - Insulate Floors - R-19 to R-30 - Heating Zone 3 (Average Heating System)</t>
  </si>
  <si>
    <t>Multi Family Weatherization - Insulate Floors - R-19 to R-38 - Heating Zone 3 (Average Heating System)</t>
  </si>
  <si>
    <t>Multi Family Weatherization - Insulate Floors - R-11 to R-30 - Heating Zone 3 (Average Heating System)</t>
  </si>
  <si>
    <t>Multi Family Weatherization - Insulate Attic - R-0 to R-19 - Heating Zone 3 (Average Heating System)</t>
  </si>
  <si>
    <t>Multi Family Weatherization - Insulate Attic - R-0 to R-38 - Heating Zone 3 (Average Heating System)</t>
  </si>
  <si>
    <t>Multi Family Weatherization - Insulate Attic - R-0 to R-49 - Heating Zone 3 (Average Heating System)</t>
  </si>
  <si>
    <t>Multi Family Weatherization - Insulate Attic - R-30 to R-38 - Heating Zone 3 (Average Heating System)</t>
  </si>
  <si>
    <t>Multi Family Weatherization - Insulate Attic - R-30 to R-49 - Heating Zone 3 (Average Heating System)</t>
  </si>
  <si>
    <t>Multi Family Weatherization - Insulate Attic - R-19 to R-30 - Heating Zone 3 (Average Heating System)</t>
  </si>
  <si>
    <t>Multi Family Weatherization - Insulate Attic - R-19 to R-38 - Heating Zone 3 (Average Heating System)</t>
  </si>
  <si>
    <t>Multi Family Weatherization - Insulate Attic - R-19 to R-49 - Heating Zone 3 (Average Heating System)</t>
  </si>
  <si>
    <t>Multi Family Weatherization - Insulate Attic - R-38 to R-49 - Heating Zone 3 (Average Heating System)</t>
  </si>
  <si>
    <t>Windows - Class 85 to Class 35 - Heating Zone 3 (Average Heating System)</t>
  </si>
  <si>
    <t>Windows - Class 85 to Class 30 - Heating Zone 3 (Average Heating System)</t>
  </si>
  <si>
    <t>Windows - Class 85 to Class 25 - Heating Zone 3 (Average Heating System)</t>
  </si>
  <si>
    <t>Windows - Class 85 to Class 20 - Heating Zone 3 (Average Heating System)</t>
  </si>
  <si>
    <t>Windows - Class 85 to Class 15 - Heating Zone 3 (Average Heating System)</t>
  </si>
  <si>
    <t>Windows - Class 50 to Class 35 - Heating Zone 3 (Average Heating System)</t>
  </si>
  <si>
    <t>Windows - Class 50 to Class 30 - Heating Zone 3 (Average Heating System)</t>
  </si>
  <si>
    <t>Windows - Class 50 to Class 25 - Heating Zone 3 (Average Heating System)</t>
  </si>
  <si>
    <t>Windows - Class 50 to Class 20 - Heating Zone 3 (Average Heating System)</t>
  </si>
  <si>
    <t>Windows - Class 35 to Class 22 - Heating Zone 3 (Average Heating System)</t>
  </si>
  <si>
    <t>Windows - Single Pane to Class 22 - Heating Zone 3 (Average Heating System)</t>
  </si>
  <si>
    <t>Windows - Double Pane to Class 22 - Heating Zone 3 (Average Heating System)</t>
  </si>
  <si>
    <t>Windows - Single Pane to Class 30 - Heating Zone 3 (Average Heating System)</t>
  </si>
  <si>
    <t>Windows - Double Pane to Class 30 - Heating Zone 3 (Average Heating System)</t>
  </si>
  <si>
    <t>Windows - Class 35 to Class 30 - Heating Zone 3 (Average Heating System)</t>
  </si>
  <si>
    <t>Infiltration Reduction - 0.1 ACHn reduction - Heating Zone 3 (Average Heating System)</t>
  </si>
  <si>
    <t>Infiltration Reduction - 0.45 ACHn to 0.20 ACHn - Heating Zone 3 (Average Heating System)</t>
  </si>
  <si>
    <t>Infiltration Reduction - 0.35 ACHn to 0.20 ACHn - Heating Zone 3 (Average Heating System)</t>
  </si>
  <si>
    <t>DuctTightness - Std-crawl to PTCS-crawl - Heating Zone 3 (Average Heating System)</t>
  </si>
  <si>
    <t>DuctInsulation - R-0 to R-4.2 - Heating Zone 3 (Average Heating System)</t>
  </si>
  <si>
    <t>DuctInsulation - R-0 to R-11 - Heating Zone 3 (Average Heating System)</t>
  </si>
  <si>
    <t>DuctInsulation - R-4.2 to R-11 - Heating Zone 3 (Average Heating System)</t>
  </si>
  <si>
    <t>HeatPump Upgrade - 7.7/13 to 8.5/13 - Heating Zone 3 (Average Heating System)</t>
  </si>
  <si>
    <t>HeatPump Upgrade - 7.7/13 to 9.0/14 - Heating Zone 3 (Average Heating System)</t>
  </si>
  <si>
    <t>HeatPump Upgrade - 7.7/13 to 8.2/13 - Heating Zone 3 (Average Heating System)</t>
  </si>
  <si>
    <t>HPCntrls Upgrade - Standard to PTCS - Heating Zone 3 (Average Heating System)</t>
  </si>
  <si>
    <t>Multi Family Weatherization - Insulate Walls - R-0 to R-11 - Heating Zone 1 (Zonal Heating System)</t>
  </si>
  <si>
    <t>Zonal Heating System</t>
  </si>
  <si>
    <t>Multi Family Weatherization - Insulate BGWalls - R-0 to R-11 - Heating Zone 1 (Zonal Heating System)</t>
  </si>
  <si>
    <t>Multi Family Weatherization - Insulate Floors - R-0 to R-19 - Heating Zone 1 (Zonal Heating System)</t>
  </si>
  <si>
    <t>Multi Family Weatherization - Insulate Floors - R-0 to R-25 - Heating Zone 1 (Zonal Heating System)</t>
  </si>
  <si>
    <t>Multi Family Weatherization - Insulate Floors - R-0 to R-30 - Heating Zone 1 (Zonal Heating System)</t>
  </si>
  <si>
    <t>Multi Family Weatherization - Insulate Floors - R-0 to R-38 - Heating Zone 1 (Zonal Heating System)</t>
  </si>
  <si>
    <t>Multi Family Weatherization - Insulate Floors - R-19 to R-25 - Heating Zone 1 (Zonal Heating System)</t>
  </si>
  <si>
    <t>Multi Family Weatherization - Insulate Floors - R-19 to R-30 - Heating Zone 1 (Zonal Heating System)</t>
  </si>
  <si>
    <t>Multi Family Weatherization - Insulate Floors - R-19 to R-38 - Heating Zone 1 (Zonal Heating System)</t>
  </si>
  <si>
    <t>Multi Family Weatherization - Insulate Floors - R-11 to R-30 - Heating Zone 1 (Zonal Heating System)</t>
  </si>
  <si>
    <t>Multi Family Weatherization - Insulate Attic - R-0 to R-19 - Heating Zone 1 (Zonal Heating System)</t>
  </si>
  <si>
    <t>Multi Family Weatherization - Insulate Attic - R-0 to R-38 - Heating Zone 1 (Zonal Heating System)</t>
  </si>
  <si>
    <t>Multi Family Weatherization - Insulate Attic - R-0 to R-49 - Heating Zone 1 (Zonal Heating System)</t>
  </si>
  <si>
    <t>Multi Family Weatherization - Insulate Attic - R-30 to R-38 - Heating Zone 1 (Zonal Heating System)</t>
  </si>
  <si>
    <t>Multi Family Weatherization - Insulate Attic - R-30 to R-49 - Heating Zone 1 (Zonal Heating System)</t>
  </si>
  <si>
    <t>Multi Family Weatherization - Insulate Attic - R-19 to R-30 - Heating Zone 1 (Zonal Heating System)</t>
  </si>
  <si>
    <t>Multi Family Weatherization - Insulate Attic - R-19 to R-38 - Heating Zone 1 (Zonal Heating System)</t>
  </si>
  <si>
    <t>Multi Family Weatherization - Insulate Attic - R-19 to R-49 - Heating Zone 1 (Zonal Heating System)</t>
  </si>
  <si>
    <t>Multi Family Weatherization - Insulate Attic - R-38 to R-49 - Heating Zone 1 (Zonal Heating System)</t>
  </si>
  <si>
    <t>Windows - Class 85 to Class 35 - Heating Zone 1 (Zonal Heating System)</t>
  </si>
  <si>
    <t>Windows - Class 85 to Class 30 - Heating Zone 1 (Zonal Heating System)</t>
  </si>
  <si>
    <t>Windows - Class 85 to Class 25 - Heating Zone 1 (Zonal Heating System)</t>
  </si>
  <si>
    <t>Windows - Class 85 to Class 20 - Heating Zone 1 (Zonal Heating System)</t>
  </si>
  <si>
    <t>Windows - Class 85 to Class 15 - Heating Zone 1 (Zonal Heating System)</t>
  </si>
  <si>
    <t>Windows - Class 50 to Class 35 - Heating Zone 1 (Zonal Heating System)</t>
  </si>
  <si>
    <t>Windows - Class 50 to Class 30 - Heating Zone 1 (Zonal Heating System)</t>
  </si>
  <si>
    <t>Windows - Class 50 to Class 25 - Heating Zone 1 (Zonal Heating System)</t>
  </si>
  <si>
    <t>Windows - Class 50 to Class 20 - Heating Zone 1 (Zonal Heating System)</t>
  </si>
  <si>
    <t>Windows - Class 35 to Class 22 - Heating Zone 1 (Zonal Heating System)</t>
  </si>
  <si>
    <t>Windows - Single Pane to Class 22 - Heating Zone 1 (Zonal Heating System)</t>
  </si>
  <si>
    <t>Windows - Double Pane to Class 22 - Heating Zone 1 (Zonal Heating System)</t>
  </si>
  <si>
    <t>Windows - Single Pane to Class 30 - Heating Zone 1 (Zonal Heating System)</t>
  </si>
  <si>
    <t>Windows - Double Pane to Class 30 - Heating Zone 1 (Zonal Heating System)</t>
  </si>
  <si>
    <t>Windows - Class 35 to Class 30 - Heating Zone 1 (Zonal Heating System)</t>
  </si>
  <si>
    <t>Infiltration Reduction - 0.1 ACHn reduction - Heating Zone 1 (Zonal Heating System)</t>
  </si>
  <si>
    <t>Infiltration Reduction - 0.45 ACHn to 0.20 ACHn - Heating Zone 1 (Zonal Heating System)</t>
  </si>
  <si>
    <t>Infiltration Reduction - 0.35 ACHn to 0.20 ACHn - Heating Zone 1 (Zonal Heating System)</t>
  </si>
  <si>
    <t>DuctTightness - Std-crawl to PTCS-crawl - Heating Zone 1 (Zonal Heating System)</t>
  </si>
  <si>
    <t>DuctInsulation - R-0 to R-4.2 - Heating Zone 1 (Zonal Heating System)</t>
  </si>
  <si>
    <t>DuctInsulation - R-0 to R-11 - Heating Zone 1 (Zonal Heating System)</t>
  </si>
  <si>
    <t>DuctInsulation - R-4.2 to R-11 - Heating Zone 1 (Zonal Heating System)</t>
  </si>
  <si>
    <t>HeatPump Upgrade - 7.7/13 to 8.5/13 - Heating Zone 1 (Zonal Heating System)</t>
  </si>
  <si>
    <t>HeatPump Upgrade - 7.7/13 to 9.0/14 - Heating Zone 1 (Zonal Heating System)</t>
  </si>
  <si>
    <t>HeatPump Upgrade - 7.7/13 to 8.2/13 - Heating Zone 1 (Zonal Heating System)</t>
  </si>
  <si>
    <t>HPCntrls Upgrade - Standard to PTCS - Heating Zone 1 (Zonal Heating System)</t>
  </si>
  <si>
    <t>Multi Family Weatherization - Insulate Walls - R-0 to R-11 - Heating Zone 2 (Zonal Heating System)</t>
  </si>
  <si>
    <t>Multi Family Weatherization - Insulate BGWalls - R-0 to R-11 - Heating Zone 2 (Zonal Heating System)</t>
  </si>
  <si>
    <t>Multi Family Weatherization - Insulate Floors - R-0 to R-19 - Heating Zone 2 (Zonal Heating System)</t>
  </si>
  <si>
    <t>Multi Family Weatherization - Insulate Floors - R-0 to R-25 - Heating Zone 2 (Zonal Heating System)</t>
  </si>
  <si>
    <t>Multi Family Weatherization - Insulate Floors - R-0 to R-30 - Heating Zone 2 (Zonal Heating System)</t>
  </si>
  <si>
    <t>Multi Family Weatherization - Insulate Floors - R-0 to R-38 - Heating Zone 2 (Zonal Heating System)</t>
  </si>
  <si>
    <t>Multi Family Weatherization - Insulate Floors - R-19 to R-25 - Heating Zone 2 (Zonal Heating System)</t>
  </si>
  <si>
    <t>Multi Family Weatherization - Insulate Floors - R-19 to R-30 - Heating Zone 2 (Zonal Heating System)</t>
  </si>
  <si>
    <t>Multi Family Weatherization - Insulate Floors - R-19 to R-38 - Heating Zone 2 (Zonal Heating System)</t>
  </si>
  <si>
    <t>Multi Family Weatherization - Insulate Floors - R-11 to R-30 - Heating Zone 2 (Zonal Heating System)</t>
  </si>
  <si>
    <t>Multi Family Weatherization - Insulate Attic - R-0 to R-19 - Heating Zone 2 (Zonal Heating System)</t>
  </si>
  <si>
    <t>Multi Family Weatherization - Insulate Attic - R-0 to R-38 - Heating Zone 2 (Zonal Heating System)</t>
  </si>
  <si>
    <t>Multi Family Weatherization - Insulate Attic - R-0 to R-49 - Heating Zone 2 (Zonal Heating System)</t>
  </si>
  <si>
    <t>Multi Family Weatherization - Insulate Attic - R-30 to R-38 - Heating Zone 2 (Zonal Heating System)</t>
  </si>
  <si>
    <t>Multi Family Weatherization - Insulate Attic - R-30 to R-49 - Heating Zone 2 (Zonal Heating System)</t>
  </si>
  <si>
    <t>Multi Family Weatherization - Insulate Attic - R-19 to R-30 - Heating Zone 2 (Zonal Heating System)</t>
  </si>
  <si>
    <t>Multi Family Weatherization - Insulate Attic - R-19 to R-38 - Heating Zone 2 (Zonal Heating System)</t>
  </si>
  <si>
    <t>Multi Family Weatherization - Insulate Attic - R-19 to R-49 - Heating Zone 2 (Zonal Heating System)</t>
  </si>
  <si>
    <t>Multi Family Weatherization - Insulate Attic - R-38 to R-49 - Heating Zone 2 (Zonal Heating System)</t>
  </si>
  <si>
    <t>Windows - Class 85 to Class 35 - Heating Zone 2 (Zonal Heating System)</t>
  </si>
  <si>
    <t>Windows - Class 85 to Class 30 - Heating Zone 2 (Zonal Heating System)</t>
  </si>
  <si>
    <t>Windows - Class 85 to Class 25 - Heating Zone 2 (Zonal Heating System)</t>
  </si>
  <si>
    <t>Windows - Class 85 to Class 20 - Heating Zone 2 (Zonal Heating System)</t>
  </si>
  <si>
    <t>Windows - Class 85 to Class 15 - Heating Zone 2 (Zonal Heating System)</t>
  </si>
  <si>
    <t>Windows - Class 50 to Class 35 - Heating Zone 2 (Zonal Heating System)</t>
  </si>
  <si>
    <t>Windows - Class 50 to Class 30 - Heating Zone 2 (Zonal Heating System)</t>
  </si>
  <si>
    <t>Windows - Class 50 to Class 25 - Heating Zone 2 (Zonal Heating System)</t>
  </si>
  <si>
    <t>Windows - Class 50 to Class 20 - Heating Zone 2 (Zonal Heating System)</t>
  </si>
  <si>
    <t>Windows - Class 35 to Class 22 - Heating Zone 2 (Zonal Heating System)</t>
  </si>
  <si>
    <t>Windows - Single Pane to Class 22 - Heating Zone 2 (Zonal Heating System)</t>
  </si>
  <si>
    <t>Windows - Double Pane to Class 22 - Heating Zone 2 (Zonal Heating System)</t>
  </si>
  <si>
    <t>Windows - Single Pane to Class 30 - Heating Zone 2 (Zonal Heating System)</t>
  </si>
  <si>
    <t>Windows - Double Pane to Class 30 - Heating Zone 2 (Zonal Heating System)</t>
  </si>
  <si>
    <t>Windows - Class 35 to Class 30 - Heating Zone 2 (Zonal Heating System)</t>
  </si>
  <si>
    <t>Infiltration Reduction - 0.1 ACHn reduction - Heating Zone 2 (Zonal Heating System)</t>
  </si>
  <si>
    <t>Infiltration Reduction - 0.45 ACHn to 0.20 ACHn - Heating Zone 2 (Zonal Heating System)</t>
  </si>
  <si>
    <t>Infiltration Reduction - 0.35 ACHn to 0.20 ACHn - Heating Zone 2 (Zonal Heating System)</t>
  </si>
  <si>
    <t>DuctTightness - Std-crawl to PTCS-crawl - Heating Zone 2 (Zonal Heating System)</t>
  </si>
  <si>
    <t>DuctInsulation - R-0 to R-4.2 - Heating Zone 2 (Zonal Heating System)</t>
  </si>
  <si>
    <t>DuctInsulation - R-0 to R-11 - Heating Zone 2 (Zonal Heating System)</t>
  </si>
  <si>
    <t>DuctInsulation - R-4.2 to R-11 - Heating Zone 2 (Zonal Heating System)</t>
  </si>
  <si>
    <t>HeatPump Upgrade - 7.7/13 to 8.5/13 - Heating Zone 2 (Zonal Heating System)</t>
  </si>
  <si>
    <t>HeatPump Upgrade - 7.7/13 to 9.0/14 - Heating Zone 2 (Zonal Heating System)</t>
  </si>
  <si>
    <t>HeatPump Upgrade - 7.7/13 to 8.2/13 - Heating Zone 2 (Zonal Heating System)</t>
  </si>
  <si>
    <t>HPCntrls Upgrade - Standard to PTCS - Heating Zone 2 (Zonal Heating System)</t>
  </si>
  <si>
    <t>Multi Family Weatherization - Insulate Walls - R-0 to R-11 - Heating Zone 3 (Zonal Heating System)</t>
  </si>
  <si>
    <t>Multi Family Weatherization - Insulate BGWalls - R-0 to R-11 - Heating Zone 3 (Zonal Heating System)</t>
  </si>
  <si>
    <t>Multi Family Weatherization - Insulate Floors - R-0 to R-19 - Heating Zone 3 (Zonal Heating System)</t>
  </si>
  <si>
    <t>Multi Family Weatherization - Insulate Floors - R-0 to R-25 - Heating Zone 3 (Zonal Heating System)</t>
  </si>
  <si>
    <t>Multi Family Weatherization - Insulate Floors - R-0 to R-30 - Heating Zone 3 (Zonal Heating System)</t>
  </si>
  <si>
    <t>Multi Family Weatherization - Insulate Floors - R-0 to R-38 - Heating Zone 3 (Zonal Heating System)</t>
  </si>
  <si>
    <t>Multi Family Weatherization - Insulate Floors - R-19 to R-25 - Heating Zone 3 (Zonal Heating System)</t>
  </si>
  <si>
    <t>Multi Family Weatherization - Insulate Floors - R-19 to R-30 - Heating Zone 3 (Zonal Heating System)</t>
  </si>
  <si>
    <t>Multi Family Weatherization - Insulate Floors - R-19 to R-38 - Heating Zone 3 (Zonal Heating System)</t>
  </si>
  <si>
    <t>Multi Family Weatherization - Insulate Floors - R-11 to R-30 - Heating Zone 3 (Zonal Heating System)</t>
  </si>
  <si>
    <t>Multi Family Weatherization - Insulate Attic - R-0 to R-19 - Heating Zone 3 (Zonal Heating System)</t>
  </si>
  <si>
    <t>Multi Family Weatherization - Insulate Attic - R-0 to R-38 - Heating Zone 3 (Zonal Heating System)</t>
  </si>
  <si>
    <t>Multi Family Weatherization - Insulate Attic - R-0 to R-49 - Heating Zone 3 (Zonal Heating System)</t>
  </si>
  <si>
    <t>Multi Family Weatherization - Insulate Attic - R-30 to R-38 - Heating Zone 3 (Zonal Heating System)</t>
  </si>
  <si>
    <t>Multi Family Weatherization - Insulate Attic - R-30 to R-49 - Heating Zone 3 (Zonal Heating System)</t>
  </si>
  <si>
    <t>Multi Family Weatherization - Insulate Attic - R-19 to R-30 - Heating Zone 3 (Zonal Heating System)</t>
  </si>
  <si>
    <t>Multi Family Weatherization - Insulate Attic - R-19 to R-38 - Heating Zone 3 (Zonal Heating System)</t>
  </si>
  <si>
    <t>Multi Family Weatherization - Insulate Attic - R-19 to R-49 - Heating Zone 3 (Zonal Heating System)</t>
  </si>
  <si>
    <t>Multi Family Weatherization - Insulate Attic - R-38 to R-49 - Heating Zone 3 (Zonal Heating System)</t>
  </si>
  <si>
    <t>Windows - Class 85 to Class 35 - Heating Zone 3 (Zonal Heating System)</t>
  </si>
  <si>
    <t>Windows - Class 85 to Class 30 - Heating Zone 3 (Zonal Heating System)</t>
  </si>
  <si>
    <t>Windows - Class 85 to Class 25 - Heating Zone 3 (Zonal Heating System)</t>
  </si>
  <si>
    <t>Windows - Class 85 to Class 20 - Heating Zone 3 (Zonal Heating System)</t>
  </si>
  <si>
    <t>Windows - Class 85 to Class 15 - Heating Zone 3 (Zonal Heating System)</t>
  </si>
  <si>
    <t>Windows - Class 50 to Class 35 - Heating Zone 3 (Zonal Heating System)</t>
  </si>
  <si>
    <t>Windows - Class 50 to Class 30 - Heating Zone 3 (Zonal Heating System)</t>
  </si>
  <si>
    <t>Windows - Class 50 to Class 25 - Heating Zone 3 (Zonal Heating System)</t>
  </si>
  <si>
    <t>Windows - Class 50 to Class 20 - Heating Zone 3 (Zonal Heating System)</t>
  </si>
  <si>
    <t>Windows - Class 35 to Class 22 - Heating Zone 3 (Zonal Heating System)</t>
  </si>
  <si>
    <t>Windows - Single Pane to Class 22 - Heating Zone 3 (Zonal Heating System)</t>
  </si>
  <si>
    <t>Windows - Double Pane to Class 22 - Heating Zone 3 (Zonal Heating System)</t>
  </si>
  <si>
    <t>Windows - Single Pane to Class 30 - Heating Zone 3 (Zonal Heating System)</t>
  </si>
  <si>
    <t>Windows - Double Pane to Class 30 - Heating Zone 3 (Zonal Heating System)</t>
  </si>
  <si>
    <t>Windows - Class 35 to Class 30 - Heating Zone 3 (Zonal Heating System)</t>
  </si>
  <si>
    <t>Infiltration Reduction - 0.1 ACHn reduction - Heating Zone 3 (Zonal Heating System)</t>
  </si>
  <si>
    <t>Infiltration Reduction - 0.45 ACHn to 0.20 ACHn - Heating Zone 3 (Zonal Heating System)</t>
  </si>
  <si>
    <t>Infiltration Reduction - 0.35 ACHn to 0.20 ACHn - Heating Zone 3 (Zonal Heating System)</t>
  </si>
  <si>
    <t>DuctTightness - Std-crawl to PTCS-crawl - Heating Zone 3 (Zonal Heating System)</t>
  </si>
  <si>
    <t>DuctInsulation - R-0 to R-4.2 - Heating Zone 3 (Zonal Heating System)</t>
  </si>
  <si>
    <t>DuctInsulation - R-0 to R-11 - Heating Zone 3 (Zonal Heating System)</t>
  </si>
  <si>
    <t>DuctInsulation - R-4.2 to R-11 - Heating Zone 3 (Zonal Heating System)</t>
  </si>
  <si>
    <t>HeatPump Upgrade - 7.7/13 to 8.5/13 - Heating Zone 3 (Zonal Heating System)</t>
  </si>
  <si>
    <t>HeatPump Upgrade - 7.7/13 to 9.0/14 - Heating Zone 3 (Zonal Heating System)</t>
  </si>
  <si>
    <t>HeatPump Upgrade - 7.7/13 to 8.2/13 - Heating Zone 3 (Zonal Heating System)</t>
  </si>
  <si>
    <t>HPCntrls Upgrade - Standard to PTCS - Heating Zone 3 (Zonal Heating System)</t>
  </si>
  <si>
    <t>Multi Family Weatherization - Insulate Walls - R-0 to R-11 - Heating Zone 1 (Electric FAF Heating System)</t>
  </si>
  <si>
    <t>Electric FAF Heating System</t>
  </si>
  <si>
    <t>Multi Family Weatherization - Insulate BGWalls - R-0 to R-11 - Heating Zone 1 (Electric FAF Heating System)</t>
  </si>
  <si>
    <t>Multi Family Weatherization - Insulate Floors - R-0 to R-19 - Heating Zone 1 (Electric FAF Heating System)</t>
  </si>
  <si>
    <t>Multi Family Weatherization - Insulate Floors - R-0 to R-25 - Heating Zone 1 (Electric FAF Heating System)</t>
  </si>
  <si>
    <t>Multi Family Weatherization - Insulate Floors - R-0 to R-30 - Heating Zone 1 (Electric FAF Heating System)</t>
  </si>
  <si>
    <t>Multi Family Weatherization - Insulate Floors - R-0 to R-38 - Heating Zone 1 (Electric FAF Heating System)</t>
  </si>
  <si>
    <t>Multi Family Weatherization - Insulate Floors - R-19 to R-25 - Heating Zone 1 (Electric FAF Heating System)</t>
  </si>
  <si>
    <t>Multi Family Weatherization - Insulate Floors - R-19 to R-30 - Heating Zone 1 (Electric FAF Heating System)</t>
  </si>
  <si>
    <t>Multi Family Weatherization - Insulate Floors - R-19 to R-38 - Heating Zone 1 (Electric FAF Heating System)</t>
  </si>
  <si>
    <t>Multi Family Weatherization - Insulate Floors - R-11 to R-30 - Heating Zone 1 (Electric FAF Heating System)</t>
  </si>
  <si>
    <t>Multi Family Weatherization - Insulate Attic - R-0 to R-19 - Heating Zone 1 (Electric FAF Heating System)</t>
  </si>
  <si>
    <t>Multi Family Weatherization - Insulate Attic - R-0 to R-38 - Heating Zone 1 (Electric FAF Heating System)</t>
  </si>
  <si>
    <t>Multi Family Weatherization - Insulate Attic - R-0 to R-49 - Heating Zone 1 (Electric FAF Heating System)</t>
  </si>
  <si>
    <t>Multi Family Weatherization - Insulate Attic - R-30 to R-38 - Heating Zone 1 (Electric FAF Heating System)</t>
  </si>
  <si>
    <t>Multi Family Weatherization - Insulate Attic - R-30 to R-49 - Heating Zone 1 (Electric FAF Heating System)</t>
  </si>
  <si>
    <t>Multi Family Weatherization - Insulate Attic - R-19 to R-30 - Heating Zone 1 (Electric FAF Heating System)</t>
  </si>
  <si>
    <t>Multi Family Weatherization - Insulate Attic - R-19 to R-38 - Heating Zone 1 (Electric FAF Heating System)</t>
  </si>
  <si>
    <t>Multi Family Weatherization - Insulate Attic - R-19 to R-49 - Heating Zone 1 (Electric FAF Heating System)</t>
  </si>
  <si>
    <t>Multi Family Weatherization - Insulate Attic - R-38 to R-49 - Heating Zone 1 (Electric FAF Heating System)</t>
  </si>
  <si>
    <t>Windows - Class 85 to Class 35 - Heating Zone 1 (Electric FAF Heating System)</t>
  </si>
  <si>
    <t>Windows - Class 85 to Class 30 - Heating Zone 1 (Electric FAF Heating System)</t>
  </si>
  <si>
    <t>Windows - Class 85 to Class 25 - Heating Zone 1 (Electric FAF Heating System)</t>
  </si>
  <si>
    <t>Windows - Class 85 to Class 20 - Heating Zone 1 (Electric FAF Heating System)</t>
  </si>
  <si>
    <t>Windows - Class 85 to Class 15 - Heating Zone 1 (Electric FAF Heating System)</t>
  </si>
  <si>
    <t>Windows - Class 50 to Class 35 - Heating Zone 1 (Electric FAF Heating System)</t>
  </si>
  <si>
    <t>Windows - Class 50 to Class 30 - Heating Zone 1 (Electric FAF Heating System)</t>
  </si>
  <si>
    <t>Windows - Class 50 to Class 25 - Heating Zone 1 (Electric FAF Heating System)</t>
  </si>
  <si>
    <t>Windows - Class 50 to Class 20 - Heating Zone 1 (Electric FAF Heating System)</t>
  </si>
  <si>
    <t>Windows - Class 35 to Class 22 - Heating Zone 1 (Electric FAF Heating System)</t>
  </si>
  <si>
    <t>Windows - Single Pane to Class 22 - Heating Zone 1 (Electric FAF Heating System)</t>
  </si>
  <si>
    <t>Windows - Double Pane to Class 22 - Heating Zone 1 (Electric FAF Heating System)</t>
  </si>
  <si>
    <t>Windows - Single Pane to Class 30 - Heating Zone 1 (Electric FAF Heating System)</t>
  </si>
  <si>
    <t>Windows - Double Pane to Class 30 - Heating Zone 1 (Electric FAF Heating System)</t>
  </si>
  <si>
    <t>Windows - Class 35 to Class 30 - Heating Zone 1 (Electric FAF Heating System)</t>
  </si>
  <si>
    <t>Infiltration Reduction - 0.1 ACHn reduction - Heating Zone 1 (Electric FAF Heating System)</t>
  </si>
  <si>
    <t>Infiltration Reduction - 0.45 ACHn to 0.20 ACHn - Heating Zone 1 (Electric FAF Heating System)</t>
  </si>
  <si>
    <t>Infiltration Reduction - 0.35 ACHn to 0.20 ACHn - Heating Zone 1 (Electric FAF Heating System)</t>
  </si>
  <si>
    <t>DuctTightness - Std-crawl to PTCS-crawl - Heating Zone 1 (Electric FAF Heating System)</t>
  </si>
  <si>
    <t>DuctInsulation - R-0 to R-4.2 - Heating Zone 1 (Electric FAF Heating System)</t>
  </si>
  <si>
    <t>DuctInsulation - R-0 to R-11 - Heating Zone 1 (Electric FAF Heating System)</t>
  </si>
  <si>
    <t>DuctInsulation - R-4.2 to R-11 - Heating Zone 1 (Electric FAF Heating System)</t>
  </si>
  <si>
    <t>HeatPump Upgrade - 7.7/13 to 8.5/13 - Heating Zone 1 (Electric FAF Heating System)</t>
  </si>
  <si>
    <t>HeatPump Upgrade - 7.7/13 to 9.0/14 - Heating Zone 1 (Electric FAF Heating System)</t>
  </si>
  <si>
    <t>HeatPump Upgrade - 7.7/13 to 8.2/13 - Heating Zone 1 (Electric FAF Heating System)</t>
  </si>
  <si>
    <t>HPCntrls Upgrade - Standard to PTCS - Heating Zone 1 (Electric FAF Heating System)</t>
  </si>
  <si>
    <t>Multi Family Weatherization - Insulate Walls - R-0 to R-11 - Heating Zone 2 (Electric FAF Heating System)</t>
  </si>
  <si>
    <t>Multi Family Weatherization - Insulate BGWalls - R-0 to R-11 - Heating Zone 2 (Electric FAF Heating System)</t>
  </si>
  <si>
    <t>Multi Family Weatherization - Insulate Floors - R-0 to R-19 - Heating Zone 2 (Electric FAF Heating System)</t>
  </si>
  <si>
    <t>Multi Family Weatherization - Insulate Floors - R-0 to R-25 - Heating Zone 2 (Electric FAF Heating System)</t>
  </si>
  <si>
    <t>Multi Family Weatherization - Insulate Floors - R-0 to R-30 - Heating Zone 2 (Electric FAF Heating System)</t>
  </si>
  <si>
    <t>Multi Family Weatherization - Insulate Floors - R-0 to R-38 - Heating Zone 2 (Electric FAF Heating System)</t>
  </si>
  <si>
    <t>Multi Family Weatherization - Insulate Floors - R-19 to R-25 - Heating Zone 2 (Electric FAF Heating System)</t>
  </si>
  <si>
    <t>Multi Family Weatherization - Insulate Floors - R-19 to R-30 - Heating Zone 2 (Electric FAF Heating System)</t>
  </si>
  <si>
    <t>Multi Family Weatherization - Insulate Floors - R-19 to R-38 - Heating Zone 2 (Electric FAF Heating System)</t>
  </si>
  <si>
    <t>Multi Family Weatherization - Insulate Floors - R-11 to R-30 - Heating Zone 2 (Electric FAF Heating System)</t>
  </si>
  <si>
    <t>Multi Family Weatherization - Insulate Attic - R-0 to R-19 - Heating Zone 2 (Electric FAF Heating System)</t>
  </si>
  <si>
    <t>Multi Family Weatherization - Insulate Attic - R-0 to R-38 - Heating Zone 2 (Electric FAF Heating System)</t>
  </si>
  <si>
    <t>Multi Family Weatherization - Insulate Attic - R-0 to R-49 - Heating Zone 2 (Electric FAF Heating System)</t>
  </si>
  <si>
    <t>Multi Family Weatherization - Insulate Attic - R-30 to R-38 - Heating Zone 2 (Electric FAF Heating System)</t>
  </si>
  <si>
    <t>Multi Family Weatherization - Insulate Attic - R-30 to R-49 - Heating Zone 2 (Electric FAF Heating System)</t>
  </si>
  <si>
    <t>Multi Family Weatherization - Insulate Attic - R-19 to R-30 - Heating Zone 2 (Electric FAF Heating System)</t>
  </si>
  <si>
    <t>Multi Family Weatherization - Insulate Attic - R-19 to R-38 - Heating Zone 2 (Electric FAF Heating System)</t>
  </si>
  <si>
    <t>Multi Family Weatherization - Insulate Attic - R-19 to R-49 - Heating Zone 2 (Electric FAF Heating System)</t>
  </si>
  <si>
    <t>Multi Family Weatherization - Insulate Attic - R-38 to R-49 - Heating Zone 2 (Electric FAF Heating System)</t>
  </si>
  <si>
    <t>Windows - Class 85 to Class 35 - Heating Zone 2 (Electric FAF Heating System)</t>
  </si>
  <si>
    <t>Windows - Class 85 to Class 30 - Heating Zone 2 (Electric FAF Heating System)</t>
  </si>
  <si>
    <t>Windows - Class 85 to Class 25 - Heating Zone 2 (Electric FAF Heating System)</t>
  </si>
  <si>
    <t>Windows - Class 85 to Class 20 - Heating Zone 2 (Electric FAF Heating System)</t>
  </si>
  <si>
    <t>Windows - Class 85 to Class 15 - Heating Zone 2 (Electric FAF Heating System)</t>
  </si>
  <si>
    <t>Windows - Class 50 to Class 35 - Heating Zone 2 (Electric FAF Heating System)</t>
  </si>
  <si>
    <t>Windows - Class 50 to Class 30 - Heating Zone 2 (Electric FAF Heating System)</t>
  </si>
  <si>
    <t>Windows - Class 50 to Class 25 - Heating Zone 2 (Electric FAF Heating System)</t>
  </si>
  <si>
    <t>Windows - Class 50 to Class 20 - Heating Zone 2 (Electric FAF Heating System)</t>
  </si>
  <si>
    <t>Windows - Class 35 to Class 22 - Heating Zone 2 (Electric FAF Heating System)</t>
  </si>
  <si>
    <t>Windows - Single Pane to Class 22 - Heating Zone 2 (Electric FAF Heating System)</t>
  </si>
  <si>
    <t>Windows - Double Pane to Class 22 - Heating Zone 2 (Electric FAF Heating System)</t>
  </si>
  <si>
    <t>Windows - Single Pane to Class 30 - Heating Zone 2 (Electric FAF Heating System)</t>
  </si>
  <si>
    <t>Windows - Double Pane to Class 30 - Heating Zone 2 (Electric FAF Heating System)</t>
  </si>
  <si>
    <t>Windows - Class 35 to Class 30 - Heating Zone 2 (Electric FAF Heating System)</t>
  </si>
  <si>
    <t>Infiltration Reduction - 0.1 ACHn reduction - Heating Zone 2 (Electric FAF Heating System)</t>
  </si>
  <si>
    <t>Infiltration Reduction - 0.45 ACHn to 0.20 ACHn - Heating Zone 2 (Electric FAF Heating System)</t>
  </si>
  <si>
    <t>Infiltration Reduction - 0.35 ACHn to 0.20 ACHn - Heating Zone 2 (Electric FAF Heating System)</t>
  </si>
  <si>
    <t>DuctTightness - Std-crawl to PTCS-crawl - Heating Zone 2 (Electric FAF Heating System)</t>
  </si>
  <si>
    <t>DuctInsulation - R-0 to R-4.2 - Heating Zone 2 (Electric FAF Heating System)</t>
  </si>
  <si>
    <t>DuctInsulation - R-0 to R-11 - Heating Zone 2 (Electric FAF Heating System)</t>
  </si>
  <si>
    <t>DuctInsulation - R-4.2 to R-11 - Heating Zone 2 (Electric FAF Heating System)</t>
  </si>
  <si>
    <t>HeatPump Upgrade - 7.7/13 to 8.5/13 - Heating Zone 2 (Electric FAF Heating System)</t>
  </si>
  <si>
    <t>HeatPump Upgrade - 7.7/13 to 9.0/14 - Heating Zone 2 (Electric FAF Heating System)</t>
  </si>
  <si>
    <t>HeatPump Upgrade - 7.7/13 to 8.2/13 - Heating Zone 2 (Electric FAF Heating System)</t>
  </si>
  <si>
    <t>HPCntrls Upgrade - Standard to PTCS - Heating Zone 2 (Electric FAF Heating System)</t>
  </si>
  <si>
    <t>Multi Family Weatherization - Insulate Walls - R-0 to R-11 - Heating Zone 3 (Electric FAF Heating System)</t>
  </si>
  <si>
    <t>Multi Family Weatherization - Insulate BGWalls - R-0 to R-11 - Heating Zone 3 (Electric FAF Heating System)</t>
  </si>
  <si>
    <t>Multi Family Weatherization - Insulate Floors - R-0 to R-19 - Heating Zone 3 (Electric FAF Heating System)</t>
  </si>
  <si>
    <t>Multi Family Weatherization - Insulate Floors - R-0 to R-25 - Heating Zone 3 (Electric FAF Heating System)</t>
  </si>
  <si>
    <t>Multi Family Weatherization - Insulate Floors - R-0 to R-30 - Heating Zone 3 (Electric FAF Heating System)</t>
  </si>
  <si>
    <t>Multi Family Weatherization - Insulate Floors - R-0 to R-38 - Heating Zone 3 (Electric FAF Heating System)</t>
  </si>
  <si>
    <t>Multi Family Weatherization - Insulate Floors - R-19 to R-25 - Heating Zone 3 (Electric FAF Heating System)</t>
  </si>
  <si>
    <t>Multi Family Weatherization - Insulate Floors - R-19 to R-30 - Heating Zone 3 (Electric FAF Heating System)</t>
  </si>
  <si>
    <t>Multi Family Weatherization - Insulate Floors - R-19 to R-38 - Heating Zone 3 (Electric FAF Heating System)</t>
  </si>
  <si>
    <t>Multi Family Weatherization - Insulate Floors - R-11 to R-30 - Heating Zone 3 (Electric FAF Heating System)</t>
  </si>
  <si>
    <t>Multi Family Weatherization - Insulate Attic - R-0 to R-19 - Heating Zone 3 (Electric FAF Heating System)</t>
  </si>
  <si>
    <t>Multi Family Weatherization - Insulate Attic - R-0 to R-38 - Heating Zone 3 (Electric FAF Heating System)</t>
  </si>
  <si>
    <t>Multi Family Weatherization - Insulate Attic - R-0 to R-49 - Heating Zone 3 (Electric FAF Heating System)</t>
  </si>
  <si>
    <t>Multi Family Weatherization - Insulate Attic - R-30 to R-38 - Heating Zone 3 (Electric FAF Heating System)</t>
  </si>
  <si>
    <t>Multi Family Weatherization - Insulate Attic - R-30 to R-49 - Heating Zone 3 (Electric FAF Heating System)</t>
  </si>
  <si>
    <t>Multi Family Weatherization - Insulate Attic - R-19 to R-30 - Heating Zone 3 (Electric FAF Heating System)</t>
  </si>
  <si>
    <t>Multi Family Weatherization - Insulate Attic - R-19 to R-38 - Heating Zone 3 (Electric FAF Heating System)</t>
  </si>
  <si>
    <t>Multi Family Weatherization - Insulate Attic - R-19 to R-49 - Heating Zone 3 (Electric FAF Heating System)</t>
  </si>
  <si>
    <t>Multi Family Weatherization - Insulate Attic - R-38 to R-49 - Heating Zone 3 (Electric FAF Heating System)</t>
  </si>
  <si>
    <t>Windows - Class 85 to Class 35 - Heating Zone 3 (Electric FAF Heating System)</t>
  </si>
  <si>
    <t>Windows - Class 85 to Class 30 - Heating Zone 3 (Electric FAF Heating System)</t>
  </si>
  <si>
    <t>Windows - Class 85 to Class 25 - Heating Zone 3 (Electric FAF Heating System)</t>
  </si>
  <si>
    <t>Windows - Class 85 to Class 20 - Heating Zone 3 (Electric FAF Heating System)</t>
  </si>
  <si>
    <t>Windows - Class 85 to Class 15 - Heating Zone 3 (Electric FAF Heating System)</t>
  </si>
  <si>
    <t>Windows - Class 50 to Class 35 - Heating Zone 3 (Electric FAF Heating System)</t>
  </si>
  <si>
    <t>Windows - Class 50 to Class 30 - Heating Zone 3 (Electric FAF Heating System)</t>
  </si>
  <si>
    <t>Windows - Class 50 to Class 25 - Heating Zone 3 (Electric FAF Heating System)</t>
  </si>
  <si>
    <t>Windows - Class 50 to Class 20 - Heating Zone 3 (Electric FAF Heating System)</t>
  </si>
  <si>
    <t>Windows - Class 35 to Class 22 - Heating Zone 3 (Electric FAF Heating System)</t>
  </si>
  <si>
    <t>Windows - Single Pane to Class 22 - Heating Zone 3 (Electric FAF Heating System)</t>
  </si>
  <si>
    <t>Windows - Double Pane to Class 22 - Heating Zone 3 (Electric FAF Heating System)</t>
  </si>
  <si>
    <t>Windows - Single Pane to Class 30 - Heating Zone 3 (Electric FAF Heating System)</t>
  </si>
  <si>
    <t>Windows - Double Pane to Class 30 - Heating Zone 3 (Electric FAF Heating System)</t>
  </si>
  <si>
    <t>Windows - Class 35 to Class 30 - Heating Zone 3 (Electric FAF Heating System)</t>
  </si>
  <si>
    <t>Infiltration Reduction - 0.1 ACHn reduction - Heating Zone 3 (Electric FAF Heating System)</t>
  </si>
  <si>
    <t>Infiltration Reduction - 0.45 ACHn to 0.20 ACHn - Heating Zone 3 (Electric FAF Heating System)</t>
  </si>
  <si>
    <t>Infiltration Reduction - 0.35 ACHn to 0.20 ACHn - Heating Zone 3 (Electric FAF Heating System)</t>
  </si>
  <si>
    <t>DuctTightness - Std-crawl to PTCS-crawl - Heating Zone 3 (Electric FAF Heating System)</t>
  </si>
  <si>
    <t>DuctInsulation - R-0 to R-4.2 - Heating Zone 3 (Electric FAF Heating System)</t>
  </si>
  <si>
    <t>DuctInsulation - R-0 to R-11 - Heating Zone 3 (Electric FAF Heating System)</t>
  </si>
  <si>
    <t>DuctInsulation - R-4.2 to R-11 - Heating Zone 3 (Electric FAF Heating System)</t>
  </si>
  <si>
    <t>HeatPump Upgrade - 7.7/13 to 8.5/13 - Heating Zone 3 (Electric FAF Heating System)</t>
  </si>
  <si>
    <t>HeatPump Upgrade - 7.7/13 to 9.0/14 - Heating Zone 3 (Electric FAF Heating System)</t>
  </si>
  <si>
    <t>HeatPump Upgrade - 7.7/13 to 8.2/13 - Heating Zone 3 (Electric FAF Heating System)</t>
  </si>
  <si>
    <t>HPCntrls Upgrade - Standard to PTCS - Heating Zone 3 (Electric FAF Heating System)</t>
  </si>
  <si>
    <t>Multi Family Weatherization - Insulate Walls - R-0 to R-11 - Heating Zone 1 (Heat Pump Heating System)</t>
  </si>
  <si>
    <t>Heat Pump Heating System</t>
  </si>
  <si>
    <t>Multi Family Weatherization - Insulate BGWalls - R-0 to R-11 - Heating Zone 1 (Heat Pump Heating System)</t>
  </si>
  <si>
    <t>Multi Family Weatherization - Insulate Floors - R-0 to R-19 - Heating Zone 1 (Heat Pump Heating System)</t>
  </si>
  <si>
    <t>Multi Family Weatherization - Insulate Floors - R-0 to R-25 - Heating Zone 1 (Heat Pump Heating System)</t>
  </si>
  <si>
    <t>Multi Family Weatherization - Insulate Floors - R-0 to R-30 - Heating Zone 1 (Heat Pump Heating System)</t>
  </si>
  <si>
    <t>Multi Family Weatherization - Insulate Floors - R-0 to R-38 - Heating Zone 1 (Heat Pump Heating System)</t>
  </si>
  <si>
    <t>Multi Family Weatherization - Insulate Floors - R-19 to R-25 - Heating Zone 1 (Heat Pump Heating System)</t>
  </si>
  <si>
    <t>Multi Family Weatherization - Insulate Floors - R-19 to R-30 - Heating Zone 1 (Heat Pump Heating System)</t>
  </si>
  <si>
    <t>Multi Family Weatherization - Insulate Floors - R-19 to R-38 - Heating Zone 1 (Heat Pump Heating System)</t>
  </si>
  <si>
    <t>Multi Family Weatherization - Insulate Floors - R-11 to R-30 - Heating Zone 1 (Heat Pump Heating System)</t>
  </si>
  <si>
    <t>Multi Family Weatherization - Insulate Attic - R-0 to R-19 - Heating Zone 1 (Heat Pump Heating System)</t>
  </si>
  <si>
    <t>Multi Family Weatherization - Insulate Attic - R-0 to R-38 - Heating Zone 1 (Heat Pump Heating System)</t>
  </si>
  <si>
    <t>Multi Family Weatherization - Insulate Attic - R-0 to R-49 - Heating Zone 1 (Heat Pump Heating System)</t>
  </si>
  <si>
    <t>Multi Family Weatherization - Insulate Attic - R-30 to R-38 - Heating Zone 1 (Heat Pump Heating System)</t>
  </si>
  <si>
    <t>Multi Family Weatherization - Insulate Attic - R-30 to R-49 - Heating Zone 1 (Heat Pump Heating System)</t>
  </si>
  <si>
    <t>Multi Family Weatherization - Insulate Attic - R-19 to R-30 - Heating Zone 1 (Heat Pump Heating System)</t>
  </si>
  <si>
    <t>Multi Family Weatherization - Insulate Attic - R-19 to R-38 - Heating Zone 1 (Heat Pump Heating System)</t>
  </si>
  <si>
    <t>Multi Family Weatherization - Insulate Attic - R-19 to R-49 - Heating Zone 1 (Heat Pump Heating System)</t>
  </si>
  <si>
    <t>Multi Family Weatherization - Insulate Attic - R-38 to R-49 - Heating Zone 1 (Heat Pump Heating System)</t>
  </si>
  <si>
    <t>Windows - Class 85 to Class 35 - Heating Zone 1 (Heat Pump Heating System)</t>
  </si>
  <si>
    <t>Windows - Class 85 to Class 30 - Heating Zone 1 (Heat Pump Heating System)</t>
  </si>
  <si>
    <t>Windows - Class 85 to Class 25 - Heating Zone 1 (Heat Pump Heating System)</t>
  </si>
  <si>
    <t>Windows - Class 85 to Class 20 - Heating Zone 1 (Heat Pump Heating System)</t>
  </si>
  <si>
    <t>Windows - Class 85 to Class 15 - Heating Zone 1 (Heat Pump Heating System)</t>
  </si>
  <si>
    <t>Windows - Class 50 to Class 35 - Heating Zone 1 (Heat Pump Heating System)</t>
  </si>
  <si>
    <t>Windows - Class 50 to Class 30 - Heating Zone 1 (Heat Pump Heating System)</t>
  </si>
  <si>
    <t>Windows - Class 50 to Class 25 - Heating Zone 1 (Heat Pump Heating System)</t>
  </si>
  <si>
    <t>Windows - Class 50 to Class 20 - Heating Zone 1 (Heat Pump Heating System)</t>
  </si>
  <si>
    <t>Windows - Class 35 to Class 22 - Heating Zone 1 (Heat Pump Heating System)</t>
  </si>
  <si>
    <t>Windows - Single Pane to Class 22 - Heating Zone 1 (Heat Pump Heating System)</t>
  </si>
  <si>
    <t>Windows - Double Pane to Class 22 - Heating Zone 1 (Heat Pump Heating System)</t>
  </si>
  <si>
    <t>Windows - Single Pane to Class 30 - Heating Zone 1 (Heat Pump Heating System)</t>
  </si>
  <si>
    <t>Windows - Double Pane to Class 30 - Heating Zone 1 (Heat Pump Heating System)</t>
  </si>
  <si>
    <t>Windows - Class 35 to Class 30 - Heating Zone 1 (Heat Pump Heating System)</t>
  </si>
  <si>
    <t>Infiltration Reduction - 0.1 ACHn reduction - Heating Zone 1 (Heat Pump Heating System)</t>
  </si>
  <si>
    <t>Infiltration Reduction - 0.45 ACHn to 0.20 ACHn - Heating Zone 1 (Heat Pump Heating System)</t>
  </si>
  <si>
    <t>Infiltration Reduction - 0.35 ACHn to 0.20 ACHn - Heating Zone 1 (Heat Pump Heating System)</t>
  </si>
  <si>
    <t>DuctTightness - Std-crawl to PTCS-crawl - Heating Zone 1 (Heat Pump Heating System)</t>
  </si>
  <si>
    <t>DuctInsulation - R-0 to R-4.2 - Heating Zone 1 (Heat Pump Heating System)</t>
  </si>
  <si>
    <t>DuctInsulation - R-0 to R-11 - Heating Zone 1 (Heat Pump Heating System)</t>
  </si>
  <si>
    <t>DuctInsulation - R-4.2 to R-11 - Heating Zone 1 (Heat Pump Heating System)</t>
  </si>
  <si>
    <t>HeatPump Upgrade - 7.7/13 to 8.5/13 - Heating Zone 1 (Heat Pump Heating System)</t>
  </si>
  <si>
    <t>HeatPump Upgrade - 7.7/13 to 9.0/14 - Heating Zone 1 (Heat Pump Heating System)</t>
  </si>
  <si>
    <t>HeatPump Upgrade - 7.7/13 to 8.2/13 - Heating Zone 1 (Heat Pump Heating System)</t>
  </si>
  <si>
    <t>HPCntrls Upgrade - Standard to PTCS - Heating Zone 1 (Heat Pump Heating System)</t>
  </si>
  <si>
    <t>Multi Family Weatherization - Insulate Walls - R-0 to R-11 - Heating Zone 2 (Heat Pump Heating System)</t>
  </si>
  <si>
    <t>Multi Family Weatherization - Insulate BGWalls - R-0 to R-11 - Heating Zone 2 (Heat Pump Heating System)</t>
  </si>
  <si>
    <t>Multi Family Weatherization - Insulate Floors - R-0 to R-19 - Heating Zone 2 (Heat Pump Heating System)</t>
  </si>
  <si>
    <t>Multi Family Weatherization - Insulate Floors - R-0 to R-25 - Heating Zone 2 (Heat Pump Heating System)</t>
  </si>
  <si>
    <t>Multi Family Weatherization - Insulate Floors - R-0 to R-30 - Heating Zone 2 (Heat Pump Heating System)</t>
  </si>
  <si>
    <t>Multi Family Weatherization - Insulate Floors - R-0 to R-38 - Heating Zone 2 (Heat Pump Heating System)</t>
  </si>
  <si>
    <t>Multi Family Weatherization - Insulate Floors - R-19 to R-25 - Heating Zone 2 (Heat Pump Heating System)</t>
  </si>
  <si>
    <t>Multi Family Weatherization - Insulate Floors - R-19 to R-30 - Heating Zone 2 (Heat Pump Heating System)</t>
  </si>
  <si>
    <t>Multi Family Weatherization - Insulate Floors - R-19 to R-38 - Heating Zone 2 (Heat Pump Heating System)</t>
  </si>
  <si>
    <t>Multi Family Weatherization - Insulate Floors - R-11 to R-30 - Heating Zone 2 (Heat Pump Heating System)</t>
  </si>
  <si>
    <t>Multi Family Weatherization - Insulate Attic - R-0 to R-19 - Heating Zone 2 (Heat Pump Heating System)</t>
  </si>
  <si>
    <t>Multi Family Weatherization - Insulate Attic - R-0 to R-38 - Heating Zone 2 (Heat Pump Heating System)</t>
  </si>
  <si>
    <t>Multi Family Weatherization - Insulate Attic - R-0 to R-49 - Heating Zone 2 (Heat Pump Heating System)</t>
  </si>
  <si>
    <t>Multi Family Weatherization - Insulate Attic - R-30 to R-38 - Heating Zone 2 (Heat Pump Heating System)</t>
  </si>
  <si>
    <t>Multi Family Weatherization - Insulate Attic - R-30 to R-49 - Heating Zone 2 (Heat Pump Heating System)</t>
  </si>
  <si>
    <t>Multi Family Weatherization - Insulate Attic - R-19 to R-30 - Heating Zone 2 (Heat Pump Heating System)</t>
  </si>
  <si>
    <t>Multi Family Weatherization - Insulate Attic - R-19 to R-38 - Heating Zone 2 (Heat Pump Heating System)</t>
  </si>
  <si>
    <t>Multi Family Weatherization - Insulate Attic - R-19 to R-49 - Heating Zone 2 (Heat Pump Heating System)</t>
  </si>
  <si>
    <t>Multi Family Weatherization - Insulate Attic - R-38 to R-49 - Heating Zone 2 (Heat Pump Heating System)</t>
  </si>
  <si>
    <t>Windows - Class 85 to Class 35 - Heating Zone 2 (Heat Pump Heating System)</t>
  </si>
  <si>
    <t>Windows - Class 85 to Class 30 - Heating Zone 2 (Heat Pump Heating System)</t>
  </si>
  <si>
    <t>Windows - Class 85 to Class 25 - Heating Zone 2 (Heat Pump Heating System)</t>
  </si>
  <si>
    <t>Windows - Class 85 to Class 20 - Heating Zone 2 (Heat Pump Heating System)</t>
  </si>
  <si>
    <t>Windows - Class 85 to Class 15 - Heating Zone 2 (Heat Pump Heating System)</t>
  </si>
  <si>
    <t>Windows - Class 50 to Class 35 - Heating Zone 2 (Heat Pump Heating System)</t>
  </si>
  <si>
    <t>Windows - Class 50 to Class 30 - Heating Zone 2 (Heat Pump Heating System)</t>
  </si>
  <si>
    <t>Windows - Class 50 to Class 25 - Heating Zone 2 (Heat Pump Heating System)</t>
  </si>
  <si>
    <t>Windows - Class 50 to Class 20 - Heating Zone 2 (Heat Pump Heating System)</t>
  </si>
  <si>
    <t>Windows - Class 35 to Class 22 - Heating Zone 2 (Heat Pump Heating System)</t>
  </si>
  <si>
    <t>Windows - Single Pane to Class 22 - Heating Zone 2 (Heat Pump Heating System)</t>
  </si>
  <si>
    <t>Windows - Double Pane to Class 22 - Heating Zone 2 (Heat Pump Heating System)</t>
  </si>
  <si>
    <t>Windows - Single Pane to Class 30 - Heating Zone 2 (Heat Pump Heating System)</t>
  </si>
  <si>
    <t>Windows - Double Pane to Class 30 - Heating Zone 2 (Heat Pump Heating System)</t>
  </si>
  <si>
    <t>Windows - Class 35 to Class 30 - Heating Zone 2 (Heat Pump Heating System)</t>
  </si>
  <si>
    <t>Infiltration Reduction - 0.1 ACHn reduction - Heating Zone 2 (Heat Pump Heating System)</t>
  </si>
  <si>
    <t>Infiltration Reduction - 0.45 ACHn to 0.20 ACHn - Heating Zone 2 (Heat Pump Heating System)</t>
  </si>
  <si>
    <t>Infiltration Reduction - 0.35 ACHn to 0.20 ACHn - Heating Zone 2 (Heat Pump Heating System)</t>
  </si>
  <si>
    <t>DuctTightness - Std-crawl to PTCS-crawl - Heating Zone 2 (Heat Pump Heating System)</t>
  </si>
  <si>
    <t>DuctInsulation - R-0 to R-4.2 - Heating Zone 2 (Heat Pump Heating System)</t>
  </si>
  <si>
    <t>DuctInsulation - R-0 to R-11 - Heating Zone 2 (Heat Pump Heating System)</t>
  </si>
  <si>
    <t>DuctInsulation - R-4.2 to R-11 - Heating Zone 2 (Heat Pump Heating System)</t>
  </si>
  <si>
    <t>HeatPump Upgrade - 7.7/13 to 8.5/13 - Heating Zone 2 (Heat Pump Heating System)</t>
  </si>
  <si>
    <t>HeatPump Upgrade - 7.7/13 to 9.0/14 - Heating Zone 2 (Heat Pump Heating System)</t>
  </si>
  <si>
    <t>HeatPump Upgrade - 7.7/13 to 8.2/13 - Heating Zone 2 (Heat Pump Heating System)</t>
  </si>
  <si>
    <t>HPCntrls Upgrade - Standard to PTCS - Heating Zone 2 (Heat Pump Heating System)</t>
  </si>
  <si>
    <t>Multi Family Weatherization - Insulate Walls - R-0 to R-11 - Heating Zone 3 (Heat Pump Heating System)</t>
  </si>
  <si>
    <t>Multi Family Weatherization - Insulate BGWalls - R-0 to R-11 - Heating Zone 3 (Heat Pump Heating System)</t>
  </si>
  <si>
    <t>Multi Family Weatherization - Insulate Floors - R-0 to R-19 - Heating Zone 3 (Heat Pump Heating System)</t>
  </si>
  <si>
    <t>Multi Family Weatherization - Insulate Floors - R-0 to R-25 - Heating Zone 3 (Heat Pump Heating System)</t>
  </si>
  <si>
    <t>Multi Family Weatherization - Insulate Floors - R-0 to R-30 - Heating Zone 3 (Heat Pump Heating System)</t>
  </si>
  <si>
    <t>Multi Family Weatherization - Insulate Floors - R-0 to R-38 - Heating Zone 3 (Heat Pump Heating System)</t>
  </si>
  <si>
    <t>Multi Family Weatherization - Insulate Floors - R-19 to R-25 - Heating Zone 3 (Heat Pump Heating System)</t>
  </si>
  <si>
    <t>Multi Family Weatherization - Insulate Floors - R-19 to R-30 - Heating Zone 3 (Heat Pump Heating System)</t>
  </si>
  <si>
    <t>Multi Family Weatherization - Insulate Floors - R-19 to R-38 - Heating Zone 3 (Heat Pump Heating System)</t>
  </si>
  <si>
    <t>Multi Family Weatherization - Insulate Floors - R-11 to R-30 - Heating Zone 3 (Heat Pump Heating System)</t>
  </si>
  <si>
    <t>Multi Family Weatherization - Insulate Attic - R-0 to R-19 - Heating Zone 3 (Heat Pump Heating System)</t>
  </si>
  <si>
    <t>Multi Family Weatherization - Insulate Attic - R-0 to R-38 - Heating Zone 3 (Heat Pump Heating System)</t>
  </si>
  <si>
    <t>Multi Family Weatherization - Insulate Attic - R-0 to R-49 - Heating Zone 3 (Heat Pump Heating System)</t>
  </si>
  <si>
    <t>Multi Family Weatherization - Insulate Attic - R-30 to R-38 - Heating Zone 3 (Heat Pump Heating System)</t>
  </si>
  <si>
    <t>Multi Family Weatherization - Insulate Attic - R-30 to R-49 - Heating Zone 3 (Heat Pump Heating System)</t>
  </si>
  <si>
    <t>Multi Family Weatherization - Insulate Attic - R-19 to R-30 - Heating Zone 3 (Heat Pump Heating System)</t>
  </si>
  <si>
    <t>Multi Family Weatherization - Insulate Attic - R-19 to R-38 - Heating Zone 3 (Heat Pump Heating System)</t>
  </si>
  <si>
    <t>Multi Family Weatherization - Insulate Attic - R-19 to R-49 - Heating Zone 3 (Heat Pump Heating System)</t>
  </si>
  <si>
    <t>Multi Family Weatherization - Insulate Attic - R-38 to R-49 - Heating Zone 3 (Heat Pump Heating System)</t>
  </si>
  <si>
    <t>Windows - Class 85 to Class 35 - Heating Zone 3 (Heat Pump Heating System)</t>
  </si>
  <si>
    <t>Windows - Class 85 to Class 30 - Heating Zone 3 (Heat Pump Heating System)</t>
  </si>
  <si>
    <t>Windows - Class 85 to Class 25 - Heating Zone 3 (Heat Pump Heating System)</t>
  </si>
  <si>
    <t>Windows - Class 85 to Class 20 - Heating Zone 3 (Heat Pump Heating System)</t>
  </si>
  <si>
    <t>Windows - Class 85 to Class 15 - Heating Zone 3 (Heat Pump Heating System)</t>
  </si>
  <si>
    <t>Windows - Class 50 to Class 35 - Heating Zone 3 (Heat Pump Heating System)</t>
  </si>
  <si>
    <t>Windows - Class 50 to Class 30 - Heating Zone 3 (Heat Pump Heating System)</t>
  </si>
  <si>
    <t>Windows - Class 50 to Class 25 - Heating Zone 3 (Heat Pump Heating System)</t>
  </si>
  <si>
    <t>Windows - Class 50 to Class 20 - Heating Zone 3 (Heat Pump Heating System)</t>
  </si>
  <si>
    <t>Windows - Class 35 to Class 22 - Heating Zone 3 (Heat Pump Heating System)</t>
  </si>
  <si>
    <t>Windows - Single Pane to Class 22 - Heating Zone 3 (Heat Pump Heating System)</t>
  </si>
  <si>
    <t>Windows - Double Pane to Class 22 - Heating Zone 3 (Heat Pump Heating System)</t>
  </si>
  <si>
    <t>Windows - Single Pane to Class 30 - Heating Zone 3 (Heat Pump Heating System)</t>
  </si>
  <si>
    <t>Windows - Double Pane to Class 30 - Heating Zone 3 (Heat Pump Heating System)</t>
  </si>
  <si>
    <t>Windows - Class 35 to Class 30 - Heating Zone 3 (Heat Pump Heating System)</t>
  </si>
  <si>
    <t>Infiltration Reduction - 0.1 ACHn reduction - Heating Zone 3 (Heat Pump Heating System)</t>
  </si>
  <si>
    <t>Infiltration Reduction - 0.45 ACHn to 0.20 ACHn - Heating Zone 3 (Heat Pump Heating System)</t>
  </si>
  <si>
    <t>Infiltration Reduction - 0.35 ACHn to 0.20 ACHn - Heating Zone 3 (Heat Pump Heating System)</t>
  </si>
  <si>
    <t>DuctTightness - Std-crawl to PTCS-crawl - Heating Zone 3 (Heat Pump Heating System)</t>
  </si>
  <si>
    <t>DuctInsulation - R-0 to R-4.2 - Heating Zone 3 (Heat Pump Heating System)</t>
  </si>
  <si>
    <t>DuctInsulation - R-0 to R-11 - Heating Zone 3 (Heat Pump Heating System)</t>
  </si>
  <si>
    <t>DuctInsulation - R-4.2 to R-11 - Heating Zone 3 (Heat Pump Heating System)</t>
  </si>
  <si>
    <t>HeatPump Upgrade - 7.7/13 to 8.5/13 - Heating Zone 3 (Heat Pump Heating System)</t>
  </si>
  <si>
    <t>HeatPump Upgrade - 7.7/13 to 9.0/14 - Heating Zone 3 (Heat Pump Heating System)</t>
  </si>
  <si>
    <t>HeatPump Upgrade - 7.7/13 to 8.2/13 - Heating Zone 3 (Heat Pump Heating System)</t>
  </si>
  <si>
    <t>HPCntrls Upgrade - Standard to PTCS - Heating Zone 3 (Heat Pump Heating System)</t>
  </si>
  <si>
    <t>ResWXMF_v2_2.xls</t>
  </si>
  <si>
    <t>Changed to 2012$</t>
  </si>
  <si>
    <t>Source: ExistingResidentialMultiFamily_SEEMRuns.xlsm</t>
  </si>
  <si>
    <t>ResSHWX</t>
  </si>
  <si>
    <t>ResMFWx_v2.2</t>
  </si>
  <si>
    <t>Residential Weatherization - Multi Family</t>
  </si>
  <si>
    <t>ATTIC R0 - R19</t>
  </si>
  <si>
    <t>ATTIC R19 - R30</t>
  </si>
  <si>
    <t>Duct Tightness &amp; Insulation</t>
  </si>
  <si>
    <t>BGWall Insulation</t>
  </si>
  <si>
    <t>HP upgrade &amp; controls</t>
  </si>
  <si>
    <t>Cooling Systems</t>
  </si>
  <si>
    <t>With</t>
  </si>
  <si>
    <t>Without</t>
  </si>
  <si>
    <t>Location Climate Data</t>
  </si>
  <si>
    <t>Portland</t>
  </si>
  <si>
    <t>Seattle</t>
  </si>
  <si>
    <t xml:space="preserve">Spokane </t>
  </si>
  <si>
    <t>Boise</t>
  </si>
  <si>
    <t>Kalispell</t>
  </si>
  <si>
    <t>Heating Zone Weight Data</t>
  </si>
  <si>
    <t>PNW Region</t>
  </si>
  <si>
    <t>Spokane</t>
  </si>
  <si>
    <t>Heating Degree Days*</t>
  </si>
  <si>
    <t>Cooling Zone Weights</t>
  </si>
  <si>
    <t>Cooling Zone 1</t>
  </si>
  <si>
    <t>Cooling Zone 2</t>
  </si>
  <si>
    <t>Cooling Zone 3</t>
  </si>
  <si>
    <t>Cooling Degree Hours*</t>
  </si>
  <si>
    <t>pdx1500cznlWalls10Pre</t>
  </si>
  <si>
    <t>heating</t>
  </si>
  <si>
    <t>(CntrlType As String, hspfMid As Double, hspfLow As Double, hspfHigh As Double, hpLowA As Long, hpLowB As Long, hpLowC As Long, hpLowD As Long, hpLowE As Long, hpHighA As Long, hpHighB As Long, hpHighC As Long, hpHighD As Long, hpHighE As Long)</t>
  </si>
  <si>
    <t>pdx1500cWalls10pre</t>
  </si>
  <si>
    <t>pdx1500cznlWalls10pre</t>
  </si>
  <si>
    <t>1500c</t>
  </si>
  <si>
    <t>1500s</t>
  </si>
  <si>
    <t>pdx</t>
  </si>
  <si>
    <t>sea</t>
  </si>
  <si>
    <t>spk</t>
  </si>
  <si>
    <t>bos</t>
  </si>
  <si>
    <t>kal</t>
  </si>
  <si>
    <t>Measure Inputs</t>
  </si>
  <si>
    <t>znl</t>
  </si>
  <si>
    <t>faf</t>
  </si>
  <si>
    <t>hp</t>
  </si>
  <si>
    <t>pre</t>
  </si>
  <si>
    <t>pst</t>
  </si>
  <si>
    <t>Savings Per House</t>
  </si>
  <si>
    <t>1500cpdxznl</t>
  </si>
  <si>
    <t>1500cpdxfaf</t>
  </si>
  <si>
    <t>1500cpdxhp</t>
  </si>
  <si>
    <t>1500cseaznl</t>
  </si>
  <si>
    <t>1500cseafaf</t>
  </si>
  <si>
    <t>1500cseahp</t>
  </si>
  <si>
    <t>1500cspkznl</t>
  </si>
  <si>
    <t>1500cspkfaf</t>
  </si>
  <si>
    <t>1500cspkhp</t>
  </si>
  <si>
    <t>1500cbosznl</t>
  </si>
  <si>
    <t>1500cbosfaf</t>
  </si>
  <si>
    <t>1500cboshp</t>
  </si>
  <si>
    <t>1500ckalznl</t>
  </si>
  <si>
    <t>1500ckalfaf</t>
  </si>
  <si>
    <t>1500ckalhp</t>
  </si>
  <si>
    <t>1500spdxznl</t>
  </si>
  <si>
    <t>1500spdxfaf</t>
  </si>
  <si>
    <t>1500spdxhp</t>
  </si>
  <si>
    <t>1500sseaznl</t>
  </si>
  <si>
    <t>1500sseafaf</t>
  </si>
  <si>
    <t>1500sseahp</t>
  </si>
  <si>
    <t>1500sspkznl</t>
  </si>
  <si>
    <t>1500sspkfaf</t>
  </si>
  <si>
    <t>1500sspkhp</t>
  </si>
  <si>
    <t>1500sbosznl</t>
  </si>
  <si>
    <t>1500sbosfaf</t>
  </si>
  <si>
    <t>1500sboshp</t>
  </si>
  <si>
    <t>1500skalznl</t>
  </si>
  <si>
    <t>1500skalfaf</t>
  </si>
  <si>
    <t>1500skalhp</t>
  </si>
  <si>
    <t>1000pdxznl</t>
  </si>
  <si>
    <t>1000pdxfaf</t>
  </si>
  <si>
    <t>1000pdxhp</t>
  </si>
  <si>
    <t>1000seaznl</t>
  </si>
  <si>
    <t>1000seafaf</t>
  </si>
  <si>
    <t>1000seahp</t>
  </si>
  <si>
    <t>1000spkznl</t>
  </si>
  <si>
    <t>1000spkfaf</t>
  </si>
  <si>
    <t>1000spkhp</t>
  </si>
  <si>
    <t>1000bosznl</t>
  </si>
  <si>
    <t>1000bosfaf</t>
  </si>
  <si>
    <t>1000boshp</t>
  </si>
  <si>
    <t>1000kalznl</t>
  </si>
  <si>
    <t>1000kalfaf</t>
  </si>
  <si>
    <t>1000kalhp</t>
  </si>
  <si>
    <t>1500cpdx</t>
  </si>
  <si>
    <t>1500csea</t>
  </si>
  <si>
    <t>1500cspk</t>
  </si>
  <si>
    <t>1500cbos</t>
  </si>
  <si>
    <t>1500ckal</t>
  </si>
  <si>
    <t>1500spdx</t>
  </si>
  <si>
    <t>1500ssea</t>
  </si>
  <si>
    <t>1500sspk</t>
  </si>
  <si>
    <t>1500sbos</t>
  </si>
  <si>
    <t>1500skal</t>
  </si>
  <si>
    <t>1000pdx</t>
  </si>
  <si>
    <t>1000sea</t>
  </si>
  <si>
    <t>1000spk</t>
  </si>
  <si>
    <t>1000bos</t>
  </si>
  <si>
    <t>1000kal</t>
  </si>
  <si>
    <t>Savings Per unit (sqft, house, etc.)</t>
  </si>
  <si>
    <t>Weighted to Avg House Size</t>
  </si>
  <si>
    <t>ac</t>
  </si>
  <si>
    <t>pdxznl</t>
  </si>
  <si>
    <t>pdxfaf</t>
  </si>
  <si>
    <t>pdxhp</t>
  </si>
  <si>
    <t>seaznl</t>
  </si>
  <si>
    <t>seafaf</t>
  </si>
  <si>
    <t>seahp</t>
  </si>
  <si>
    <t>spkznl</t>
  </si>
  <si>
    <t>spkfaf</t>
  </si>
  <si>
    <t>spkhp</t>
  </si>
  <si>
    <t>bosznl</t>
  </si>
  <si>
    <t>bosfaf</t>
  </si>
  <si>
    <t>boshp</t>
  </si>
  <si>
    <t>kalznl</t>
  </si>
  <si>
    <t>kalfaf</t>
  </si>
  <si>
    <t>kalhp</t>
  </si>
  <si>
    <t>Savings Per Sq. Ft.</t>
  </si>
  <si>
    <t>&amp; Weighted to Avg Heating System (&amp; cooling system)</t>
  </si>
  <si>
    <t>Avg Htg &amp; Clg System</t>
  </si>
  <si>
    <t>CAC</t>
  </si>
  <si>
    <t>COPIED FROM:</t>
  </si>
  <si>
    <t>SQ_Ft</t>
  </si>
  <si>
    <t>EXT_Pane</t>
  </si>
  <si>
    <t>Existing_U</t>
  </si>
  <si>
    <t>New_U</t>
  </si>
  <si>
    <t>QTY</t>
  </si>
  <si>
    <t>U-factor</t>
  </si>
  <si>
    <t>MFWINDOWE32S</t>
  </si>
  <si>
    <t>MF Windows U-value - .32 to .30, single glazing, electric</t>
  </si>
  <si>
    <t>M00000282971</t>
  </si>
  <si>
    <t>2916</t>
  </si>
  <si>
    <t>1</t>
  </si>
  <si>
    <t>1.17</t>
  </si>
  <si>
    <t>.35</t>
  </si>
  <si>
    <t>167</t>
  </si>
  <si>
    <t>M00000307672</t>
  </si>
  <si>
    <t>620</t>
  </si>
  <si>
    <t>30</t>
  </si>
  <si>
    <t>M00000350115</t>
  </si>
  <si>
    <t>2106</t>
  </si>
  <si>
    <t>MFWINDOWG32</t>
  </si>
  <si>
    <t>MF Windows U-value - .32 to .30, gas</t>
  </si>
  <si>
    <t>M00000280047</t>
  </si>
  <si>
    <t>20944</t>
  </si>
  <si>
    <t>1039</t>
  </si>
  <si>
    <t>MFWINDOWE32D</t>
  </si>
  <si>
    <t>MF Windows U-value - .32 to .30, double glazing, electric</t>
  </si>
  <si>
    <t>M00000303828</t>
  </si>
  <si>
    <t>2415</t>
  </si>
  <si>
    <t>.34</t>
  </si>
  <si>
    <t>76</t>
  </si>
  <si>
    <t>M00000303834</t>
  </si>
  <si>
    <t>1816</t>
  </si>
  <si>
    <t>115</t>
  </si>
  <si>
    <t>M00000299125</t>
  </si>
  <si>
    <t>2005</t>
  </si>
  <si>
    <t>113</t>
  </si>
  <si>
    <t>M00000300600</t>
  </si>
  <si>
    <t>2549</t>
  </si>
  <si>
    <t>119</t>
  </si>
  <si>
    <t>M00000314664</t>
  </si>
  <si>
    <t>536</t>
  </si>
  <si>
    <t>37</t>
  </si>
  <si>
    <t>M00000284447</t>
  </si>
  <si>
    <t>332</t>
  </si>
  <si>
    <t>20</t>
  </si>
  <si>
    <t>M00000309419</t>
  </si>
  <si>
    <t>2726</t>
  </si>
  <si>
    <t>.33</t>
  </si>
  <si>
    <t>111</t>
  </si>
  <si>
    <t>M00000314626</t>
  </si>
  <si>
    <t>1714</t>
  </si>
  <si>
    <t>.32</t>
  </si>
  <si>
    <t>65</t>
  </si>
  <si>
    <t>M00000272353</t>
  </si>
  <si>
    <t>1593</t>
  </si>
  <si>
    <t>71</t>
  </si>
  <si>
    <t>M00000300612</t>
  </si>
  <si>
    <t>1030</t>
  </si>
  <si>
    <t>50</t>
  </si>
  <si>
    <t>M00000300624</t>
  </si>
  <si>
    <t>3978</t>
  </si>
  <si>
    <t>180</t>
  </si>
  <si>
    <t>M00000301610</t>
  </si>
  <si>
    <t>1646</t>
  </si>
  <si>
    <t>70</t>
  </si>
  <si>
    <t>M00000305141</t>
  </si>
  <si>
    <t>3686</t>
  </si>
  <si>
    <t>172</t>
  </si>
  <si>
    <t>M00000309426</t>
  </si>
  <si>
    <t>2416</t>
  </si>
  <si>
    <t>75</t>
  </si>
  <si>
    <t>M00000321918</t>
  </si>
  <si>
    <t>720</t>
  </si>
  <si>
    <t>M00000328147</t>
  </si>
  <si>
    <t>1106</t>
  </si>
  <si>
    <t>58</t>
  </si>
  <si>
    <t>M00000331433</t>
  </si>
  <si>
    <t>1263</t>
  </si>
  <si>
    <t>213</t>
  </si>
  <si>
    <t>M00000331549</t>
  </si>
  <si>
    <t>1665</t>
  </si>
  <si>
    <t>77</t>
  </si>
  <si>
    <t>M00000350020</t>
  </si>
  <si>
    <t>4708</t>
  </si>
  <si>
    <t>M00000366012</t>
  </si>
  <si>
    <t>699</t>
  </si>
  <si>
    <t>40</t>
  </si>
  <si>
    <t>M00000315429</t>
  </si>
  <si>
    <t>337</t>
  </si>
  <si>
    <t>31</t>
  </si>
  <si>
    <t>M00000363791</t>
  </si>
  <si>
    <t>492</t>
  </si>
  <si>
    <t>39</t>
  </si>
  <si>
    <t>M00000356134</t>
  </si>
  <si>
    <t>790</t>
  </si>
  <si>
    <t>.78</t>
  </si>
  <si>
    <t>.31</t>
  </si>
  <si>
    <t>38</t>
  </si>
  <si>
    <t>M00000282962</t>
  </si>
  <si>
    <t>2376</t>
  </si>
  <si>
    <t>199</t>
  </si>
  <si>
    <t>M00000323709</t>
  </si>
  <si>
    <t>411</t>
  </si>
  <si>
    <t>22</t>
  </si>
  <si>
    <t>M00000326011</t>
  </si>
  <si>
    <t>1162</t>
  </si>
  <si>
    <t>51</t>
  </si>
  <si>
    <t>M00000327667</t>
  </si>
  <si>
    <t>4128</t>
  </si>
  <si>
    <t>102</t>
  </si>
  <si>
    <t>M00000327812</t>
  </si>
  <si>
    <t>210</t>
  </si>
  <si>
    <t>6</t>
  </si>
  <si>
    <t>M00000328764</t>
  </si>
  <si>
    <t>648</t>
  </si>
  <si>
    <t>24</t>
  </si>
  <si>
    <t>M00000339151</t>
  </si>
  <si>
    <t>0.31</t>
  </si>
  <si>
    <t>M00000346444</t>
  </si>
  <si>
    <t>144</t>
  </si>
  <si>
    <t>12</t>
  </si>
  <si>
    <t>M00000350399</t>
  </si>
  <si>
    <t>1823</t>
  </si>
  <si>
    <t>M00000354897</t>
  </si>
  <si>
    <t>972</t>
  </si>
  <si>
    <t>47</t>
  </si>
  <si>
    <t>M00000361531</t>
  </si>
  <si>
    <t>1334</t>
  </si>
  <si>
    <t>72</t>
  </si>
  <si>
    <t>M00000276323</t>
  </si>
  <si>
    <t>6396</t>
  </si>
  <si>
    <t>271</t>
  </si>
  <si>
    <t>M00000326512</t>
  </si>
  <si>
    <t>547</t>
  </si>
  <si>
    <t>27</t>
  </si>
  <si>
    <t>MFWINDOWE30D</t>
  </si>
  <si>
    <t>MF Windows U-value - .30 and lower, double glazing, electric</t>
  </si>
  <si>
    <t>M00000301997</t>
  </si>
  <si>
    <t>3842</t>
  </si>
  <si>
    <t>.30</t>
  </si>
  <si>
    <t>159</t>
  </si>
  <si>
    <t>M00000303824</t>
  </si>
  <si>
    <t>1282</t>
  </si>
  <si>
    <t>57</t>
  </si>
  <si>
    <t>M00000315711</t>
  </si>
  <si>
    <t>3354</t>
  </si>
  <si>
    <t>2</t>
  </si>
  <si>
    <t>164</t>
  </si>
  <si>
    <t>M00000321154</t>
  </si>
  <si>
    <t>14661</t>
  </si>
  <si>
    <t>796</t>
  </si>
  <si>
    <t>M00000327752</t>
  </si>
  <si>
    <t>1578</t>
  </si>
  <si>
    <t>M00000328142</t>
  </si>
  <si>
    <t>7073</t>
  </si>
  <si>
    <t>278</t>
  </si>
  <si>
    <t>MFWINDOWE30S</t>
  </si>
  <si>
    <t>MF Windows U-value - .30 and lower, single glazing, electric</t>
  </si>
  <si>
    <t>M00000268010</t>
  </si>
  <si>
    <t>4144</t>
  </si>
  <si>
    <t>158</t>
  </si>
  <si>
    <t>M00000276114</t>
  </si>
  <si>
    <t>2184</t>
  </si>
  <si>
    <t>82</t>
  </si>
  <si>
    <t>M00000293756</t>
  </si>
  <si>
    <t>1788</t>
  </si>
  <si>
    <t>114</t>
  </si>
  <si>
    <t>M00000305686</t>
  </si>
  <si>
    <t>1173</t>
  </si>
  <si>
    <t>53</t>
  </si>
  <si>
    <t>M00000307660</t>
  </si>
  <si>
    <t>605</t>
  </si>
  <si>
    <t>M00000309508</t>
  </si>
  <si>
    <t>2140</t>
  </si>
  <si>
    <t>60</t>
  </si>
  <si>
    <t>M00000310228</t>
  </si>
  <si>
    <t>1528</t>
  </si>
  <si>
    <t>68</t>
  </si>
  <si>
    <t>M00000313119</t>
  </si>
  <si>
    <t>1178</t>
  </si>
  <si>
    <t>46</t>
  </si>
  <si>
    <t>M00000314636</t>
  </si>
  <si>
    <t>1229</t>
  </si>
  <si>
    <t>62</t>
  </si>
  <si>
    <t>M00000314815</t>
  </si>
  <si>
    <t>472</t>
  </si>
  <si>
    <t>25</t>
  </si>
  <si>
    <t>M00000321032</t>
  </si>
  <si>
    <t>2472</t>
  </si>
  <si>
    <t>116</t>
  </si>
  <si>
    <t>M00000321086</t>
  </si>
  <si>
    <t>7344</t>
  </si>
  <si>
    <t>256</t>
  </si>
  <si>
    <t>M00000321867</t>
  </si>
  <si>
    <t>705</t>
  </si>
  <si>
    <t>M00000323122</t>
  </si>
  <si>
    <t>M00000324242</t>
  </si>
  <si>
    <t>919</t>
  </si>
  <si>
    <t>45</t>
  </si>
  <si>
    <t>M00000326024</t>
  </si>
  <si>
    <t>556</t>
  </si>
  <si>
    <t>48</t>
  </si>
  <si>
    <t>M00000327666</t>
  </si>
  <si>
    <t>10582</t>
  </si>
  <si>
    <t>363</t>
  </si>
  <si>
    <t>M00000327742</t>
  </si>
  <si>
    <t>1180</t>
  </si>
  <si>
    <t>54</t>
  </si>
  <si>
    <t>M00000327811</t>
  </si>
  <si>
    <t>1017</t>
  </si>
  <si>
    <t>63</t>
  </si>
  <si>
    <t>M00000327860</t>
  </si>
  <si>
    <t>3276</t>
  </si>
  <si>
    <t>123</t>
  </si>
  <si>
    <t>M00000327867</t>
  </si>
  <si>
    <t>1439</t>
  </si>
  <si>
    <t>87</t>
  </si>
  <si>
    <t>M00000328110</t>
  </si>
  <si>
    <t>1824</t>
  </si>
  <si>
    <t>148</t>
  </si>
  <si>
    <t>M00000328116</t>
  </si>
  <si>
    <t>1710</t>
  </si>
  <si>
    <t>228</t>
  </si>
  <si>
    <t>M00000328120</t>
  </si>
  <si>
    <t>2052</t>
  </si>
  <si>
    <t>456</t>
  </si>
  <si>
    <t>M00000328124</t>
  </si>
  <si>
    <t>M00000328128</t>
  </si>
  <si>
    <t>M00000328132</t>
  </si>
  <si>
    <t>1938</t>
  </si>
  <si>
    <t>M00000328136</t>
  </si>
  <si>
    <t>3078</t>
  </si>
  <si>
    <t>798</t>
  </si>
  <si>
    <t>M00000328137</t>
  </si>
  <si>
    <t>1230</t>
  </si>
  <si>
    <t>64</t>
  </si>
  <si>
    <t>M00000328141</t>
  </si>
  <si>
    <t>819</t>
  </si>
  <si>
    <t>M00000328145</t>
  </si>
  <si>
    <t>3480</t>
  </si>
  <si>
    <t>178</t>
  </si>
  <si>
    <t>M00000331477</t>
  </si>
  <si>
    <t>3380</t>
  </si>
  <si>
    <t>154</t>
  </si>
  <si>
    <t>M00000331576</t>
  </si>
  <si>
    <t>531</t>
  </si>
  <si>
    <t>52</t>
  </si>
  <si>
    <t>M00000332557</t>
  </si>
  <si>
    <t>1093</t>
  </si>
  <si>
    <t>M00000333355</t>
  </si>
  <si>
    <t>3734</t>
  </si>
  <si>
    <t>170</t>
  </si>
  <si>
    <t>M00000350404</t>
  </si>
  <si>
    <t>2160</t>
  </si>
  <si>
    <t>142</t>
  </si>
  <si>
    <t>M00000356047</t>
  </si>
  <si>
    <t>7146</t>
  </si>
  <si>
    <t>218</t>
  </si>
  <si>
    <t>M00000356077</t>
  </si>
  <si>
    <t>444</t>
  </si>
  <si>
    <t>M00000358075</t>
  </si>
  <si>
    <t>335</t>
  </si>
  <si>
    <t>7</t>
  </si>
  <si>
    <t>M00000364231</t>
  </si>
  <si>
    <t>543</t>
  </si>
  <si>
    <t>M00000313164</t>
  </si>
  <si>
    <t>1024</t>
  </si>
  <si>
    <t>32</t>
  </si>
  <si>
    <t>M00000318596</t>
  </si>
  <si>
    <t>MFWINDOWG30</t>
  </si>
  <si>
    <t>MF Windows U-value - .30 and lower, gas</t>
  </si>
  <si>
    <t>M00000307680</t>
  </si>
  <si>
    <t>436</t>
  </si>
  <si>
    <t>M00000308244</t>
  </si>
  <si>
    <t>406</t>
  </si>
  <si>
    <t>M00000308316</t>
  </si>
  <si>
    <t>580</t>
  </si>
  <si>
    <t>M00000313122</t>
  </si>
  <si>
    <t>1190</t>
  </si>
  <si>
    <t>M00000313153</t>
  </si>
  <si>
    <t>446</t>
  </si>
  <si>
    <t>23</t>
  </si>
  <si>
    <t>M00000315466</t>
  </si>
  <si>
    <t>668</t>
  </si>
  <si>
    <t>66</t>
  </si>
  <si>
    <t>M00000315817</t>
  </si>
  <si>
    <t>944</t>
  </si>
  <si>
    <t>80</t>
  </si>
  <si>
    <t>M00000321685</t>
  </si>
  <si>
    <t>2123</t>
  </si>
  <si>
    <t>97</t>
  </si>
  <si>
    <t>M00000324306</t>
  </si>
  <si>
    <t>2413</t>
  </si>
  <si>
    <t>.96</t>
  </si>
  <si>
    <t>M00000324953</t>
  </si>
  <si>
    <t>M00000327732</t>
  </si>
  <si>
    <t>523</t>
  </si>
  <si>
    <t>M00000328086</t>
  </si>
  <si>
    <t>2400</t>
  </si>
  <si>
    <t>153</t>
  </si>
  <si>
    <t>M00000356025</t>
  </si>
  <si>
    <t>13368</t>
  </si>
  <si>
    <t>408</t>
  </si>
  <si>
    <t>M00000356037</t>
  </si>
  <si>
    <t>3256</t>
  </si>
  <si>
    <t>M00000330356</t>
  </si>
  <si>
    <t>894</t>
  </si>
  <si>
    <t>.29</t>
  </si>
  <si>
    <t>43</t>
  </si>
  <si>
    <t>M00000291045</t>
  </si>
  <si>
    <t>2662</t>
  </si>
  <si>
    <t>112</t>
  </si>
  <si>
    <t>M00000310231</t>
  </si>
  <si>
    <t>5505</t>
  </si>
  <si>
    <t>293</t>
  </si>
  <si>
    <t>M00000315440</t>
  </si>
  <si>
    <t>1100</t>
  </si>
  <si>
    <t>M00000321916</t>
  </si>
  <si>
    <t>1522</t>
  </si>
  <si>
    <t>18</t>
  </si>
  <si>
    <t>M00000330690</t>
  </si>
  <si>
    <t>3090</t>
  </si>
  <si>
    <t>140</t>
  </si>
  <si>
    <t>M00000331713</t>
  </si>
  <si>
    <t>M00000347886</t>
  </si>
  <si>
    <t>M00000371575</t>
  </si>
  <si>
    <t>3907</t>
  </si>
  <si>
    <t>185</t>
  </si>
  <si>
    <t>M00000271757</t>
  </si>
  <si>
    <t>274</t>
  </si>
  <si>
    <t>15</t>
  </si>
  <si>
    <t>M00000274212</t>
  </si>
  <si>
    <t>1109</t>
  </si>
  <si>
    <t>M00000358012</t>
  </si>
  <si>
    <t>1082</t>
  </si>
  <si>
    <t>M00000308375</t>
  </si>
  <si>
    <t>1436</t>
  </si>
  <si>
    <t>.25</t>
  </si>
  <si>
    <t>M00000315771</t>
  </si>
  <si>
    <t>U</t>
  </si>
  <si>
    <t>Average Cost/SF</t>
  </si>
  <si>
    <t>Median cost/SF</t>
  </si>
  <si>
    <t>25th Percentile</t>
  </si>
  <si>
    <t>N</t>
  </si>
  <si>
    <t>U-0.35 to U-0.30</t>
  </si>
  <si>
    <t>U-0.30 to U-0.25</t>
  </si>
  <si>
    <t>ATTIC R0 - R19_Electric Zonal</t>
  </si>
  <si>
    <t>ATTIC R19 - R30_Electric Zonal</t>
  </si>
  <si>
    <t>ATTIC R0 - R19_Electric FAF</t>
  </si>
  <si>
    <t>ATTIC R19 - R30_Electric FAF</t>
  </si>
  <si>
    <t>ATTIC R0 - R19_Heat Pump</t>
  </si>
  <si>
    <t>ATTIC R19 - R30_Heat Pump</t>
  </si>
  <si>
    <t>ExistingResidentialMultiFamily_SEEM96.xlsm</t>
  </si>
  <si>
    <t>Existing</t>
  </si>
  <si>
    <t>Mfshell_atticceiling Table from RBSA</t>
  </si>
  <si>
    <t>component_it</t>
  </si>
  <si>
    <t>atticceil_it</t>
  </si>
  <si>
    <t>u_ceil</t>
  </si>
  <si>
    <t>ceiling_1</t>
  </si>
  <si>
    <t>ceiling_2</t>
  </si>
  <si>
    <t>R0-R10</t>
  </si>
  <si>
    <t>Site_BldgSizeClass</t>
  </si>
  <si>
    <t>Site_Pweight</t>
  </si>
  <si>
    <t>Site_BldgVintage</t>
  </si>
  <si>
    <t>Site_BldgYearConstructed</t>
  </si>
  <si>
    <t>Site_City</t>
  </si>
  <si>
    <t>Site_State</t>
  </si>
  <si>
    <t>Site_PostCode</t>
  </si>
  <si>
    <t>Site_ElectricityUtility</t>
  </si>
  <si>
    <t>Site_NaturalGasUtility</t>
  </si>
  <si>
    <t>Config_ResidenceType</t>
  </si>
  <si>
    <t>Config_TotalUnits</t>
  </si>
  <si>
    <t>Config_ResFloors</t>
  </si>
  <si>
    <t>Config_NonResFloors</t>
  </si>
  <si>
    <t>Config_AboveGrndFloors</t>
  </si>
  <si>
    <t>Config_StorageMechFloors</t>
  </si>
  <si>
    <t>Config_TotalFloorArea</t>
  </si>
  <si>
    <t>Config_ResidentialFloorArea</t>
  </si>
  <si>
    <t>Config_ResCommonFloorArea</t>
  </si>
  <si>
    <t>Config_Total4Bed</t>
  </si>
  <si>
    <t>Config_Total3Bed</t>
  </si>
  <si>
    <t>Config_Total2Bed</t>
  </si>
  <si>
    <t>Config_Total1Bed</t>
  </si>
  <si>
    <t>Config_TotalStudio</t>
  </si>
  <si>
    <t>Config_Vacancy</t>
  </si>
  <si>
    <t>Config_CommercialAreaPresent</t>
  </si>
  <si>
    <t>Config_CommonAreaPresent</t>
  </si>
  <si>
    <t>Config_AvgCeilingHeight</t>
  </si>
  <si>
    <t>Energy_kWhAnnBldg</t>
  </si>
  <si>
    <t>Energy_kWhAnnUnit</t>
  </si>
  <si>
    <t>Energy_kWhAnnTot</t>
  </si>
  <si>
    <t>Energy_thmAnnBldg</t>
  </si>
  <si>
    <t>Energy_thmAnnUnit</t>
  </si>
  <si>
    <t>Energy_thmAnnTot</t>
  </si>
  <si>
    <t>Energy_kBtuAnnTot</t>
  </si>
  <si>
    <t>Shell_ExposedIntSlabsPresent</t>
  </si>
  <si>
    <t>Shell_CommercialAreaInResShell</t>
  </si>
  <si>
    <t>Shell_WindowsEastPct</t>
  </si>
  <si>
    <t>Shell_WindowsNEpct</t>
  </si>
  <si>
    <t>Shell_WindowsNorthPct</t>
  </si>
  <si>
    <t>Shell_WindowsNWpct</t>
  </si>
  <si>
    <t>Shell_WindowsSouthPct</t>
  </si>
  <si>
    <t>Shell_WindowsSEpct</t>
  </si>
  <si>
    <t>Shell_WindowsSWpct</t>
  </si>
  <si>
    <t>Shell_WindowsWestPct</t>
  </si>
  <si>
    <t>Shell_BalconiesPresent</t>
  </si>
  <si>
    <t>Equip_WasherCount</t>
  </si>
  <si>
    <t>Equip_DryerCount</t>
  </si>
  <si>
    <t>Equip_ElevatorCount</t>
  </si>
  <si>
    <t>Equip_CentralHVACpresent</t>
  </si>
  <si>
    <t>Equip_CentralVentilationPresent</t>
  </si>
  <si>
    <t>Equip_CommonHVACpresent</t>
  </si>
  <si>
    <t>Equip_CommonVentilationPresent</t>
  </si>
  <si>
    <t>Equip_WaterPboosterPumpPresent</t>
  </si>
  <si>
    <t>Equip_GarageVentilationPresent</t>
  </si>
  <si>
    <t>Equip_PoolHeaterPresent</t>
  </si>
  <si>
    <t>Equip_PrimaryHeatingSystem</t>
  </si>
  <si>
    <t>Equip_PrimaryHeatingFuel</t>
  </si>
  <si>
    <t>Equip_UnitOrCentralHeat</t>
  </si>
  <si>
    <t>Equip_CoolingSystem</t>
  </si>
  <si>
    <t>Equip_DHWSystemCategory</t>
  </si>
  <si>
    <t>Fuel_GasSvcPresent</t>
  </si>
  <si>
    <t>Fuel_ElectricityUsed</t>
  </si>
  <si>
    <t>Fuel_GasUsed</t>
  </si>
  <si>
    <t>Fuel_OilUsed</t>
  </si>
  <si>
    <t>Fuel_OtherFuelUsed</t>
  </si>
  <si>
    <t>Fuel_PropaneUsed</t>
  </si>
  <si>
    <t>Fuel_ElecMeterLocCount</t>
  </si>
  <si>
    <t>Fuel_ElecMeterCount</t>
  </si>
  <si>
    <t>Fuel_GasMeterLocCount</t>
  </si>
  <si>
    <t>Fuel_GasMeterCount</t>
  </si>
  <si>
    <t>Park_ParkingProvided</t>
  </si>
  <si>
    <t>Park_TotalNonResPercent</t>
  </si>
  <si>
    <t>Park_TotalStalls</t>
  </si>
  <si>
    <t>Park_TotalArea</t>
  </si>
  <si>
    <t>Park_Floors</t>
  </si>
  <si>
    <t>Park_EnclosedGarage</t>
  </si>
  <si>
    <t>Park_OpenGarage</t>
  </si>
  <si>
    <t>Park_CoveredLot</t>
  </si>
  <si>
    <t>Park_OpenLot</t>
  </si>
  <si>
    <t>Struct_StructureType</t>
  </si>
  <si>
    <t>Struct_ConstructionType</t>
  </si>
  <si>
    <t>Struct_FoundationType</t>
  </si>
  <si>
    <t>Struct_FrameMaterial</t>
  </si>
  <si>
    <t>1-3 stories</t>
  </si>
  <si>
    <t>1981-1990</t>
  </si>
  <si>
    <t>LAKEWOOD</t>
  </si>
  <si>
    <t>Tacoma Public Utilities</t>
  </si>
  <si>
    <t>Flats/Apartments</t>
  </si>
  <si>
    <t>Zonal Electric</t>
  </si>
  <si>
    <t>Electric</t>
  </si>
  <si>
    <t>in-unit system</t>
  </si>
  <si>
    <t>No Cooling</t>
  </si>
  <si>
    <t>Unit Water Heaters Only</t>
  </si>
  <si>
    <t>Frame over Concrete Slab</t>
  </si>
  <si>
    <t>Wood Framing</t>
  </si>
  <si>
    <t>&gt;90% slab</t>
  </si>
  <si>
    <t>Wood</t>
  </si>
  <si>
    <t>KIRKLAND</t>
  </si>
  <si>
    <t>Puget Sound Energy</t>
  </si>
  <si>
    <t>SILVERDALE</t>
  </si>
  <si>
    <t>Frame</t>
  </si>
  <si>
    <t>SEATTLE</t>
  </si>
  <si>
    <t>Seattle City Light</t>
  </si>
  <si>
    <t>Unit Water Heaters and Common Area System</t>
  </si>
  <si>
    <t>Parking/open</t>
  </si>
  <si>
    <t>1955-1970</t>
  </si>
  <si>
    <t>EUGENE</t>
  </si>
  <si>
    <t>Eugene Water &amp; Electric Board</t>
  </si>
  <si>
    <t>&gt;90% crawl</t>
  </si>
  <si>
    <t>LYNNWOOD</t>
  </si>
  <si>
    <t>Snohomish County PUD 1</t>
  </si>
  <si>
    <t>Mixed crawl and slab</t>
  </si>
  <si>
    <t>4-6 stories</t>
  </si>
  <si>
    <t>Frame over PT</t>
  </si>
  <si>
    <t>Parking/enclosed garage</t>
  </si>
  <si>
    <t>1971-1980</t>
  </si>
  <si>
    <t>BELLEVUE</t>
  </si>
  <si>
    <t>Unit Systems</t>
  </si>
  <si>
    <t>MUKILTEO</t>
  </si>
  <si>
    <t>&gt; 2000</t>
  </si>
  <si>
    <t>KENT</t>
  </si>
  <si>
    <t>1991-2000</t>
  </si>
  <si>
    <t>Forced Air</t>
  </si>
  <si>
    <t>Natural Gas</t>
  </si>
  <si>
    <t>Forced Air AC/HP</t>
  </si>
  <si>
    <t>Central Water Heater for Units and Common Areas</t>
  </si>
  <si>
    <t>Central Hydronic/Steam</t>
  </si>
  <si>
    <t>central system</t>
  </si>
  <si>
    <t>&gt;90% unheated basement</t>
  </si>
  <si>
    <t>BELLINGHAM</t>
  </si>
  <si>
    <t>EVERETT</t>
  </si>
  <si>
    <t>MARYSVILLE</t>
  </si>
  <si>
    <t>Townhouse or Rowhouse</t>
  </si>
  <si>
    <t>MOUNTLAKE TERRACE</t>
  </si>
  <si>
    <t>PTHP,DHP</t>
  </si>
  <si>
    <t>&lt;1955</t>
  </si>
  <si>
    <t>Oil</t>
  </si>
  <si>
    <t>heated daylight basement</t>
  </si>
  <si>
    <t>mixed basement &amp; slab</t>
  </si>
  <si>
    <t>NW Natural</t>
  </si>
  <si>
    <t>Stove</t>
  </si>
  <si>
    <t>Steel Framing</t>
  </si>
  <si>
    <t>Steel</t>
  </si>
  <si>
    <t>AUBURN</t>
  </si>
  <si>
    <t>REDMOND</t>
  </si>
  <si>
    <t>BREMERTON</t>
  </si>
  <si>
    <t>CNG - Cascade Natural Gas</t>
  </si>
  <si>
    <t>EDMONDS</t>
  </si>
  <si>
    <t>DES MOINES</t>
  </si>
  <si>
    <t>RENTON</t>
  </si>
  <si>
    <t>BURIEN</t>
  </si>
  <si>
    <t>TUMWATER</t>
  </si>
  <si>
    <t>7+ stories</t>
  </si>
  <si>
    <t>Solid Masonry</t>
  </si>
  <si>
    <t>Concrete Rigid Frame</t>
  </si>
  <si>
    <t>Concrete</t>
  </si>
  <si>
    <t>OLYMPIA</t>
  </si>
  <si>
    <t>MILL CREEK</t>
  </si>
  <si>
    <t>SNOHOMISH</t>
  </si>
  <si>
    <t>KENMORE</t>
  </si>
  <si>
    <t>Central Water Heater Units and Separate Common Area System</t>
  </si>
  <si>
    <t>Central Water Heater Units Only</t>
  </si>
  <si>
    <t>SNOQUALMIE</t>
  </si>
  <si>
    <t>LACEY</t>
  </si>
  <si>
    <t>NORTH SEATTLE</t>
  </si>
  <si>
    <t>FEDERAL WAY</t>
  </si>
  <si>
    <t>PORTLAND</t>
  </si>
  <si>
    <t>Portland General Electric</t>
  </si>
  <si>
    <t>Rigid Frame (concrete or steel)</t>
  </si>
  <si>
    <t>NEWPORT</t>
  </si>
  <si>
    <t>Central Lincoln PUD</t>
  </si>
  <si>
    <t>VANCOUVER</t>
  </si>
  <si>
    <t>Clark PUD</t>
  </si>
  <si>
    <t>MEDICAL LAKE</t>
  </si>
  <si>
    <t>Avista Energy</t>
  </si>
  <si>
    <t>TIGARD</t>
  </si>
  <si>
    <t>SALEM</t>
  </si>
  <si>
    <t>Salem Electric</t>
  </si>
  <si>
    <t>&gt;90% heated basement</t>
  </si>
  <si>
    <t>KALAMA</t>
  </si>
  <si>
    <t>Cowlitz County PUD</t>
  </si>
  <si>
    <t>METALINE FALLS</t>
  </si>
  <si>
    <t>Pend Oreille County PUD</t>
  </si>
  <si>
    <t>WENATCHEE</t>
  </si>
  <si>
    <t>Chelan County PUD 1</t>
  </si>
  <si>
    <t>BEAVERTON</t>
  </si>
  <si>
    <t>FLORENCE</t>
  </si>
  <si>
    <t>YAKIMA</t>
  </si>
  <si>
    <t>Pacific Power &amp; Light</t>
  </si>
  <si>
    <t>ELLENSBURG</t>
  </si>
  <si>
    <t>Ellensburg, City of</t>
  </si>
  <si>
    <t>HELENA</t>
  </si>
  <si>
    <t>Northwestern Energy</t>
  </si>
  <si>
    <t>MEDFORD</t>
  </si>
  <si>
    <t>TACOMA</t>
  </si>
  <si>
    <t>KENNEWICK</t>
  </si>
  <si>
    <t>Benton County PUD No. 1</t>
  </si>
  <si>
    <t>BOISE</t>
  </si>
  <si>
    <t>Idaho Power Co</t>
  </si>
  <si>
    <t>Intermountain Gas</t>
  </si>
  <si>
    <t>WHITE SULPHUR SPRINGS</t>
  </si>
  <si>
    <t>BEND</t>
  </si>
  <si>
    <t>MILWAUKIE</t>
  </si>
  <si>
    <t>TUALATIN</t>
  </si>
  <si>
    <t>MISSOULA</t>
  </si>
  <si>
    <t>SPOKANE</t>
  </si>
  <si>
    <t>TENSED</t>
  </si>
  <si>
    <t>Clearwater Power Company</t>
  </si>
  <si>
    <t>SPRINGFIELD</t>
  </si>
  <si>
    <t>Springfield Utility Board</t>
  </si>
  <si>
    <t>Central HP Loop/ VRF</t>
  </si>
  <si>
    <t>Central WSHP/VRF</t>
  </si>
  <si>
    <t>SPOKANE VALLEY</t>
  </si>
  <si>
    <t>Heat Pump (Forced Air)</t>
  </si>
  <si>
    <t>LINCOLN CITY</t>
  </si>
  <si>
    <t>Central Fan Coils/Chiller</t>
  </si>
  <si>
    <t>Masonry</t>
  </si>
  <si>
    <t>BAKER CITY</t>
  </si>
  <si>
    <t>Oregon Trail Electric</t>
  </si>
  <si>
    <t>Central Air/Ventilation</t>
  </si>
  <si>
    <t>CORVALLIS</t>
  </si>
  <si>
    <t>NEWCASTLE</t>
  </si>
  <si>
    <t>TUKWILA</t>
  </si>
  <si>
    <t>SHORELINE</t>
  </si>
  <si>
    <t>LAKE FOREST PARK</t>
  </si>
  <si>
    <t>Purchased Steam</t>
  </si>
  <si>
    <t>Steel Rigid Frame</t>
  </si>
  <si>
    <t>From Mfbuilding_master</t>
  </si>
  <si>
    <t># floors</t>
  </si>
  <si>
    <t>LowRiseWght</t>
  </si>
  <si>
    <t>Sum of LowRiseWght</t>
  </si>
  <si>
    <t>R19 max</t>
  </si>
  <si>
    <t>R30 max</t>
  </si>
  <si>
    <t>u_floor</t>
  </si>
  <si>
    <t>u_crawl_wall</t>
  </si>
  <si>
    <t>floor_1</t>
  </si>
  <si>
    <t>floor_2</t>
  </si>
  <si>
    <t>(blank) Total</t>
  </si>
  <si>
    <t>TRUE</t>
  </si>
  <si>
    <t>FALSE</t>
  </si>
  <si>
    <t>window_it</t>
  </si>
  <si>
    <t>WindowFrameType</t>
  </si>
  <si>
    <t>WindowGlazingType</t>
  </si>
  <si>
    <t>WindowSpaceWidth</t>
  </si>
  <si>
    <t>WindowPercentOperable</t>
  </si>
  <si>
    <t>WindowArea</t>
  </si>
  <si>
    <t>WindowStormsPresent</t>
  </si>
  <si>
    <t>WindowLowE</t>
  </si>
  <si>
    <t>wall_4</t>
  </si>
  <si>
    <t>Wood, Vinyl, or Fiberglass</t>
  </si>
  <si>
    <t>&gt;=1/2"</t>
  </si>
  <si>
    <t>wall_3</t>
  </si>
  <si>
    <t>&lt;1/2"</t>
  </si>
  <si>
    <t>wall_5</t>
  </si>
  <si>
    <t>wall_6</t>
  </si>
  <si>
    <t>wall_7</t>
  </si>
  <si>
    <t>wall_8</t>
  </si>
  <si>
    <t>wall_9</t>
  </si>
  <si>
    <t>wall_10</t>
  </si>
  <si>
    <t>wall_12</t>
  </si>
  <si>
    <t>R-All-HVAC-ER-All-All-E</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</si>
  <si>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</si>
  <si>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</si>
  <si>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</si>
  <si>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</si>
  <si>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</si>
  <si>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</si>
  <si>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</si>
  <si>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</si>
  <si>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</si>
  <si>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</si>
  <si>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</si>
  <si>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Marginal Costs and Savings Shape File</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</si>
  <si>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</si>
  <si>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</si>
  <si>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</si>
  <si>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</si>
  <si>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</si>
  <si>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</si>
  <si>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</si>
  <si>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</si>
  <si>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</si>
  <si>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</si>
  <si>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</si>
  <si>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</si>
  <si>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</si>
  <si>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</si>
  <si>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</si>
  <si>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</si>
  <si>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</si>
  <si>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</si>
  <si>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</si>
  <si>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</si>
  <si>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</si>
  <si>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</si>
  <si>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</si>
  <si>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</si>
  <si>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</si>
  <si>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</si>
  <si>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</si>
  <si>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</si>
  <si>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</si>
  <si>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</si>
  <si>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</si>
  <si>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</si>
  <si>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</si>
  <si>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</si>
  <si>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</si>
  <si>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</si>
  <si>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</si>
  <si>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</si>
  <si>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</si>
  <si>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</si>
  <si>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</si>
  <si>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</si>
  <si>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</si>
  <si>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</si>
  <si>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</si>
  <si>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</si>
  <si>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</si>
  <si>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</si>
  <si>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</si>
  <si>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</si>
  <si>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</si>
  <si>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</si>
  <si>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</si>
  <si>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</si>
  <si>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</si>
  <si>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</si>
  <si>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</si>
  <si>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</si>
  <si>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</si>
  <si>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</si>
  <si>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</si>
  <si>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</si>
  <si>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</si>
  <si>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</si>
  <si>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</si>
  <si>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</si>
  <si>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</si>
  <si>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</si>
  <si>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</si>
  <si>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</si>
  <si>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</si>
  <si>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</si>
  <si>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</si>
  <si>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</si>
  <si>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</si>
  <si>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</si>
  <si>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</si>
  <si>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</si>
  <si>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</si>
  <si>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</si>
  <si>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</si>
  <si>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</si>
  <si>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</si>
  <si>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</si>
  <si>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</si>
  <si>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</si>
  <si>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</si>
  <si>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</si>
  <si>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</si>
  <si>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</si>
  <si>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</si>
  <si>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</si>
  <si>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</si>
  <si>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</si>
  <si>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</si>
  <si>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Total</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</si>
  <si>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</si>
  <si>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</si>
  <si>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</si>
  <si>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</si>
  <si>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</si>
  <si>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</si>
  <si>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</si>
  <si>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</si>
  <si>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</si>
  <si>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</si>
  <si>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</si>
  <si>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</si>
  <si>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</si>
  <si>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</si>
  <si>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</si>
  <si>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</si>
  <si>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</si>
  <si>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</si>
  <si>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</si>
  <si>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</si>
  <si>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</si>
  <si>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</si>
  <si>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</si>
  <si>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</si>
  <si>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</si>
  <si>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</si>
  <si>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</si>
  <si>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</si>
  <si>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</si>
  <si>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</si>
  <si>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</si>
  <si>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</si>
  <si>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</si>
  <si>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</si>
  <si>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</si>
  <si>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</si>
  <si>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</si>
  <si>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</si>
  <si>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</si>
  <si>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</si>
  <si>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</si>
  <si>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</si>
  <si>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</si>
  <si>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</si>
  <si>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</si>
  <si>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</si>
  <si>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</si>
  <si>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</si>
  <si>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</si>
  <si>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</si>
  <si>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</si>
  <si>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</si>
  <si>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</si>
  <si>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</si>
  <si>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</si>
  <si>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</si>
  <si>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</si>
  <si>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</si>
  <si>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</si>
  <si>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</si>
  <si>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</si>
  <si>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</si>
  <si>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</si>
  <si>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</si>
  <si>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Totals Basis</t>
  </si>
  <si>
    <t>Busbar Electric Savings in kWh</t>
  </si>
  <si>
    <t>Measures with B/C &gt; 1.00</t>
  </si>
  <si>
    <t>Categories with B/C &gt; 1.00</t>
  </si>
  <si>
    <t>Supply Curve Results:  By TRC Net Levelized Cost - Net of Benefits</t>
  </si>
  <si>
    <t>LowRise Weights</t>
  </si>
  <si>
    <t>Low Rise Floor Area</t>
  </si>
  <si>
    <t>Low Rise # of floors</t>
  </si>
  <si>
    <t>Floor area * weight</t>
  </si>
  <si>
    <t>Average floor area</t>
  </si>
  <si>
    <t># floors * weight</t>
  </si>
  <si>
    <t>Average # of stories</t>
  </si>
  <si>
    <t>MAX</t>
  </si>
  <si>
    <t>% of homes that are program eligible</t>
  </si>
  <si>
    <t>Group Zonal &amp; DHP for region</t>
  </si>
  <si>
    <t>Block 22: 200-210 mills/kWh</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</si>
  <si>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</si>
  <si>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</si>
  <si>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</si>
  <si>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</si>
  <si>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</si>
  <si>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</si>
  <si>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</si>
  <si>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</si>
  <si>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</si>
  <si>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</si>
  <si>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</si>
  <si>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</si>
  <si>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</si>
  <si>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</si>
  <si>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</si>
  <si>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</si>
  <si>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</si>
  <si>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</si>
  <si>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</si>
  <si>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</si>
  <si>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</si>
  <si>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</si>
  <si>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</si>
  <si>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</si>
  <si>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</si>
  <si>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</si>
  <si>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</si>
  <si>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</si>
  <si>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 300 mills/kWh</t>
  </si>
  <si>
    <t>&gt;300</t>
  </si>
  <si>
    <t>\\nas2\Q\SeventhPlan\Conservation Analysis\Global EE Inputs\MC Files\MC_AND_LOADSHAPE_v3.0_24segment-7P-D9 - NewSegValues.xlsx</t>
  </si>
  <si>
    <t>Savings Allocation by Cost Bin and Month for Segments 1</t>
  </si>
  <si>
    <t>Savings Allocation by Cost Bin and Month for Segments 2</t>
  </si>
  <si>
    <t>Savings Allocation by Category and Month for Segments 1</t>
  </si>
  <si>
    <t>Savings Allocation by Category and Month for Segments 2</t>
  </si>
  <si>
    <t>Wholesale KW</t>
  </si>
  <si>
    <t>aMW</t>
  </si>
  <si>
    <t>Total per Year (aMW)</t>
  </si>
  <si>
    <t>Total Cumulative (aMW)</t>
  </si>
  <si>
    <t>SEEM models, RTF workbook</t>
  </si>
  <si>
    <t>New savings based on updated SEEM from v92 to v96</t>
  </si>
  <si>
    <t>existing low-rise multifamily homes, electric heating</t>
  </si>
  <si>
    <t>MultiFamily Weatherization</t>
  </si>
  <si>
    <t>Various pre/post R/U/CFM50 values</t>
  </si>
  <si>
    <t>HVAC Elec Resistance space heat - ELCAP</t>
  </si>
  <si>
    <t>new GLS shape, need to review against 6P</t>
  </si>
  <si>
    <t>Block 2: 0-10 mills/kWh</t>
  </si>
  <si>
    <t>Remove R30+ baseline from Attic, Remove R19-&gt; R30 for floor, Truncate Measure Name, Remove Average, Remove Window CL35 -&gt; XX option</t>
  </si>
  <si>
    <t>Monday, 12 January , 2015 at 11:15 AM</t>
  </si>
  <si>
    <t>Ramp Rate</t>
  </si>
  <si>
    <t>Resource Type</t>
  </si>
  <si>
    <t>Measure Category</t>
  </si>
  <si>
    <t>End Use</t>
  </si>
  <si>
    <t>kW per unit</t>
  </si>
  <si>
    <t>kWh per unit</t>
  </si>
  <si>
    <t>TRC Net Levelized Cost (Net of All Benefits)</t>
  </si>
  <si>
    <t>Retro12Med</t>
  </si>
</sst>
</file>

<file path=xl/styles.xml><?xml version="1.0" encoding="utf-8"?>
<styleSheet xmlns="http://schemas.openxmlformats.org/spreadsheetml/2006/main">
  <numFmts count="21">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0.0%"/>
    <numFmt numFmtId="169" formatCode="_(* #,##0.0_);_(* \(#,##0.0\);_(* &quot;-&quot;?_);_(@_)"/>
    <numFmt numFmtId="170" formatCode="m/d/\ h:mm"/>
    <numFmt numFmtId="171" formatCode="_(* #,##0_);_(* \(#,##0\);_(* &quot;-&quot;??_);_(@_)"/>
    <numFmt numFmtId="172" formatCode="mmm\-yyyy"/>
    <numFmt numFmtId="173" formatCode="#,##0.0"/>
    <numFmt numFmtId="174" formatCode="_(&quot;$&quot;* #,##0.000_);_(&quot;$&quot;* \(#,##0.000\);_(&quot;$&quot;* &quot;-&quot;??_);_(@_)"/>
    <numFmt numFmtId="175" formatCode="_(&quot;$&quot;* #,##0_);_(&quot;$&quot;* \(#,##0\);_(&quot;$&quot;* &quot;-&quot;??_);_(@_)"/>
    <numFmt numFmtId="176" formatCode="dd\-mmm\-yy"/>
    <numFmt numFmtId="177" formatCode="0.000"/>
    <numFmt numFmtId="178" formatCode="_(&quot;$&quot;* #,##0.0_);_(&quot;$&quot;* \(#,##0.0\);_(&quot;$&quot;* &quot;-&quot;??_);_(@_)"/>
    <numFmt numFmtId="179" formatCode="0.0;[Red]\-0.0"/>
    <numFmt numFmtId="180" formatCode="\ "/>
  </numFmts>
  <fonts count="74">
    <font>
      <sz val="10"/>
      <color theme="1"/>
      <name val="Arial"/>
      <family val="2"/>
    </font>
    <font>
      <sz val="11"/>
      <color theme="1"/>
      <name val="Calibri"/>
      <family val="2"/>
      <scheme val="minor"/>
    </font>
    <font>
      <sz val="12"/>
      <name val="Arial"/>
      <family val="2"/>
    </font>
    <font>
      <b/>
      <i/>
      <sz val="10"/>
      <name val="Arial"/>
      <family val="2"/>
    </font>
    <font>
      <sz val="1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b/>
      <sz val="8"/>
      <color indexed="81"/>
      <name val="Tahoma"/>
      <family val="2"/>
    </font>
    <font>
      <sz val="8"/>
      <color indexed="81"/>
      <name val="Tahoma"/>
      <family val="2"/>
    </font>
    <font>
      <b/>
      <sz val="10"/>
      <color rgb="FFFF0000"/>
      <name val="Arial"/>
      <family val="2"/>
    </font>
    <font>
      <sz val="10"/>
      <color indexed="9"/>
      <name val="Arial"/>
      <family val="2"/>
    </font>
    <font>
      <sz val="10"/>
      <color indexed="10"/>
      <name val="Arial"/>
      <family val="2"/>
    </font>
    <font>
      <sz val="10"/>
      <color theme="1"/>
      <name val="Arial"/>
      <family val="2"/>
    </font>
    <font>
      <sz val="12"/>
      <name val="Times New Roman"/>
      <family val="1"/>
    </font>
    <font>
      <b/>
      <sz val="12"/>
      <name val="Times New Roman"/>
      <family val="1"/>
    </font>
    <font>
      <sz val="11"/>
      <color theme="1"/>
      <name val="Calibri"/>
      <family val="2"/>
      <scheme val="minor"/>
    </font>
    <font>
      <b/>
      <sz val="11"/>
      <color theme="1"/>
      <name val="Calibri"/>
      <family val="2"/>
      <scheme val="minor"/>
    </font>
    <font>
      <sz val="11"/>
      <color indexed="8"/>
      <name val="Calibri"/>
      <family val="2"/>
    </font>
    <font>
      <sz val="11"/>
      <color rgb="FFFF0000"/>
      <name val="Calibri"/>
      <family val="2"/>
      <scheme val="minor"/>
    </font>
    <font>
      <sz val="9"/>
      <color theme="1"/>
      <name val="Consolas"/>
      <family val="3"/>
    </font>
    <font>
      <b/>
      <sz val="9"/>
      <color indexed="81"/>
      <name val="Tahoma"/>
      <family val="2"/>
    </font>
    <font>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1"/>
      <color indexed="56"/>
      <name val="Calibri"/>
      <family val="2"/>
    </font>
    <font>
      <u/>
      <sz val="11"/>
      <color theme="10"/>
      <name val="Calibri"/>
      <family val="2"/>
    </font>
    <font>
      <sz val="11"/>
      <color indexed="62"/>
      <name val="Calibri"/>
      <family val="2"/>
    </font>
    <font>
      <sz val="9"/>
      <name val="Consolas"/>
      <family val="3"/>
    </font>
    <font>
      <sz val="11"/>
      <color indexed="52"/>
      <name val="Calibri"/>
      <family val="2"/>
    </font>
    <font>
      <sz val="11"/>
      <color indexed="60"/>
      <name val="Calibri"/>
      <family val="2"/>
    </font>
    <font>
      <sz val="9"/>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sz val="10"/>
      <name val="Times New Roman"/>
      <family val="1"/>
    </font>
    <font>
      <b/>
      <sz val="10"/>
      <color indexed="8"/>
      <name val="Arial"/>
      <family val="2"/>
    </font>
    <font>
      <b/>
      <sz val="15"/>
      <color indexed="62"/>
      <name val="Calibri"/>
      <family val="2"/>
    </font>
    <font>
      <b/>
      <sz val="13"/>
      <color indexed="62"/>
      <name val="Calibri"/>
      <family val="2"/>
    </font>
    <font>
      <b/>
      <sz val="11"/>
      <color indexed="62"/>
      <name val="Calibri"/>
      <family val="2"/>
    </font>
    <font>
      <u/>
      <sz val="7"/>
      <color indexed="12"/>
      <name val="Arial"/>
      <family val="2"/>
    </font>
    <font>
      <u/>
      <sz val="10"/>
      <color indexed="12"/>
      <name val="Times New Roman"/>
      <family val="1"/>
    </font>
    <font>
      <u/>
      <sz val="10"/>
      <color theme="10"/>
      <name val="Arial"/>
      <family val="2"/>
    </font>
    <font>
      <u/>
      <sz val="11"/>
      <color theme="10"/>
      <name val="Calibri"/>
      <family val="2"/>
      <scheme val="minor"/>
    </font>
    <font>
      <sz val="9"/>
      <name val="Arial"/>
      <family val="2"/>
    </font>
    <font>
      <sz val="12"/>
      <name val="Helv"/>
    </font>
    <font>
      <sz val="10"/>
      <name val="Helv"/>
    </font>
    <font>
      <sz val="10"/>
      <name val="Helv"/>
      <charset val="204"/>
    </font>
    <font>
      <b/>
      <sz val="18"/>
      <color indexed="62"/>
      <name val="Cambria"/>
      <family val="2"/>
    </font>
    <font>
      <sz val="10"/>
      <name val="굴림"/>
      <family val="3"/>
      <charset val="129"/>
    </font>
    <font>
      <b/>
      <sz val="11"/>
      <color theme="0"/>
      <name val="Calibri"/>
      <family val="2"/>
      <scheme val="minor"/>
    </font>
    <font>
      <sz val="10"/>
      <name val="Arial"/>
      <family val="2"/>
    </font>
    <font>
      <u/>
      <sz val="10"/>
      <color indexed="12"/>
      <name val="Arial"/>
      <family val="2"/>
    </font>
    <font>
      <b/>
      <sz val="14"/>
      <color theme="1"/>
      <name val="Calibri"/>
      <family val="2"/>
      <scheme val="minor"/>
    </font>
    <font>
      <b/>
      <sz val="11"/>
      <name val="Calibri"/>
      <family val="2"/>
      <scheme val="minor"/>
    </font>
    <font>
      <sz val="11"/>
      <name val="Calibri"/>
      <family val="2"/>
      <scheme val="minor"/>
    </font>
    <font>
      <sz val="10"/>
      <name val="Arial"/>
      <family val="2"/>
    </font>
    <font>
      <b/>
      <sz val="14"/>
      <color rgb="FFFF0000"/>
      <name val="Calibri"/>
      <family val="2"/>
      <scheme val="minor"/>
    </font>
    <font>
      <sz val="14"/>
      <color theme="1"/>
      <name val="Calibri"/>
      <family val="2"/>
      <scheme val="minor"/>
    </font>
    <font>
      <b/>
      <sz val="11"/>
      <color rgb="FF0070C0"/>
      <name val="Calibri"/>
      <family val="2"/>
      <scheme val="minor"/>
    </font>
    <font>
      <sz val="11"/>
      <color rgb="FF0070C0"/>
      <name val="Calibri"/>
      <family val="2"/>
      <scheme val="minor"/>
    </font>
    <font>
      <sz val="11"/>
      <name val="Arial"/>
      <family val="2"/>
    </font>
    <font>
      <sz val="11"/>
      <color rgb="FF00B050"/>
      <name val="Calibri"/>
      <family val="2"/>
      <scheme val="minor"/>
    </font>
    <font>
      <b/>
      <sz val="36"/>
      <color rgb="FFFF0000"/>
      <name val="Calibri"/>
      <family val="2"/>
      <scheme val="minor"/>
    </font>
    <font>
      <b/>
      <sz val="14"/>
      <color rgb="FF0070C0"/>
      <name val="Calibri"/>
      <family val="2"/>
      <scheme val="minor"/>
    </font>
  </fonts>
  <fills count="96">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rgb="FFFFFF00"/>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theme="6"/>
        <bgColor indexed="64"/>
      </patternFill>
    </fill>
    <fill>
      <patternFill patternType="solid">
        <fgColor indexed="43"/>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43"/>
        <bgColor indexed="64"/>
      </patternFill>
    </fill>
    <fill>
      <patternFill patternType="solid">
        <fgColor indexed="9"/>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26"/>
      </patternFill>
    </fill>
    <fill>
      <patternFill patternType="solid">
        <fgColor theme="4"/>
        <bgColor theme="4"/>
      </patternFill>
    </fill>
    <fill>
      <patternFill patternType="solid">
        <fgColor theme="4" tint="0.79998168889431442"/>
        <bgColor theme="4" tint="0.79998168889431442"/>
      </patternFill>
    </fill>
    <fill>
      <patternFill patternType="solid">
        <fgColor theme="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indexed="42"/>
        <bgColor indexed="64"/>
      </patternFill>
    </fill>
    <fill>
      <patternFill patternType="solid">
        <fgColor theme="5" tint="0.39997558519241921"/>
        <bgColor indexed="64"/>
      </patternFill>
    </fill>
    <fill>
      <patternFill patternType="solid">
        <fgColor rgb="FFFF000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indexed="13"/>
        <bgColor indexed="64"/>
      </patternFill>
    </fill>
    <fill>
      <patternFill patternType="solid">
        <fgColor indexed="4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indexed="60"/>
        <bgColor indexed="64"/>
      </patternFill>
    </fill>
    <fill>
      <patternFill patternType="solid">
        <fgColor indexed="31"/>
        <bgColor indexed="64"/>
      </patternFill>
    </fill>
  </fills>
  <borders count="98">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style="thin">
        <color theme="0"/>
      </left>
      <right style="thin">
        <color theme="0"/>
      </right>
      <top style="thin">
        <color theme="0"/>
      </top>
      <bottom style="thin">
        <color theme="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22"/>
      </right>
      <top/>
      <bottom style="thin">
        <color indexed="22"/>
      </bottom>
      <diagonal/>
    </border>
    <border>
      <left style="thin">
        <color indexed="22"/>
      </left>
      <right style="thin">
        <color indexed="22"/>
      </right>
      <top/>
      <bottom style="thin">
        <color indexed="22"/>
      </bottom>
      <diagonal/>
    </border>
    <border>
      <left/>
      <right style="medium">
        <color indexed="64"/>
      </right>
      <top/>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s>
  <cellStyleXfs count="538">
    <xf numFmtId="0" fontId="0" fillId="0" borderId="0"/>
    <xf numFmtId="0" fontId="2" fillId="0" borderId="0"/>
    <xf numFmtId="0" fontId="4" fillId="0" borderId="0"/>
    <xf numFmtId="0" fontId="4" fillId="0" borderId="0"/>
    <xf numFmtId="9"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alignment readingOrder="1"/>
    </xf>
    <xf numFmtId="9" fontId="4" fillId="0" borderId="0" applyFont="0" applyFill="0" applyBorder="0" applyAlignment="0" applyProtection="0"/>
    <xf numFmtId="0" fontId="4" fillId="8" borderId="0" applyNumberFormat="0" applyAlignment="0">
      <alignment horizontal="right"/>
    </xf>
    <xf numFmtId="0" fontId="4" fillId="9" borderId="0" applyNumberFormat="0" applyAlignment="0"/>
    <xf numFmtId="170" fontId="16" fillId="0" borderId="0"/>
    <xf numFmtId="0" fontId="17" fillId="0" borderId="0">
      <alignment horizontal="center" wrapText="1"/>
    </xf>
    <xf numFmtId="0" fontId="18" fillId="0" borderId="0"/>
    <xf numFmtId="0" fontId="22" fillId="0" borderId="0" applyAlignment="0"/>
    <xf numFmtId="9" fontId="22" fillId="0" borderId="0" applyFont="0" applyFill="0" applyBorder="0" applyAlignment="0" applyProtection="0"/>
    <xf numFmtId="43" fontId="22" fillId="0" borderId="0" applyFont="0" applyFill="0" applyBorder="0" applyAlignment="0" applyProtection="0"/>
    <xf numFmtId="0" fontId="20" fillId="26" borderId="0" applyNumberFormat="0" applyBorder="0" applyAlignment="0" applyProtection="0"/>
    <xf numFmtId="0" fontId="18" fillId="13" borderId="0" applyNumberFormat="0" applyBorder="0" applyAlignment="0" applyProtection="0"/>
    <xf numFmtId="0" fontId="20" fillId="27" borderId="0" applyNumberFormat="0" applyBorder="0" applyAlignment="0" applyProtection="0"/>
    <xf numFmtId="0" fontId="18" fillId="15" borderId="0" applyNumberFormat="0" applyBorder="0" applyAlignment="0" applyProtection="0"/>
    <xf numFmtId="0" fontId="20" fillId="28" borderId="0" applyNumberFormat="0" applyBorder="0" applyAlignment="0" applyProtection="0"/>
    <xf numFmtId="0" fontId="18" fillId="17" borderId="0" applyNumberFormat="0" applyBorder="0" applyAlignment="0" applyProtection="0"/>
    <xf numFmtId="0" fontId="20" fillId="29" borderId="0" applyNumberFormat="0" applyBorder="0" applyAlignment="0" applyProtection="0"/>
    <xf numFmtId="0" fontId="18" fillId="19" borderId="0" applyNumberFormat="0" applyBorder="0" applyAlignment="0" applyProtection="0"/>
    <xf numFmtId="0" fontId="20" fillId="30" borderId="0" applyNumberFormat="0" applyBorder="0" applyAlignment="0" applyProtection="0"/>
    <xf numFmtId="0" fontId="18" fillId="21" borderId="0" applyNumberFormat="0" applyBorder="0" applyAlignment="0" applyProtection="0"/>
    <xf numFmtId="0" fontId="20" fillId="31" borderId="0" applyNumberFormat="0" applyBorder="0" applyAlignment="0" applyProtection="0"/>
    <xf numFmtId="0" fontId="18" fillId="23" borderId="0" applyNumberFormat="0" applyBorder="0" applyAlignment="0" applyProtection="0"/>
    <xf numFmtId="0" fontId="20" fillId="32" borderId="0" applyNumberFormat="0" applyBorder="0" applyAlignment="0" applyProtection="0"/>
    <xf numFmtId="0" fontId="18" fillId="14" borderId="0" applyNumberFormat="0" applyBorder="0" applyAlignment="0" applyProtection="0"/>
    <xf numFmtId="0" fontId="20" fillId="33" borderId="0" applyNumberFormat="0" applyBorder="0" applyAlignment="0" applyProtection="0"/>
    <xf numFmtId="0" fontId="18" fillId="16" borderId="0" applyNumberFormat="0" applyBorder="0" applyAlignment="0" applyProtection="0"/>
    <xf numFmtId="0" fontId="20" fillId="34" borderId="0" applyNumberFormat="0" applyBorder="0" applyAlignment="0" applyProtection="0"/>
    <xf numFmtId="0" fontId="18" fillId="18" borderId="0" applyNumberFormat="0" applyBorder="0" applyAlignment="0" applyProtection="0"/>
    <xf numFmtId="0" fontId="20" fillId="29" borderId="0" applyNumberFormat="0" applyBorder="0" applyAlignment="0" applyProtection="0"/>
    <xf numFmtId="0" fontId="18" fillId="20" borderId="0" applyNumberFormat="0" applyBorder="0" applyAlignment="0" applyProtection="0"/>
    <xf numFmtId="0" fontId="20" fillId="32" borderId="0" applyNumberFormat="0" applyBorder="0" applyAlignment="0" applyProtection="0"/>
    <xf numFmtId="0" fontId="18" fillId="22" borderId="0" applyNumberFormat="0" applyBorder="0" applyAlignment="0" applyProtection="0"/>
    <xf numFmtId="0" fontId="20" fillId="35" borderId="0" applyNumberFormat="0" applyBorder="0" applyAlignment="0" applyProtection="0"/>
    <xf numFmtId="0" fontId="18" fillId="24" borderId="0" applyNumberFormat="0" applyBorder="0" applyAlignment="0" applyProtection="0"/>
    <xf numFmtId="0" fontId="25" fillId="36"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6" fillId="27" borderId="0" applyNumberFormat="0" applyBorder="0" applyAlignment="0" applyProtection="0"/>
    <xf numFmtId="0" fontId="27" fillId="44" borderId="30" applyNumberFormat="0" applyAlignment="0" applyProtection="0"/>
    <xf numFmtId="0" fontId="28" fillId="45" borderId="31"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4" fontId="4" fillId="0" borderId="0" applyFont="0" applyFill="0" applyBorder="0" applyAlignment="0" applyProtection="0"/>
    <xf numFmtId="0" fontId="29" fillId="0" borderId="0" applyNumberFormat="0" applyFill="0" applyBorder="0" applyAlignment="0" applyProtection="0"/>
    <xf numFmtId="0" fontId="30" fillId="28" borderId="0" applyNumberFormat="0" applyBorder="0" applyAlignment="0" applyProtection="0"/>
    <xf numFmtId="0" fontId="31" fillId="0" borderId="32" applyNumberFormat="0" applyFill="0" applyAlignment="0" applyProtection="0"/>
    <xf numFmtId="0" fontId="5" fillId="46" borderId="5">
      <alignment horizontal="left"/>
    </xf>
    <xf numFmtId="0" fontId="32" fillId="0" borderId="3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31" borderId="30" applyNumberFormat="0" applyAlignment="0" applyProtection="0"/>
    <xf numFmtId="0" fontId="35" fillId="47" borderId="34" applyNumberFormat="0" applyProtection="0">
      <alignment horizontal="center"/>
    </xf>
    <xf numFmtId="0" fontId="36" fillId="0" borderId="35" applyNumberFormat="0" applyFill="0" applyAlignment="0" applyProtection="0"/>
    <xf numFmtId="0" fontId="37" fillId="48" borderId="0" applyNumberFormat="0" applyBorder="0" applyAlignment="0" applyProtection="0"/>
    <xf numFmtId="0" fontId="18" fillId="0" borderId="0"/>
    <xf numFmtId="0" fontId="4" fillId="0" borderId="0"/>
    <xf numFmtId="0" fontId="38" fillId="0" borderId="0"/>
    <xf numFmtId="0" fontId="38" fillId="0" borderId="0"/>
    <xf numFmtId="0" fontId="38" fillId="0" borderId="0"/>
    <xf numFmtId="0" fontId="18" fillId="0" borderId="0"/>
    <xf numFmtId="0" fontId="18" fillId="0" borderId="0"/>
    <xf numFmtId="0" fontId="18"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18" fillId="12" borderId="15" applyNumberFormat="0" applyFont="0" applyAlignment="0" applyProtection="0"/>
    <xf numFmtId="0" fontId="18" fillId="12" borderId="15" applyNumberFormat="0" applyFont="0" applyAlignment="0" applyProtection="0"/>
    <xf numFmtId="0" fontId="39" fillId="44" borderId="36" applyNumberFormat="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0" fillId="0" borderId="0" applyNumberFormat="0" applyFill="0" applyBorder="0" applyAlignment="0" applyProtection="0"/>
    <xf numFmtId="0" fontId="41" fillId="0" borderId="37" applyNumberFormat="0" applyFill="0" applyAlignment="0" applyProtection="0"/>
    <xf numFmtId="0" fontId="42" fillId="0" borderId="0" applyNumberFormat="0" applyFill="0" applyBorder="0" applyAlignment="0" applyProtection="0"/>
    <xf numFmtId="0" fontId="4" fillId="0" borderId="0"/>
    <xf numFmtId="0" fontId="4" fillId="0" borderId="0"/>
    <xf numFmtId="0" fontId="43" fillId="0" borderId="0"/>
    <xf numFmtId="0" fontId="4" fillId="0" borderId="0">
      <alignment readingOrder="1"/>
    </xf>
    <xf numFmtId="0" fontId="4" fillId="0" borderId="0">
      <alignment readingOrder="1"/>
    </xf>
    <xf numFmtId="0" fontId="20" fillId="56" borderId="0" applyNumberFormat="0" applyBorder="0" applyAlignment="0" applyProtection="0"/>
    <xf numFmtId="0" fontId="20" fillId="27" borderId="0" applyNumberFormat="0" applyBorder="0" applyAlignment="0" applyProtection="0"/>
    <xf numFmtId="0" fontId="20" fillId="56" borderId="0" applyNumberFormat="0" applyBorder="0" applyAlignment="0" applyProtection="0"/>
    <xf numFmtId="0" fontId="20" fillId="44"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44" borderId="0" applyNumberFormat="0" applyBorder="0" applyAlignment="0" applyProtection="0"/>
    <xf numFmtId="0" fontId="20" fillId="31"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27" borderId="0" applyNumberFormat="0" applyBorder="0" applyAlignment="0" applyProtection="0"/>
    <xf numFmtId="0" fontId="25" fillId="33" borderId="0" applyNumberFormat="0" applyBorder="0" applyAlignment="0" applyProtection="0"/>
    <xf numFmtId="0" fontId="25" fillId="27" borderId="0" applyNumberFormat="0" applyBorder="0" applyAlignment="0" applyProtection="0"/>
    <xf numFmtId="0" fontId="25" fillId="48"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38"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13" fillId="59"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13" fillId="61" borderId="0" applyNumberFormat="0" applyBorder="0" applyAlignment="0" applyProtection="0"/>
    <xf numFmtId="0" fontId="25" fillId="4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3" fillId="63" borderId="0" applyNumberFormat="0" applyBorder="0" applyAlignment="0" applyProtection="0"/>
    <xf numFmtId="0" fontId="25" fillId="27" borderId="0" applyNumberFormat="0" applyBorder="0" applyAlignment="0" applyProtection="0"/>
    <xf numFmtId="0" fontId="25" fillId="42"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13" fillId="65"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8" fillId="67" borderId="0" applyNumberFormat="0" applyBorder="0" applyAlignment="0" applyProtection="0"/>
    <xf numFmtId="0" fontId="8" fillId="58" borderId="0" applyNumberFormat="0" applyBorder="0" applyAlignment="0" applyProtection="0"/>
    <xf numFmtId="0" fontId="13" fillId="68" borderId="0" applyNumberFormat="0" applyBorder="0" applyAlignment="0" applyProtection="0"/>
    <xf numFmtId="0" fontId="25" fillId="3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13" fillId="71" borderId="0" applyNumberFormat="0" applyBorder="0" applyAlignment="0" applyProtection="0"/>
    <xf numFmtId="0" fontId="25" fillId="43" borderId="0" applyNumberFormat="0" applyBorder="0" applyAlignment="0" applyProtection="0"/>
    <xf numFmtId="0" fontId="26" fillId="29" borderId="0" applyNumberFormat="0" applyBorder="0" applyAlignment="0" applyProtection="0"/>
    <xf numFmtId="0" fontId="26" fillId="27" borderId="0" applyNumberFormat="0" applyBorder="0" applyAlignment="0" applyProtection="0"/>
    <xf numFmtId="0" fontId="27" fillId="56" borderId="30" applyNumberFormat="0" applyAlignment="0" applyProtection="0"/>
    <xf numFmtId="0" fontId="27" fillId="56" borderId="30" applyNumberFormat="0" applyAlignment="0" applyProtection="0"/>
    <xf numFmtId="0" fontId="28" fillId="45" borderId="31" applyNumberFormat="0" applyAlignment="0" applyProtection="0"/>
    <xf numFmtId="41" fontId="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5" fillId="72" borderId="0" applyNumberFormat="0" applyBorder="0" applyAlignment="0" applyProtection="0"/>
    <xf numFmtId="0" fontId="45" fillId="73" borderId="0" applyNumberFormat="0" applyBorder="0" applyAlignment="0" applyProtection="0"/>
    <xf numFmtId="0" fontId="45" fillId="74" borderId="0" applyNumberFormat="0" applyBorder="0" applyAlignment="0" applyProtection="0"/>
    <xf numFmtId="0" fontId="29" fillId="0" borderId="0" applyNumberFormat="0" applyFill="0" applyBorder="0" applyAlignment="0" applyProtection="0"/>
    <xf numFmtId="0" fontId="30" fillId="28" borderId="0" applyNumberFormat="0" applyBorder="0" applyAlignment="0" applyProtection="0"/>
    <xf numFmtId="0" fontId="46" fillId="0" borderId="38" applyNumberFormat="0" applyFill="0" applyAlignment="0" applyProtection="0"/>
    <xf numFmtId="0" fontId="46" fillId="0" borderId="38" applyNumberFormat="0" applyFill="0" applyAlignment="0" applyProtection="0"/>
    <xf numFmtId="0" fontId="47" fillId="0" borderId="39" applyNumberFormat="0" applyFill="0" applyAlignment="0" applyProtection="0"/>
    <xf numFmtId="0" fontId="48" fillId="0" borderId="40" applyNumberFormat="0" applyFill="0" applyAlignment="0" applyProtection="0"/>
    <xf numFmtId="0" fontId="48" fillId="0" borderId="40"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6" fillId="0" borderId="35" applyNumberFormat="0" applyFill="0" applyAlignment="0" applyProtection="0"/>
    <xf numFmtId="0" fontId="37" fillId="48" borderId="0" applyNumberFormat="0" applyBorder="0" applyAlignment="0" applyProtection="0"/>
    <xf numFmtId="0" fontId="20" fillId="0" borderId="0"/>
    <xf numFmtId="0" fontId="4" fillId="0" borderId="0"/>
    <xf numFmtId="0" fontId="20" fillId="0" borderId="0"/>
    <xf numFmtId="0" fontId="20" fillId="0" borderId="0"/>
    <xf numFmtId="0" fontId="4" fillId="0" borderId="0"/>
    <xf numFmtId="0" fontId="4" fillId="0" borderId="0">
      <alignment readingOrder="1"/>
    </xf>
    <xf numFmtId="0" fontId="18" fillId="0" borderId="0"/>
    <xf numFmtId="0" fontId="18" fillId="0" borderId="0"/>
    <xf numFmtId="0" fontId="18" fillId="0" borderId="0"/>
    <xf numFmtId="0" fontId="15" fillId="0" borderId="0"/>
    <xf numFmtId="0" fontId="18" fillId="0" borderId="0"/>
    <xf numFmtId="0" fontId="18" fillId="0" borderId="0"/>
    <xf numFmtId="0" fontId="15"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alignment readingOrder="1"/>
    </xf>
    <xf numFmtId="0" fontId="18" fillId="0" borderId="0"/>
    <xf numFmtId="0" fontId="4" fillId="0" borderId="0"/>
    <xf numFmtId="0" fontId="4" fillId="0" borderId="0"/>
    <xf numFmtId="0" fontId="4" fillId="0" borderId="0"/>
    <xf numFmtId="0" fontId="4" fillId="0" borderId="0">
      <alignment readingOrder="1"/>
    </xf>
    <xf numFmtId="0" fontId="18" fillId="0" borderId="0"/>
    <xf numFmtId="0" fontId="18" fillId="0" borderId="0"/>
    <xf numFmtId="0" fontId="18" fillId="0" borderId="0"/>
    <xf numFmtId="0" fontId="18" fillId="0" borderId="0"/>
    <xf numFmtId="0" fontId="4" fillId="0" borderId="0">
      <alignment readingOrder="1"/>
    </xf>
    <xf numFmtId="0" fontId="18" fillId="0" borderId="0"/>
    <xf numFmtId="0" fontId="18" fillId="0" borderId="0"/>
    <xf numFmtId="0" fontId="4" fillId="0" borderId="0">
      <alignment readingOrder="1"/>
    </xf>
    <xf numFmtId="0" fontId="18" fillId="0" borderId="0"/>
    <xf numFmtId="0" fontId="18" fillId="0" borderId="0"/>
    <xf numFmtId="0" fontId="4" fillId="0" borderId="0">
      <alignment readingOrder="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53" fillId="0" borderId="0"/>
    <xf numFmtId="0" fontId="54" fillId="0" borderId="0"/>
    <xf numFmtId="0" fontId="54" fillId="0" borderId="0"/>
    <xf numFmtId="0" fontId="54" fillId="0" borderId="0"/>
    <xf numFmtId="0" fontId="4" fillId="0" borderId="0"/>
    <xf numFmtId="0" fontId="4" fillId="0" borderId="0"/>
    <xf numFmtId="0" fontId="4" fillId="0" borderId="0"/>
    <xf numFmtId="0" fontId="54" fillId="0" borderId="0"/>
    <xf numFmtId="0" fontId="54" fillId="0" borderId="0"/>
    <xf numFmtId="0" fontId="54"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xf numFmtId="0" fontId="20"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8" fillId="0" borderId="0"/>
    <xf numFmtId="0" fontId="4" fillId="0" borderId="0" applyNumberFormat="0" applyFill="0" applyBorder="0" applyAlignment="0" applyProtection="0"/>
    <xf numFmtId="0" fontId="18" fillId="0" borderId="0"/>
    <xf numFmtId="0" fontId="18" fillId="0" borderId="0"/>
    <xf numFmtId="0" fontId="44" fillId="0" borderId="0"/>
    <xf numFmtId="0" fontId="18" fillId="0" borderId="0"/>
    <xf numFmtId="0" fontId="18" fillId="0" borderId="0"/>
    <xf numFmtId="0" fontId="4" fillId="0" borderId="0">
      <alignment readingOrder="1"/>
    </xf>
    <xf numFmtId="0" fontId="18" fillId="0" borderId="0"/>
    <xf numFmtId="0" fontId="18" fillId="0" borderId="0"/>
    <xf numFmtId="0" fontId="18" fillId="0" borderId="0"/>
    <xf numFmtId="0" fontId="18" fillId="0" borderId="0"/>
    <xf numFmtId="0" fontId="18"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18" fillId="0" borderId="0"/>
    <xf numFmtId="0" fontId="18" fillId="0" borderId="0"/>
    <xf numFmtId="0" fontId="4" fillId="0" borderId="0"/>
    <xf numFmtId="0" fontId="20" fillId="0" borderId="0"/>
    <xf numFmtId="0" fontId="18" fillId="0" borderId="0"/>
    <xf numFmtId="0" fontId="20" fillId="0" borderId="0"/>
    <xf numFmtId="0" fontId="20" fillId="0" borderId="0"/>
    <xf numFmtId="0" fontId="20" fillId="0" borderId="0"/>
    <xf numFmtId="0" fontId="4" fillId="0" borderId="0">
      <alignment readingOrder="1"/>
    </xf>
    <xf numFmtId="0" fontId="4" fillId="0" borderId="0">
      <alignment readingOrder="1"/>
    </xf>
    <xf numFmtId="0" fontId="4" fillId="0" borderId="0">
      <alignment readingOrder="1"/>
    </xf>
    <xf numFmtId="0" fontId="20" fillId="75" borderId="41" applyNumberFormat="0" applyFont="0" applyAlignment="0" applyProtection="0"/>
    <xf numFmtId="0" fontId="39" fillId="56" borderId="36" applyNumberFormat="0" applyAlignment="0" applyProtection="0"/>
    <xf numFmtId="0" fontId="39" fillId="56" borderId="3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40" fillId="0" borderId="0" applyNumberFormat="0" applyFill="0" applyBorder="0" applyAlignment="0" applyProtection="0"/>
    <xf numFmtId="0" fontId="55" fillId="0" borderId="0"/>
    <xf numFmtId="0" fontId="56" fillId="0" borderId="0"/>
    <xf numFmtId="172" fontId="4" fillId="0" borderId="0" applyFill="0" applyBorder="0" applyAlignment="0" applyProtection="0">
      <alignment wrapText="1"/>
    </xf>
    <xf numFmtId="0" fontId="57" fillId="0" borderId="0" applyNumberFormat="0" applyFill="0" applyBorder="0" applyAlignment="0" applyProtection="0"/>
    <xf numFmtId="0" fontId="57" fillId="0" borderId="0" applyNumberFormat="0" applyFill="0" applyBorder="0" applyAlignment="0" applyProtection="0"/>
    <xf numFmtId="0" fontId="41" fillId="0" borderId="42" applyNumberFormat="0" applyFill="0" applyAlignment="0" applyProtection="0"/>
    <xf numFmtId="0" fontId="39" fillId="0" borderId="42" applyNumberFormat="0" applyFill="0" applyAlignment="0" applyProtection="0"/>
    <xf numFmtId="0" fontId="42" fillId="0" borderId="0" applyNumberFormat="0" applyFill="0" applyBorder="0" applyAlignment="0" applyProtection="0"/>
    <xf numFmtId="0" fontId="58" fillId="0" borderId="0">
      <alignment vertical="center"/>
    </xf>
    <xf numFmtId="0" fontId="60" fillId="0" borderId="0">
      <alignment readingOrder="1"/>
    </xf>
    <xf numFmtId="43" fontId="4" fillId="0" borderId="0" applyFont="0" applyFill="0" applyBorder="0" applyAlignment="0" applyProtection="0"/>
    <xf numFmtId="0" fontId="61" fillId="0" borderId="0" applyNumberFormat="0" applyFill="0" applyBorder="0" applyAlignment="0" applyProtection="0">
      <alignment vertical="top"/>
      <protection locked="0"/>
    </xf>
    <xf numFmtId="9" fontId="20" fillId="0" borderId="0" applyFont="0" applyFill="0" applyBorder="0" applyAlignment="0" applyProtection="0"/>
    <xf numFmtId="0" fontId="1" fillId="0" borderId="0"/>
    <xf numFmtId="0" fontId="20" fillId="0" borderId="0"/>
    <xf numFmtId="0" fontId="20" fillId="0" borderId="0"/>
    <xf numFmtId="0" fontId="20" fillId="0" borderId="0"/>
    <xf numFmtId="0" fontId="20" fillId="0" borderId="0"/>
    <xf numFmtId="43" fontId="4" fillId="0" borderId="0" applyFont="0" applyFill="0" applyBorder="0" applyAlignment="0" applyProtection="0"/>
    <xf numFmtId="0" fontId="43" fillId="0" borderId="0"/>
    <xf numFmtId="43" fontId="4" fillId="0" borderId="0" applyFont="0" applyFill="0" applyBorder="0" applyAlignment="0" applyProtection="0"/>
    <xf numFmtId="0" fontId="1" fillId="0" borderId="0"/>
    <xf numFmtId="0" fontId="20" fillId="75" borderId="41"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2" fillId="0" borderId="0"/>
    <xf numFmtId="43" fontId="15" fillId="0" borderId="0" applyFont="0" applyFill="0" applyBorder="0" applyAlignment="0" applyProtection="0"/>
    <xf numFmtId="0" fontId="8" fillId="0" borderId="0"/>
    <xf numFmtId="0" fontId="65" fillId="0" borderId="0"/>
    <xf numFmtId="0" fontId="2" fillId="0" borderId="0"/>
    <xf numFmtId="0" fontId="2" fillId="0" borderId="0"/>
    <xf numFmtId="0" fontId="2" fillId="0" borderId="0"/>
    <xf numFmtId="0" fontId="8"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8" borderId="0" applyNumberFormat="0" applyAlignment="0">
      <alignment horizontal="right"/>
    </xf>
    <xf numFmtId="0" fontId="4" fillId="9" borderId="0" applyNumberFormat="0" applyAlignment="0"/>
    <xf numFmtId="0" fontId="4" fillId="9" borderId="0" applyNumberFormat="0" applyAlignment="0"/>
    <xf numFmtId="0" fontId="4" fillId="9" borderId="0" applyNumberFormat="0" applyAlignment="0"/>
    <xf numFmtId="0" fontId="4" fillId="9" borderId="0" applyNumberFormat="0" applyAlignment="0"/>
    <xf numFmtId="0" fontId="20" fillId="0" borderId="0"/>
    <xf numFmtId="0" fontId="20" fillId="0" borderId="0"/>
    <xf numFmtId="0" fontId="15" fillId="0" borderId="0"/>
    <xf numFmtId="0" fontId="15" fillId="0" borderId="0"/>
    <xf numFmtId="0" fontId="1" fillId="0" borderId="0"/>
    <xf numFmtId="0" fontId="4" fillId="0" borderId="0">
      <alignment readingOrder="1"/>
    </xf>
    <xf numFmtId="0" fontId="1" fillId="0" borderId="0"/>
    <xf numFmtId="0" fontId="4" fillId="0" borderId="0"/>
    <xf numFmtId="0" fontId="1" fillId="0" borderId="0"/>
    <xf numFmtId="0" fontId="1" fillId="0" borderId="0"/>
    <xf numFmtId="0" fontId="4" fillId="0" borderId="0"/>
    <xf numFmtId="0" fontId="4" fillId="0" borderId="0"/>
    <xf numFmtId="0" fontId="20" fillId="0" borderId="0"/>
    <xf numFmtId="0" fontId="4"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12" borderId="15" applyNumberFormat="0" applyFont="0" applyAlignment="0" applyProtection="0"/>
    <xf numFmtId="0" fontId="1" fillId="12" borderId="15" applyNumberFormat="0" applyFont="0" applyAlignment="0" applyProtection="0"/>
    <xf numFmtId="0" fontId="1" fillId="12" borderId="15" applyNumberFormat="0" applyFont="0" applyAlignment="0" applyProtection="0"/>
    <xf numFmtId="0" fontId="1" fillId="12" borderId="15" applyNumberFormat="0" applyFont="0" applyAlignment="0" applyProtection="0"/>
    <xf numFmtId="0" fontId="1" fillId="12" borderId="15" applyNumberFormat="0" applyFont="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cellStyleXfs>
  <cellXfs count="660">
    <xf numFmtId="0" fontId="0" fillId="0" borderId="0" xfId="0"/>
    <xf numFmtId="0" fontId="3" fillId="0" borderId="0" xfId="1" applyFont="1"/>
    <xf numFmtId="0" fontId="4" fillId="0" borderId="0" xfId="1" applyFont="1"/>
    <xf numFmtId="5" fontId="4" fillId="0" borderId="0" xfId="1" applyNumberFormat="1" applyFont="1"/>
    <xf numFmtId="164" fontId="4" fillId="0" borderId="0" xfId="1" applyNumberFormat="1" applyFont="1"/>
    <xf numFmtId="0" fontId="4" fillId="0" borderId="0" xfId="1" applyFont="1" applyFill="1"/>
    <xf numFmtId="165" fontId="4" fillId="0" borderId="0" xfId="1" applyNumberFormat="1" applyFont="1"/>
    <xf numFmtId="0" fontId="4" fillId="0" borderId="0" xfId="2"/>
    <xf numFmtId="0" fontId="3" fillId="0" borderId="0" xfId="1" applyFont="1" applyAlignment="1">
      <alignment horizontal="left"/>
    </xf>
    <xf numFmtId="166" fontId="4" fillId="0" borderId="0" xfId="2" applyNumberFormat="1" applyAlignment="1">
      <alignment horizontal="center" readingOrder="1"/>
    </xf>
    <xf numFmtId="167" fontId="4" fillId="0" borderId="0" xfId="2" applyNumberFormat="1" applyAlignment="1">
      <alignment horizontal="center" readingOrder="1"/>
    </xf>
    <xf numFmtId="0" fontId="4" fillId="0" borderId="0" xfId="1" applyFont="1" applyAlignment="1">
      <alignment horizontal="center"/>
    </xf>
    <xf numFmtId="0" fontId="5" fillId="2" borderId="1" xfId="1" applyFont="1" applyFill="1" applyBorder="1" applyAlignment="1">
      <alignment horizontal="centerContinuous"/>
    </xf>
    <xf numFmtId="0" fontId="6" fillId="2" borderId="1" xfId="1" applyFont="1" applyFill="1" applyBorder="1" applyAlignment="1">
      <alignment horizontal="centerContinuous"/>
    </xf>
    <xf numFmtId="0" fontId="6" fillId="2" borderId="2" xfId="1" applyFont="1" applyFill="1" applyBorder="1" applyAlignment="1">
      <alignment horizontal="centerContinuous"/>
    </xf>
    <xf numFmtId="0" fontId="7" fillId="2" borderId="3" xfId="1" applyFont="1" applyFill="1" applyBorder="1" applyAlignment="1">
      <alignment horizontal="centerContinuous"/>
    </xf>
    <xf numFmtId="0" fontId="5" fillId="0" borderId="0" xfId="1" applyFont="1" applyFill="1" applyBorder="1" applyAlignment="1">
      <alignment horizontal="centerContinuous"/>
    </xf>
    <xf numFmtId="0" fontId="6" fillId="0" borderId="0" xfId="1" applyFont="1" applyFill="1" applyBorder="1" applyAlignment="1">
      <alignment horizontal="centerContinuous"/>
    </xf>
    <xf numFmtId="0" fontId="7" fillId="0" borderId="0" xfId="1" applyFont="1" applyFill="1" applyBorder="1" applyAlignment="1">
      <alignment horizontal="centerContinuous"/>
    </xf>
    <xf numFmtId="0" fontId="8" fillId="0" borderId="0" xfId="1" applyFont="1" applyFill="1" applyBorder="1" applyAlignment="1">
      <alignment horizontal="centerContinuous"/>
    </xf>
    <xf numFmtId="0" fontId="4" fillId="0" borderId="0" xfId="1" applyFont="1" applyFill="1" applyBorder="1"/>
    <xf numFmtId="0" fontId="8" fillId="5" borderId="7" xfId="1" applyFont="1" applyFill="1" applyBorder="1" applyAlignment="1">
      <alignment horizontal="center" wrapText="1"/>
    </xf>
    <xf numFmtId="0" fontId="8" fillId="5" borderId="8" xfId="1" applyFont="1" applyFill="1" applyBorder="1" applyAlignment="1">
      <alignment horizontal="center" wrapText="1"/>
    </xf>
    <xf numFmtId="0" fontId="8" fillId="5" borderId="9" xfId="1" applyFont="1" applyFill="1" applyBorder="1" applyAlignment="1">
      <alignment horizontal="center" wrapText="1"/>
    </xf>
    <xf numFmtId="0" fontId="8" fillId="5" borderId="9" xfId="2" applyFont="1" applyFill="1" applyBorder="1" applyAlignment="1">
      <alignment horizontal="center" wrapText="1"/>
    </xf>
    <xf numFmtId="0" fontId="8" fillId="0" borderId="0" xfId="1" applyFont="1" applyFill="1" applyBorder="1" applyAlignment="1">
      <alignment horizontal="center" wrapText="1"/>
    </xf>
    <xf numFmtId="0" fontId="0" fillId="6" borderId="0" xfId="0" applyFill="1"/>
    <xf numFmtId="0" fontId="0" fillId="0" borderId="0" xfId="0">
      <alignment readingOrder="1"/>
    </xf>
    <xf numFmtId="0" fontId="7" fillId="2" borderId="10" xfId="1" applyFont="1" applyFill="1" applyBorder="1" applyAlignment="1">
      <alignment horizontal="centerContinuous"/>
    </xf>
    <xf numFmtId="0" fontId="8" fillId="5" borderId="6" xfId="1" applyFont="1" applyFill="1" applyBorder="1" applyAlignment="1">
      <alignment horizontal="center" wrapText="1"/>
    </xf>
    <xf numFmtId="0" fontId="8" fillId="5" borderId="6" xfId="0" applyFont="1" applyFill="1" applyBorder="1" applyAlignment="1">
      <alignment horizontal="center" wrapText="1"/>
    </xf>
    <xf numFmtId="1" fontId="0" fillId="0" borderId="0" xfId="0" applyNumberFormat="1"/>
    <xf numFmtId="0" fontId="12" fillId="0" borderId="0" xfId="3" applyFont="1"/>
    <xf numFmtId="164" fontId="12" fillId="0" borderId="0" xfId="1" applyNumberFormat="1" applyFont="1"/>
    <xf numFmtId="166" fontId="0" fillId="0" borderId="0" xfId="0" applyNumberFormat="1" applyAlignment="1">
      <alignment horizontal="center" readingOrder="1"/>
    </xf>
    <xf numFmtId="167" fontId="0" fillId="0" borderId="0" xfId="0" applyNumberFormat="1" applyAlignment="1">
      <alignment horizontal="center" readingOrder="1"/>
    </xf>
    <xf numFmtId="0" fontId="13" fillId="7" borderId="4" xfId="0" applyFont="1" applyFill="1" applyBorder="1" applyAlignment="1">
      <alignment horizontal="left" readingOrder="1"/>
    </xf>
    <xf numFmtId="0" fontId="13" fillId="7" borderId="3" xfId="0" applyFont="1" applyFill="1" applyBorder="1" applyAlignment="1">
      <alignment horizontal="center" wrapText="1" readingOrder="1"/>
    </xf>
    <xf numFmtId="164" fontId="0" fillId="0" borderId="0" xfId="0" applyNumberFormat="1">
      <alignment readingOrder="1"/>
    </xf>
    <xf numFmtId="0" fontId="8" fillId="8" borderId="6" xfId="0" applyFont="1" applyFill="1" applyBorder="1" applyAlignment="1">
      <alignment horizontal="center" wrapText="1" readingOrder="1"/>
    </xf>
    <xf numFmtId="0" fontId="8" fillId="8" borderId="3" xfId="0" applyFont="1" applyFill="1" applyBorder="1" applyAlignment="1">
      <alignment horizontal="center" wrapText="1" readingOrder="1"/>
    </xf>
    <xf numFmtId="164" fontId="8" fillId="8" borderId="3" xfId="0" applyNumberFormat="1" applyFont="1" applyFill="1" applyBorder="1" applyAlignment="1">
      <alignment horizontal="center" wrapText="1" readingOrder="1"/>
    </xf>
    <xf numFmtId="164" fontId="8" fillId="8" borderId="12" xfId="0" applyNumberFormat="1" applyFont="1" applyFill="1" applyBorder="1" applyAlignment="1">
      <alignment horizontal="centerContinuous" wrapText="1" readingOrder="1"/>
    </xf>
    <xf numFmtId="164" fontId="8" fillId="8" borderId="13" xfId="0" applyNumberFormat="1" applyFont="1" applyFill="1" applyBorder="1" applyAlignment="1">
      <alignment horizontal="centerContinuous" wrapText="1" readingOrder="1"/>
    </xf>
    <xf numFmtId="164" fontId="8" fillId="8" borderId="14" xfId="0" applyNumberFormat="1" applyFont="1" applyFill="1" applyBorder="1" applyAlignment="1">
      <alignment horizontal="centerContinuous" wrapText="1" readingOrder="1"/>
    </xf>
    <xf numFmtId="0" fontId="8" fillId="9" borderId="6" xfId="0" applyFont="1" applyFill="1" applyBorder="1" applyAlignment="1">
      <alignment horizontal="center" wrapText="1" readingOrder="1"/>
    </xf>
    <xf numFmtId="0" fontId="8" fillId="9" borderId="3" xfId="0" applyFont="1" applyFill="1" applyBorder="1" applyAlignment="1">
      <alignment horizontal="center" wrapText="1" readingOrder="1"/>
    </xf>
    <xf numFmtId="164" fontId="8" fillId="9" borderId="3" xfId="0" applyNumberFormat="1" applyFont="1" applyFill="1" applyBorder="1" applyAlignment="1">
      <alignment horizontal="center" wrapText="1" readingOrder="1"/>
    </xf>
    <xf numFmtId="1" fontId="0" fillId="0" borderId="0" xfId="0" applyNumberFormat="1">
      <alignment readingOrder="1"/>
    </xf>
    <xf numFmtId="164" fontId="7" fillId="0" borderId="0" xfId="0" applyNumberFormat="1" applyFont="1">
      <alignment readingOrder="1"/>
    </xf>
    <xf numFmtId="164" fontId="14" fillId="0" borderId="0" xfId="0" applyNumberFormat="1" applyFont="1">
      <alignment readingOrder="1"/>
    </xf>
    <xf numFmtId="9" fontId="0" fillId="0" borderId="0" xfId="0" applyNumberFormat="1"/>
    <xf numFmtId="164" fontId="0" fillId="0" borderId="0" xfId="0" applyNumberFormat="1"/>
    <xf numFmtId="9" fontId="0" fillId="0" borderId="0" xfId="4" applyFont="1"/>
    <xf numFmtId="1" fontId="4" fillId="0" borderId="0" xfId="6" applyNumberFormat="1" applyFont="1" applyBorder="1" applyAlignment="1">
      <alignment wrapText="1"/>
    </xf>
    <xf numFmtId="1" fontId="4" fillId="0" borderId="0" xfId="6" applyNumberFormat="1" applyFont="1" applyFill="1" applyBorder="1" applyAlignment="1">
      <alignment wrapText="1"/>
    </xf>
    <xf numFmtId="0" fontId="9" fillId="0" borderId="0" xfId="7" applyFont="1">
      <alignment readingOrder="1"/>
    </xf>
    <xf numFmtId="0" fontId="4" fillId="0" borderId="0" xfId="7">
      <alignment readingOrder="1"/>
    </xf>
    <xf numFmtId="49" fontId="4" fillId="0" borderId="0" xfId="7" applyNumberFormat="1">
      <alignment readingOrder="1"/>
    </xf>
    <xf numFmtId="0" fontId="4" fillId="0" borderId="0" xfId="7"/>
    <xf numFmtId="1" fontId="4" fillId="0" borderId="0" xfId="7" applyNumberFormat="1">
      <alignment readingOrder="1"/>
    </xf>
    <xf numFmtId="164" fontId="4" fillId="0" borderId="0" xfId="7" applyNumberFormat="1">
      <alignment readingOrder="1"/>
    </xf>
    <xf numFmtId="164" fontId="4" fillId="0" borderId="0" xfId="7" applyNumberFormat="1" applyAlignment="1">
      <alignment horizontal="center" readingOrder="1"/>
    </xf>
    <xf numFmtId="0" fontId="4" fillId="0" borderId="0" xfId="7" applyAlignment="1">
      <alignment horizontal="center" readingOrder="1"/>
    </xf>
    <xf numFmtId="0" fontId="4" fillId="0" borderId="0" xfId="7" applyFill="1" applyAlignment="1">
      <alignment horizontal="center" readingOrder="1"/>
    </xf>
    <xf numFmtId="169" fontId="4" fillId="0" borderId="0" xfId="7" applyNumberFormat="1">
      <alignment readingOrder="1"/>
    </xf>
    <xf numFmtId="0" fontId="0" fillId="0" borderId="0" xfId="0" applyFont="1"/>
    <xf numFmtId="0" fontId="4" fillId="0" borderId="0" xfId="74"/>
    <xf numFmtId="0" fontId="4" fillId="6" borderId="0" xfId="74" applyFill="1"/>
    <xf numFmtId="0" fontId="0" fillId="0" borderId="0" xfId="0" pivotButton="1"/>
    <xf numFmtId="0" fontId="0" fillId="0" borderId="0" xfId="0" applyAlignment="1">
      <alignment horizontal="left"/>
    </xf>
    <xf numFmtId="0" fontId="0" fillId="0" borderId="0" xfId="0" applyNumberFormat="1"/>
    <xf numFmtId="2" fontId="0" fillId="0" borderId="0" xfId="0" applyNumberFormat="1"/>
    <xf numFmtId="9" fontId="4" fillId="0" borderId="0" xfId="4" applyFont="1"/>
    <xf numFmtId="9" fontId="4" fillId="0" borderId="0" xfId="74" applyNumberFormat="1"/>
    <xf numFmtId="0" fontId="0" fillId="50" borderId="0" xfId="0" applyFill="1">
      <alignment readingOrder="1"/>
    </xf>
    <xf numFmtId="0" fontId="0" fillId="0" borderId="0" xfId="0" applyFill="1" applyAlignment="1">
      <alignment vertical="center" wrapText="1" readingOrder="1"/>
    </xf>
    <xf numFmtId="0" fontId="0" fillId="0" borderId="0" xfId="0" applyFill="1">
      <alignment readingOrder="1"/>
    </xf>
    <xf numFmtId="0" fontId="0" fillId="0" borderId="0" xfId="0" quotePrefix="1" applyFill="1">
      <alignment readingOrder="1"/>
    </xf>
    <xf numFmtId="0" fontId="19" fillId="51" borderId="6" xfId="0" applyFont="1" applyFill="1" applyBorder="1"/>
    <xf numFmtId="0" fontId="19" fillId="52" borderId="1" xfId="0" applyFont="1" applyFill="1" applyBorder="1"/>
    <xf numFmtId="0" fontId="19" fillId="52" borderId="11" xfId="0" applyFont="1" applyFill="1" applyBorder="1"/>
    <xf numFmtId="0" fontId="19" fillId="52" borderId="10" xfId="0" applyFont="1" applyFill="1" applyBorder="1"/>
    <xf numFmtId="0" fontId="19" fillId="52" borderId="26" xfId="0" applyFont="1" applyFill="1" applyBorder="1"/>
    <xf numFmtId="0" fontId="19" fillId="52" borderId="27" xfId="0" applyFont="1" applyFill="1" applyBorder="1"/>
    <xf numFmtId="0" fontId="19" fillId="52" borderId="28" xfId="0" applyFont="1" applyFill="1" applyBorder="1"/>
    <xf numFmtId="0" fontId="19" fillId="52" borderId="6" xfId="0" applyFont="1" applyFill="1" applyBorder="1"/>
    <xf numFmtId="9" fontId="19" fillId="52" borderId="6" xfId="8" applyFont="1" applyFill="1" applyBorder="1"/>
    <xf numFmtId="1" fontId="0" fillId="53" borderId="0" xfId="0" applyNumberFormat="1" applyFill="1" applyAlignment="1">
      <alignment horizontal="center" readingOrder="1"/>
    </xf>
    <xf numFmtId="9" fontId="4" fillId="53" borderId="0" xfId="8" applyFill="1" applyAlignment="1">
      <alignment horizontal="center" readingOrder="1"/>
    </xf>
    <xf numFmtId="164" fontId="0" fillId="54" borderId="0" xfId="0" applyNumberFormat="1" applyFill="1" applyAlignment="1">
      <alignment horizontal="center" readingOrder="1"/>
    </xf>
    <xf numFmtId="0" fontId="19" fillId="53" borderId="6" xfId="0" applyFont="1" applyFill="1" applyBorder="1"/>
    <xf numFmtId="164" fontId="19" fillId="53" borderId="6" xfId="0" applyNumberFormat="1" applyFont="1" applyFill="1" applyBorder="1"/>
    <xf numFmtId="168" fontId="4" fillId="53" borderId="0" xfId="8" applyNumberFormat="1" applyFill="1" applyAlignment="1">
      <alignment horizontal="center" readingOrder="1"/>
    </xf>
    <xf numFmtId="0" fontId="59" fillId="76" borderId="43" xfId="0" applyFont="1" applyFill="1" applyBorder="1"/>
    <xf numFmtId="0" fontId="59" fillId="76" borderId="44" xfId="0" applyFont="1" applyFill="1" applyBorder="1"/>
    <xf numFmtId="0" fontId="0" fillId="77" borderId="43" xfId="0" applyFont="1" applyFill="1" applyBorder="1"/>
    <xf numFmtId="0" fontId="0" fillId="77" borderId="44" xfId="0" applyFont="1" applyFill="1" applyBorder="1"/>
    <xf numFmtId="3" fontId="0" fillId="77" borderId="44" xfId="0" applyNumberFormat="1" applyFont="1" applyFill="1" applyBorder="1"/>
    <xf numFmtId="4" fontId="0" fillId="77" borderId="44" xfId="0" applyNumberFormat="1" applyFont="1" applyFill="1" applyBorder="1"/>
    <xf numFmtId="0" fontId="0" fillId="0" borderId="45" xfId="0" applyFont="1" applyBorder="1"/>
    <xf numFmtId="0" fontId="0" fillId="0" borderId="46" xfId="0" applyFont="1" applyBorder="1"/>
    <xf numFmtId="3" fontId="0" fillId="0" borderId="46" xfId="0" applyNumberFormat="1" applyFont="1" applyBorder="1"/>
    <xf numFmtId="4" fontId="0" fillId="0" borderId="46" xfId="0" applyNumberFormat="1" applyFont="1" applyBorder="1"/>
    <xf numFmtId="0" fontId="0" fillId="77" borderId="45" xfId="0" applyFont="1" applyFill="1" applyBorder="1"/>
    <xf numFmtId="0" fontId="0" fillId="77" borderId="46" xfId="0" applyFont="1" applyFill="1" applyBorder="1"/>
    <xf numFmtId="3" fontId="0" fillId="77" borderId="46" xfId="0" applyNumberFormat="1" applyFont="1" applyFill="1" applyBorder="1"/>
    <xf numFmtId="4" fontId="0" fillId="77" borderId="46" xfId="0" applyNumberFormat="1" applyFont="1" applyFill="1" applyBorder="1"/>
    <xf numFmtId="3" fontId="0" fillId="0" borderId="0" xfId="0" applyNumberFormat="1"/>
    <xf numFmtId="173" fontId="0" fillId="0" borderId="0" xfId="0" applyNumberFormat="1"/>
    <xf numFmtId="0" fontId="60" fillId="0" borderId="0" xfId="369" applyFill="1">
      <alignment readingOrder="1"/>
    </xf>
    <xf numFmtId="0" fontId="60" fillId="0" borderId="0" xfId="369">
      <alignment readingOrder="1"/>
    </xf>
    <xf numFmtId="0" fontId="4" fillId="0" borderId="0" xfId="369" applyFont="1" applyBorder="1">
      <alignment readingOrder="1"/>
    </xf>
    <xf numFmtId="1" fontId="60" fillId="0" borderId="0" xfId="369" applyNumberFormat="1">
      <alignment readingOrder="1"/>
    </xf>
    <xf numFmtId="0" fontId="4" fillId="0" borderId="0" xfId="369" applyFont="1" applyAlignment="1">
      <alignment horizontal="center" readingOrder="1"/>
    </xf>
    <xf numFmtId="44" fontId="60" fillId="0" borderId="0" xfId="61" applyFont="1">
      <alignment readingOrder="1"/>
    </xf>
    <xf numFmtId="1" fontId="4" fillId="0" borderId="0" xfId="6" applyNumberFormat="1" applyFont="1" applyBorder="1" applyAlignment="1">
      <alignment wrapText="1"/>
    </xf>
    <xf numFmtId="2" fontId="4" fillId="0" borderId="0" xfId="6" applyNumberFormat="1" applyFont="1" applyBorder="1" applyAlignment="1">
      <alignment wrapText="1"/>
    </xf>
    <xf numFmtId="0" fontId="1" fillId="0" borderId="0" xfId="256" applyFont="1"/>
    <xf numFmtId="0" fontId="62" fillId="49" borderId="50" xfId="256" applyFont="1" applyFill="1" applyBorder="1"/>
    <xf numFmtId="0" fontId="62" fillId="49" borderId="51" xfId="256" applyFont="1" applyFill="1" applyBorder="1"/>
    <xf numFmtId="0" fontId="62" fillId="49" borderId="14" xfId="256" applyFont="1" applyFill="1" applyBorder="1"/>
    <xf numFmtId="0" fontId="63" fillId="52" borderId="9" xfId="105" applyFont="1" applyFill="1" applyBorder="1" applyAlignment="1">
      <alignment horizontal="left" vertical="center" wrapText="1"/>
    </xf>
    <xf numFmtId="0" fontId="63" fillId="52" borderId="6" xfId="105" applyFont="1" applyFill="1" applyBorder="1" applyAlignment="1">
      <alignment horizontal="left" vertical="center" wrapText="1"/>
    </xf>
    <xf numFmtId="0" fontId="64" fillId="0" borderId="6" xfId="105" applyNumberFormat="1" applyFont="1" applyFill="1" applyBorder="1" applyAlignment="1">
      <alignment horizontal="left" vertical="center" wrapText="1"/>
    </xf>
    <xf numFmtId="0" fontId="64" fillId="0" borderId="6" xfId="105" applyFont="1" applyFill="1" applyBorder="1" applyAlignment="1">
      <alignment horizontal="left" vertical="center" wrapText="1"/>
    </xf>
    <xf numFmtId="0" fontId="1" fillId="0" borderId="6" xfId="105" applyFont="1" applyFill="1" applyBorder="1" applyAlignment="1">
      <alignment horizontal="left" vertical="center" wrapText="1"/>
    </xf>
    <xf numFmtId="0" fontId="64" fillId="0" borderId="6" xfId="105" applyFont="1" applyBorder="1" applyAlignment="1">
      <alignment horizontal="left" vertical="center" wrapText="1" readingOrder="1"/>
    </xf>
    <xf numFmtId="0" fontId="21" fillId="0" borderId="6" xfId="105" applyFont="1" applyFill="1" applyBorder="1" applyAlignment="1">
      <alignment horizontal="left" vertical="center" wrapText="1"/>
    </xf>
    <xf numFmtId="0" fontId="64" fillId="0" borderId="6" xfId="105" applyFont="1" applyBorder="1" applyAlignment="1">
      <alignment vertical="center" wrapText="1" readingOrder="1"/>
    </xf>
    <xf numFmtId="0" fontId="64" fillId="0" borderId="6" xfId="105" applyFont="1" applyBorder="1" applyAlignment="1">
      <alignment wrapText="1" readingOrder="1"/>
    </xf>
    <xf numFmtId="0" fontId="64" fillId="0" borderId="6" xfId="105" applyNumberFormat="1" applyFont="1" applyBorder="1" applyAlignment="1">
      <alignment vertical="center" wrapText="1" readingOrder="1"/>
    </xf>
    <xf numFmtId="2" fontId="4" fillId="0" borderId="0" xfId="388" applyNumberFormat="1" applyFont="1"/>
    <xf numFmtId="0" fontId="6" fillId="78" borderId="3" xfId="1" applyFont="1" applyFill="1" applyBorder="1" applyAlignment="1">
      <alignment horizontal="center"/>
    </xf>
    <xf numFmtId="0" fontId="8" fillId="80" borderId="3" xfId="1" applyFont="1" applyFill="1" applyBorder="1" applyAlignment="1">
      <alignment horizontal="center" wrapText="1"/>
    </xf>
    <xf numFmtId="0" fontId="8" fillId="80" borderId="6" xfId="1" applyFont="1" applyFill="1" applyBorder="1" applyAlignment="1">
      <alignment horizontal="center" wrapText="1"/>
    </xf>
    <xf numFmtId="0" fontId="45" fillId="25" borderId="48" xfId="390" applyFont="1" applyFill="1" applyBorder="1" applyAlignment="1">
      <alignment horizontal="center"/>
    </xf>
    <xf numFmtId="0" fontId="45" fillId="25" borderId="14" xfId="390" applyFont="1" applyFill="1" applyBorder="1" applyAlignment="1">
      <alignment horizontal="center"/>
    </xf>
    <xf numFmtId="0" fontId="45" fillId="25" borderId="51" xfId="390" applyFont="1" applyFill="1" applyBorder="1" applyAlignment="1">
      <alignment horizontal="center"/>
    </xf>
    <xf numFmtId="175" fontId="45" fillId="25" borderId="48" xfId="5" applyNumberFormat="1" applyFont="1" applyFill="1" applyBorder="1" applyAlignment="1">
      <alignment horizontal="center"/>
    </xf>
    <xf numFmtId="43" fontId="45" fillId="25" borderId="48" xfId="389" applyFont="1" applyFill="1" applyBorder="1" applyAlignment="1">
      <alignment horizontal="center"/>
    </xf>
    <xf numFmtId="0" fontId="65" fillId="0" borderId="0" xfId="391"/>
    <xf numFmtId="0" fontId="8" fillId="0" borderId="52" xfId="390" applyFont="1" applyFill="1" applyBorder="1" applyAlignment="1">
      <alignment horizontal="center" wrapText="1"/>
    </xf>
    <xf numFmtId="0" fontId="8" fillId="0" borderId="53" xfId="390" applyFont="1" applyFill="1" applyBorder="1" applyAlignment="1">
      <alignment horizontal="center" wrapText="1"/>
    </xf>
    <xf numFmtId="176" fontId="8" fillId="0" borderId="53" xfId="390" applyNumberFormat="1" applyFont="1" applyFill="1" applyBorder="1" applyAlignment="1">
      <alignment horizontal="center" wrapText="1"/>
    </xf>
    <xf numFmtId="175" fontId="8" fillId="0" borderId="53" xfId="5" applyNumberFormat="1" applyFont="1" applyFill="1" applyBorder="1" applyAlignment="1">
      <alignment horizontal="center" wrapText="1"/>
    </xf>
    <xf numFmtId="43" fontId="8" fillId="0" borderId="53" xfId="389" applyFont="1" applyFill="1" applyBorder="1" applyAlignment="1">
      <alignment horizontal="center" wrapText="1"/>
    </xf>
    <xf numFmtId="44" fontId="8" fillId="0" borderId="0" xfId="5" applyFont="1" applyFill="1" applyBorder="1" applyAlignment="1">
      <alignment horizontal="center" wrapText="1"/>
    </xf>
    <xf numFmtId="0" fontId="65" fillId="0" borderId="0" xfId="391" applyBorder="1" applyAlignment="1">
      <alignment horizontal="center"/>
    </xf>
    <xf numFmtId="0" fontId="65" fillId="0" borderId="54" xfId="391" applyBorder="1" applyAlignment="1">
      <alignment horizontal="center"/>
    </xf>
    <xf numFmtId="44" fontId="65" fillId="0" borderId="0" xfId="5" applyFont="1"/>
    <xf numFmtId="0" fontId="8" fillId="0" borderId="55" xfId="390" applyFont="1" applyFill="1" applyBorder="1" applyAlignment="1">
      <alignment horizontal="center" wrapText="1"/>
    </xf>
    <xf numFmtId="0" fontId="8" fillId="0" borderId="41" xfId="390" applyFont="1" applyFill="1" applyBorder="1" applyAlignment="1">
      <alignment horizontal="center" wrapText="1"/>
    </xf>
    <xf numFmtId="176" fontId="8" fillId="0" borderId="41" xfId="390" applyNumberFormat="1" applyFont="1" applyFill="1" applyBorder="1" applyAlignment="1">
      <alignment horizontal="center" wrapText="1"/>
    </xf>
    <xf numFmtId="175" fontId="8" fillId="0" borderId="41" xfId="5" applyNumberFormat="1" applyFont="1" applyFill="1" applyBorder="1" applyAlignment="1">
      <alignment horizontal="center" wrapText="1"/>
    </xf>
    <xf numFmtId="43" fontId="8" fillId="0" borderId="41" xfId="389" applyFont="1" applyFill="1" applyBorder="1" applyAlignment="1">
      <alignment horizontal="center" wrapText="1"/>
    </xf>
    <xf numFmtId="0" fontId="8" fillId="0" borderId="56" xfId="390" applyFont="1" applyFill="1" applyBorder="1" applyAlignment="1">
      <alignment horizontal="center" wrapText="1"/>
    </xf>
    <xf numFmtId="0" fontId="8" fillId="0" borderId="57" xfId="390" applyFont="1" applyFill="1" applyBorder="1" applyAlignment="1">
      <alignment horizontal="center" wrapText="1"/>
    </xf>
    <xf numFmtId="176" fontId="8" fillId="0" borderId="57" xfId="390" applyNumberFormat="1" applyFont="1" applyFill="1" applyBorder="1" applyAlignment="1">
      <alignment horizontal="center" wrapText="1"/>
    </xf>
    <xf numFmtId="175" fontId="8" fillId="0" borderId="57" xfId="5" applyNumberFormat="1" applyFont="1" applyFill="1" applyBorder="1" applyAlignment="1">
      <alignment horizontal="center" wrapText="1"/>
    </xf>
    <xf numFmtId="43" fontId="8" fillId="0" borderId="57" xfId="389" applyFont="1" applyFill="1" applyBorder="1" applyAlignment="1">
      <alignment horizontal="center" wrapText="1"/>
    </xf>
    <xf numFmtId="44" fontId="8" fillId="0" borderId="58" xfId="5" applyFont="1" applyFill="1" applyBorder="1" applyAlignment="1">
      <alignment horizontal="center" wrapText="1"/>
    </xf>
    <xf numFmtId="0" fontId="65" fillId="0" borderId="58" xfId="391" applyBorder="1" applyAlignment="1">
      <alignment horizontal="center"/>
    </xf>
    <xf numFmtId="0" fontId="65" fillId="0" borderId="59" xfId="391" applyBorder="1" applyAlignment="1">
      <alignment horizontal="center"/>
    </xf>
    <xf numFmtId="175" fontId="65" fillId="0" borderId="0" xfId="5" applyNumberFormat="1" applyFont="1"/>
    <xf numFmtId="43" fontId="65" fillId="0" borderId="0" xfId="389" applyFont="1"/>
    <xf numFmtId="171" fontId="65" fillId="0" borderId="0" xfId="389" applyNumberFormat="1" applyFont="1"/>
    <xf numFmtId="0" fontId="65" fillId="0" borderId="6" xfId="391" applyFont="1" applyBorder="1"/>
    <xf numFmtId="175" fontId="65" fillId="0" borderId="6" xfId="5" applyNumberFormat="1" applyFont="1" applyBorder="1"/>
    <xf numFmtId="43" fontId="65" fillId="0" borderId="6" xfId="389" applyFont="1" applyBorder="1"/>
    <xf numFmtId="0" fontId="65" fillId="0" borderId="6" xfId="391" applyBorder="1"/>
    <xf numFmtId="0" fontId="65" fillId="0" borderId="6" xfId="391" applyFont="1" applyBorder="1" applyAlignment="1">
      <alignment horizontal="right"/>
    </xf>
    <xf numFmtId="44" fontId="65" fillId="0" borderId="6" xfId="5" applyFont="1" applyBorder="1"/>
    <xf numFmtId="174" fontId="65" fillId="6" borderId="6" xfId="5" applyNumberFormat="1" applyFont="1" applyFill="1" applyBorder="1"/>
    <xf numFmtId="0" fontId="8" fillId="0" borderId="6" xfId="390" applyFont="1" applyFill="1" applyBorder="1" applyAlignment="1">
      <alignment horizontal="center" wrapText="1"/>
    </xf>
    <xf numFmtId="174" fontId="65" fillId="0" borderId="6" xfId="5" applyNumberFormat="1" applyFont="1" applyFill="1" applyBorder="1"/>
    <xf numFmtId="0" fontId="65" fillId="81" borderId="18" xfId="391" applyFill="1" applyBorder="1"/>
    <xf numFmtId="0" fontId="65" fillId="81" borderId="19" xfId="391" applyFill="1" applyBorder="1"/>
    <xf numFmtId="175" fontId="65" fillId="81" borderId="19" xfId="5" applyNumberFormat="1" applyFont="1" applyFill="1" applyBorder="1"/>
    <xf numFmtId="43" fontId="65" fillId="81" borderId="19" xfId="389" applyFont="1" applyFill="1" applyBorder="1"/>
    <xf numFmtId="43" fontId="65" fillId="81" borderId="20" xfId="389" applyFont="1" applyFill="1" applyBorder="1"/>
    <xf numFmtId="0" fontId="65" fillId="81" borderId="21" xfId="391" applyFont="1" applyFill="1" applyBorder="1"/>
    <xf numFmtId="0" fontId="65" fillId="81" borderId="6" xfId="391" applyFill="1" applyBorder="1"/>
    <xf numFmtId="175" fontId="65" fillId="81" borderId="6" xfId="5" applyNumberFormat="1" applyFont="1" applyFill="1" applyBorder="1"/>
    <xf numFmtId="43" fontId="65" fillId="81" borderId="6" xfId="389" applyFont="1" applyFill="1" applyBorder="1"/>
    <xf numFmtId="43" fontId="65" fillId="81" borderId="22" xfId="389" applyFont="1" applyFill="1" applyBorder="1"/>
    <xf numFmtId="0" fontId="65" fillId="0" borderId="21" xfId="391" applyFont="1" applyBorder="1"/>
    <xf numFmtId="0" fontId="65" fillId="0" borderId="6" xfId="391" applyBorder="1" applyAlignment="1">
      <alignment horizontal="center"/>
    </xf>
    <xf numFmtId="43" fontId="65" fillId="0" borderId="22" xfId="391" applyNumberFormat="1" applyBorder="1"/>
    <xf numFmtId="0" fontId="65" fillId="0" borderId="22" xfId="391" applyBorder="1"/>
    <xf numFmtId="0" fontId="65" fillId="0" borderId="0" xfId="391" applyFont="1"/>
    <xf numFmtId="0" fontId="65" fillId="0" borderId="23" xfId="391" applyFont="1" applyBorder="1"/>
    <xf numFmtId="0" fontId="65" fillId="0" borderId="24" xfId="391" applyBorder="1"/>
    <xf numFmtId="0" fontId="65" fillId="0" borderId="24" xfId="391" applyBorder="1" applyAlignment="1">
      <alignment horizontal="center"/>
    </xf>
    <xf numFmtId="44" fontId="65" fillId="0" borderId="24" xfId="5" applyFont="1" applyBorder="1"/>
    <xf numFmtId="43" fontId="65" fillId="0" borderId="25" xfId="391" applyNumberFormat="1" applyBorder="1"/>
    <xf numFmtId="0" fontId="4" fillId="0" borderId="4" xfId="0" applyFont="1" applyBorder="1">
      <alignment readingOrder="1"/>
    </xf>
    <xf numFmtId="44" fontId="0" fillId="0" borderId="5" xfId="5" applyFont="1" applyBorder="1">
      <alignment readingOrder="1"/>
    </xf>
    <xf numFmtId="0" fontId="0" fillId="0" borderId="5" xfId="0" applyBorder="1">
      <alignment readingOrder="1"/>
    </xf>
    <xf numFmtId="0" fontId="0" fillId="0" borderId="3" xfId="0" applyBorder="1">
      <alignment readingOrder="1"/>
    </xf>
    <xf numFmtId="0" fontId="4" fillId="0" borderId="1" xfId="0" applyFont="1" applyBorder="1">
      <alignment readingOrder="1"/>
    </xf>
    <xf numFmtId="44" fontId="0" fillId="0" borderId="11" xfId="0" applyNumberFormat="1" applyBorder="1">
      <alignment readingOrder="1"/>
    </xf>
    <xf numFmtId="0" fontId="0" fillId="0" borderId="11" xfId="0" applyBorder="1">
      <alignment readingOrder="1"/>
    </xf>
    <xf numFmtId="0" fontId="0" fillId="0" borderId="10" xfId="0" applyBorder="1">
      <alignment readingOrder="1"/>
    </xf>
    <xf numFmtId="0" fontId="4" fillId="0" borderId="7" xfId="0" applyFont="1" applyBorder="1">
      <alignment readingOrder="1"/>
    </xf>
    <xf numFmtId="44" fontId="0" fillId="0" borderId="0" xfId="0" applyNumberFormat="1" applyBorder="1">
      <alignment readingOrder="1"/>
    </xf>
    <xf numFmtId="0" fontId="0" fillId="0" borderId="0" xfId="0" applyBorder="1">
      <alignment readingOrder="1"/>
    </xf>
    <xf numFmtId="0" fontId="0" fillId="0" borderId="29" xfId="0" applyBorder="1">
      <alignment readingOrder="1"/>
    </xf>
    <xf numFmtId="0" fontId="4" fillId="0" borderId="26" xfId="0" applyFont="1" applyBorder="1">
      <alignment readingOrder="1"/>
    </xf>
    <xf numFmtId="44" fontId="0" fillId="0" borderId="27" xfId="0" applyNumberFormat="1" applyBorder="1">
      <alignment readingOrder="1"/>
    </xf>
    <xf numFmtId="0" fontId="0" fillId="0" borderId="27" xfId="0" applyBorder="1">
      <alignment readingOrder="1"/>
    </xf>
    <xf numFmtId="0" fontId="0" fillId="0" borderId="28" xfId="0" applyBorder="1">
      <alignment readingOrder="1"/>
    </xf>
    <xf numFmtId="0" fontId="0" fillId="0" borderId="0" xfId="0" applyFill="1" applyBorder="1">
      <alignment readingOrder="1"/>
    </xf>
    <xf numFmtId="44" fontId="0" fillId="0" borderId="10" xfId="0" applyNumberFormat="1" applyBorder="1">
      <alignment readingOrder="1"/>
    </xf>
    <xf numFmtId="44" fontId="0" fillId="0" borderId="29" xfId="0" applyNumberFormat="1" applyBorder="1">
      <alignment readingOrder="1"/>
    </xf>
    <xf numFmtId="44" fontId="0" fillId="0" borderId="28" xfId="0" applyNumberFormat="1" applyBorder="1">
      <alignment readingOrder="1"/>
    </xf>
    <xf numFmtId="0" fontId="66" fillId="0" borderId="0" xfId="0" applyFont="1"/>
    <xf numFmtId="0" fontId="67" fillId="0" borderId="0" xfId="0" applyFont="1"/>
    <xf numFmtId="0" fontId="67" fillId="0" borderId="0" xfId="0" applyFont="1" applyAlignment="1">
      <alignment horizontal="center"/>
    </xf>
    <xf numFmtId="0" fontId="0" fillId="0" borderId="0" xfId="0" applyAlignment="1">
      <alignment horizontal="center"/>
    </xf>
    <xf numFmtId="0" fontId="0" fillId="11" borderId="18" xfId="0" applyFill="1" applyBorder="1"/>
    <xf numFmtId="0" fontId="0" fillId="11" borderId="20" xfId="0" applyFill="1" applyBorder="1" applyAlignment="1">
      <alignment horizontal="center"/>
    </xf>
    <xf numFmtId="0" fontId="0" fillId="0" borderId="21" xfId="0" applyBorder="1" applyAlignment="1">
      <alignment horizontal="center"/>
    </xf>
    <xf numFmtId="9" fontId="0" fillId="0" borderId="22" xfId="0" applyNumberFormat="1" applyBorder="1" applyAlignment="1">
      <alignment horizontal="center"/>
    </xf>
    <xf numFmtId="0" fontId="0" fillId="11" borderId="12" xfId="0" applyFill="1" applyBorder="1"/>
    <xf numFmtId="0" fontId="0" fillId="11" borderId="60" xfId="0" applyFill="1" applyBorder="1"/>
    <xf numFmtId="0" fontId="0" fillId="11" borderId="60" xfId="0" applyFill="1" applyBorder="1" applyAlignment="1">
      <alignment horizontal="center"/>
    </xf>
    <xf numFmtId="0" fontId="0" fillId="11" borderId="61" xfId="0" applyFill="1" applyBorder="1"/>
    <xf numFmtId="0" fontId="0" fillId="11" borderId="62" xfId="0" applyFill="1" applyBorder="1"/>
    <xf numFmtId="0" fontId="4" fillId="11" borderId="58" xfId="0" applyFont="1" applyFill="1" applyBorder="1"/>
    <xf numFmtId="0" fontId="0" fillId="83" borderId="63" xfId="0" applyFill="1" applyBorder="1" applyAlignment="1">
      <alignment horizontal="center"/>
    </xf>
    <xf numFmtId="0" fontId="0" fillId="84" borderId="64" xfId="0" applyFill="1" applyBorder="1" applyAlignment="1">
      <alignment horizontal="center"/>
    </xf>
    <xf numFmtId="0" fontId="63" fillId="0" borderId="65" xfId="0" applyFont="1" applyBorder="1"/>
    <xf numFmtId="0" fontId="63" fillId="0" borderId="66" xfId="0" applyFont="1" applyBorder="1"/>
    <xf numFmtId="0" fontId="63" fillId="79" borderId="66" xfId="0" applyFont="1" applyFill="1" applyBorder="1"/>
    <xf numFmtId="2" fontId="63" fillId="0" borderId="65" xfId="0" applyNumberFormat="1" applyFont="1" applyBorder="1" applyAlignment="1">
      <alignment horizontal="center"/>
    </xf>
    <xf numFmtId="2" fontId="63" fillId="0" borderId="67" xfId="0" applyNumberFormat="1" applyFont="1" applyBorder="1" applyAlignment="1">
      <alignment horizontal="center"/>
    </xf>
    <xf numFmtId="0" fontId="0" fillId="0" borderId="23" xfId="0" applyBorder="1" applyAlignment="1">
      <alignment horizontal="center"/>
    </xf>
    <xf numFmtId="9" fontId="0" fillId="0" borderId="25" xfId="0" applyNumberFormat="1" applyBorder="1" applyAlignment="1">
      <alignment horizontal="center"/>
    </xf>
    <xf numFmtId="0" fontId="64" fillId="0" borderId="68" xfId="0" applyFont="1" applyFill="1" applyBorder="1"/>
    <xf numFmtId="0" fontId="64" fillId="0" borderId="5" xfId="0" applyFont="1" applyFill="1" applyBorder="1"/>
    <xf numFmtId="0" fontId="64" fillId="79" borderId="5" xfId="0" applyFont="1" applyFill="1" applyBorder="1"/>
    <xf numFmtId="2" fontId="64" fillId="0" borderId="68" xfId="0" applyNumberFormat="1" applyFont="1" applyFill="1" applyBorder="1" applyAlignment="1">
      <alignment horizontal="center"/>
    </xf>
    <xf numFmtId="2" fontId="64" fillId="0" borderId="69" xfId="0" applyNumberFormat="1" applyFont="1" applyFill="1" applyBorder="1" applyAlignment="1">
      <alignment horizontal="center"/>
    </xf>
    <xf numFmtId="0" fontId="63" fillId="0" borderId="47" xfId="0" applyFont="1" applyBorder="1"/>
    <xf numFmtId="0" fontId="63" fillId="0" borderId="0" xfId="0" applyFont="1" applyBorder="1"/>
    <xf numFmtId="0" fontId="63" fillId="79" borderId="0" xfId="0" applyFont="1" applyFill="1" applyBorder="1"/>
    <xf numFmtId="2" fontId="63" fillId="0" borderId="47" xfId="0" applyNumberFormat="1" applyFont="1" applyBorder="1" applyAlignment="1">
      <alignment horizontal="center"/>
    </xf>
    <xf numFmtId="2" fontId="63" fillId="0" borderId="54" xfId="0" applyNumberFormat="1" applyFont="1" applyBorder="1" applyAlignment="1">
      <alignment horizontal="center"/>
    </xf>
    <xf numFmtId="0" fontId="9" fillId="11" borderId="70" xfId="0" applyFont="1" applyFill="1" applyBorder="1"/>
    <xf numFmtId="0" fontId="9" fillId="11" borderId="71" xfId="0" applyFont="1" applyFill="1" applyBorder="1"/>
    <xf numFmtId="0" fontId="9" fillId="11" borderId="72" xfId="0" applyFont="1" applyFill="1" applyBorder="1"/>
    <xf numFmtId="0" fontId="9" fillId="11" borderId="73" xfId="0" applyFont="1" applyFill="1" applyBorder="1"/>
    <xf numFmtId="0" fontId="64" fillId="0" borderId="47" xfId="0" applyFont="1" applyBorder="1"/>
    <xf numFmtId="0" fontId="64" fillId="0" borderId="0" xfId="0" applyFont="1" applyBorder="1"/>
    <xf numFmtId="0" fontId="64" fillId="79" borderId="0" xfId="0" applyFont="1" applyFill="1" applyBorder="1"/>
    <xf numFmtId="2" fontId="64" fillId="0" borderId="47" xfId="0" applyNumberFormat="1" applyFont="1" applyBorder="1" applyAlignment="1">
      <alignment horizontal="center"/>
    </xf>
    <xf numFmtId="2" fontId="64" fillId="0" borderId="54" xfId="0" applyNumberFormat="1" applyFont="1" applyBorder="1" applyAlignment="1">
      <alignment horizontal="center"/>
    </xf>
    <xf numFmtId="0" fontId="0" fillId="11" borderId="74" xfId="0" applyFill="1" applyBorder="1"/>
    <xf numFmtId="1" fontId="0" fillId="0" borderId="75" xfId="0" applyNumberFormat="1" applyBorder="1"/>
    <xf numFmtId="0" fontId="0" fillId="0" borderId="19" xfId="0" applyBorder="1"/>
    <xf numFmtId="1" fontId="0" fillId="0" borderId="19" xfId="0" applyNumberFormat="1" applyBorder="1" applyAlignment="1">
      <alignment horizontal="center"/>
    </xf>
    <xf numFmtId="1" fontId="0" fillId="0" borderId="19" xfId="0" applyNumberFormat="1" applyBorder="1"/>
    <xf numFmtId="0" fontId="0" fillId="0" borderId="20" xfId="0" applyBorder="1"/>
    <xf numFmtId="0" fontId="0" fillId="11" borderId="76" xfId="0" applyFill="1" applyBorder="1"/>
    <xf numFmtId="1" fontId="0" fillId="0" borderId="3" xfId="0" applyNumberFormat="1" applyBorder="1"/>
    <xf numFmtId="0" fontId="0" fillId="0" borderId="6" xfId="0" applyBorder="1"/>
    <xf numFmtId="1" fontId="0" fillId="0" borderId="6" xfId="0" applyNumberFormat="1" applyBorder="1" applyAlignment="1">
      <alignment horizontal="center"/>
    </xf>
    <xf numFmtId="1" fontId="0" fillId="0" borderId="6" xfId="0" applyNumberFormat="1" applyBorder="1"/>
    <xf numFmtId="0" fontId="0" fillId="0" borderId="22" xfId="0" applyBorder="1"/>
    <xf numFmtId="0" fontId="0" fillId="11" borderId="77" xfId="0" applyFill="1" applyBorder="1"/>
    <xf numFmtId="1" fontId="0" fillId="0" borderId="78" xfId="0" applyNumberFormat="1" applyBorder="1"/>
    <xf numFmtId="0" fontId="0" fillId="0" borderId="24" xfId="0" applyBorder="1"/>
    <xf numFmtId="1" fontId="0" fillId="0" borderId="24" xfId="0" applyNumberFormat="1" applyBorder="1" applyAlignment="1">
      <alignment horizontal="center"/>
    </xf>
    <xf numFmtId="1" fontId="0" fillId="0" borderId="24" xfId="0" applyNumberFormat="1" applyBorder="1"/>
    <xf numFmtId="0" fontId="0" fillId="0" borderId="25" xfId="0" applyBorder="1"/>
    <xf numFmtId="0" fontId="9" fillId="85" borderId="64" xfId="0" applyFont="1" applyFill="1" applyBorder="1" applyAlignment="1">
      <alignment horizontal="right"/>
    </xf>
    <xf numFmtId="171" fontId="9" fillId="0" borderId="79" xfId="389" applyNumberFormat="1" applyFont="1" applyBorder="1"/>
    <xf numFmtId="171" fontId="9" fillId="0" borderId="80" xfId="389" applyNumberFormat="1" applyFont="1" applyBorder="1"/>
    <xf numFmtId="171" fontId="9" fillId="0" borderId="81" xfId="389" applyNumberFormat="1" applyFont="1" applyBorder="1"/>
    <xf numFmtId="0" fontId="63" fillId="0" borderId="82" xfId="0" applyFont="1" applyBorder="1"/>
    <xf numFmtId="0" fontId="63" fillId="0" borderId="11" xfId="0" applyFont="1" applyBorder="1"/>
    <xf numFmtId="0" fontId="63" fillId="79" borderId="11" xfId="0" applyFont="1" applyFill="1" applyBorder="1"/>
    <xf numFmtId="2" fontId="63" fillId="0" borderId="82" xfId="0" applyNumberFormat="1" applyFont="1" applyBorder="1" applyAlignment="1">
      <alignment horizontal="center"/>
    </xf>
    <xf numFmtId="2" fontId="63" fillId="0" borderId="83" xfId="0" applyNumberFormat="1" applyFont="1" applyBorder="1" applyAlignment="1">
      <alignment horizontal="center"/>
    </xf>
    <xf numFmtId="0" fontId="63" fillId="0" borderId="84" xfId="0" applyFont="1" applyBorder="1"/>
    <xf numFmtId="0" fontId="63" fillId="0" borderId="27" xfId="0" applyFont="1" applyBorder="1"/>
    <xf numFmtId="0" fontId="63" fillId="79" borderId="27" xfId="0" applyFont="1" applyFill="1" applyBorder="1"/>
    <xf numFmtId="2" fontId="63" fillId="0" borderId="84" xfId="0" applyNumberFormat="1" applyFont="1" applyBorder="1" applyAlignment="1">
      <alignment horizontal="center"/>
    </xf>
    <xf numFmtId="2" fontId="63" fillId="0" borderId="85" xfId="0" applyNumberFormat="1" applyFont="1" applyBorder="1" applyAlignment="1">
      <alignment horizontal="center"/>
    </xf>
    <xf numFmtId="0" fontId="64" fillId="0" borderId="84" xfId="0" applyFont="1" applyBorder="1"/>
    <xf numFmtId="0" fontId="64" fillId="0" borderId="27" xfId="0" applyFont="1" applyBorder="1"/>
    <xf numFmtId="0" fontId="64" fillId="79" borderId="27" xfId="0" applyFont="1" applyFill="1" applyBorder="1"/>
    <xf numFmtId="2" fontId="64" fillId="0" borderId="84" xfId="0" applyNumberFormat="1" applyFont="1" applyBorder="1" applyAlignment="1">
      <alignment horizontal="center"/>
    </xf>
    <xf numFmtId="2" fontId="64" fillId="0" borderId="85" xfId="0" applyNumberFormat="1" applyFont="1" applyBorder="1" applyAlignment="1">
      <alignment horizontal="center"/>
    </xf>
    <xf numFmtId="1" fontId="63" fillId="0" borderId="47" xfId="0" applyNumberFormat="1" applyFont="1" applyBorder="1" applyAlignment="1">
      <alignment horizontal="center"/>
    </xf>
    <xf numFmtId="1" fontId="63" fillId="0" borderId="54" xfId="0" applyNumberFormat="1" applyFont="1" applyBorder="1" applyAlignment="1">
      <alignment horizontal="center"/>
    </xf>
    <xf numFmtId="0" fontId="64" fillId="0" borderId="82" xfId="0" applyFont="1" applyBorder="1"/>
    <xf numFmtId="0" fontId="64" fillId="0" borderId="11" xfId="0" applyFont="1" applyBorder="1"/>
    <xf numFmtId="1" fontId="64" fillId="0" borderId="82" xfId="0" applyNumberFormat="1" applyFont="1" applyBorder="1" applyAlignment="1">
      <alignment horizontal="center"/>
    </xf>
    <xf numFmtId="1" fontId="64" fillId="0" borderId="83" xfId="0" applyNumberFormat="1" applyFont="1" applyBorder="1" applyAlignment="1">
      <alignment horizontal="center"/>
    </xf>
    <xf numFmtId="1" fontId="64" fillId="0" borderId="47" xfId="0" applyNumberFormat="1" applyFont="1" applyBorder="1" applyAlignment="1">
      <alignment horizontal="center"/>
    </xf>
    <xf numFmtId="1" fontId="64" fillId="0" borderId="54" xfId="0" applyNumberFormat="1" applyFont="1" applyBorder="1" applyAlignment="1">
      <alignment horizontal="center"/>
    </xf>
    <xf numFmtId="1" fontId="64" fillId="0" borderId="84" xfId="0" applyNumberFormat="1" applyFont="1" applyBorder="1" applyAlignment="1">
      <alignment horizontal="center"/>
    </xf>
    <xf numFmtId="1" fontId="64" fillId="0" borderId="85" xfId="0" applyNumberFormat="1" applyFont="1" applyBorder="1" applyAlignment="1">
      <alignment horizontal="center"/>
    </xf>
    <xf numFmtId="0" fontId="64" fillId="0" borderId="63" xfId="0" applyFont="1" applyBorder="1"/>
    <xf numFmtId="0" fontId="64" fillId="0" borderId="58" xfId="0" applyFont="1" applyBorder="1"/>
    <xf numFmtId="1" fontId="64" fillId="0" borderId="63" xfId="0" applyNumberFormat="1" applyFont="1" applyBorder="1" applyAlignment="1">
      <alignment horizontal="center"/>
    </xf>
    <xf numFmtId="1" fontId="64" fillId="0" borderId="59" xfId="0" applyNumberFormat="1" applyFont="1" applyBorder="1" applyAlignment="1">
      <alignment horizontal="center"/>
    </xf>
    <xf numFmtId="0" fontId="64" fillId="0" borderId="65" xfId="0" applyFont="1" applyBorder="1"/>
    <xf numFmtId="0" fontId="64" fillId="0" borderId="66" xfId="0" applyFont="1" applyBorder="1"/>
    <xf numFmtId="0" fontId="64" fillId="86" borderId="66" xfId="0" applyFont="1" applyFill="1" applyBorder="1"/>
    <xf numFmtId="0" fontId="64" fillId="86" borderId="5" xfId="0" applyFont="1" applyFill="1" applyBorder="1"/>
    <xf numFmtId="0" fontId="64" fillId="86" borderId="0" xfId="0" applyFont="1" applyFill="1" applyBorder="1"/>
    <xf numFmtId="0" fontId="64" fillId="86" borderId="11" xfId="0" applyFont="1" applyFill="1" applyBorder="1"/>
    <xf numFmtId="0" fontId="64" fillId="86" borderId="27" xfId="0" applyFont="1" applyFill="1" applyBorder="1"/>
    <xf numFmtId="0" fontId="64" fillId="0" borderId="86" xfId="0" applyFont="1" applyBorder="1"/>
    <xf numFmtId="0" fontId="64" fillId="0" borderId="87" xfId="0" applyFont="1" applyBorder="1"/>
    <xf numFmtId="1" fontId="64" fillId="0" borderId="86" xfId="0" applyNumberFormat="1" applyFont="1" applyBorder="1" applyAlignment="1">
      <alignment horizontal="center"/>
    </xf>
    <xf numFmtId="1" fontId="64" fillId="0" borderId="88" xfId="0" applyNumberFormat="1" applyFont="1" applyBorder="1" applyAlignment="1">
      <alignment horizontal="center"/>
    </xf>
    <xf numFmtId="0" fontId="64" fillId="87" borderId="66" xfId="0" applyFont="1" applyFill="1" applyBorder="1"/>
    <xf numFmtId="0" fontId="64" fillId="87" borderId="5" xfId="0" applyFont="1" applyFill="1" applyBorder="1"/>
    <xf numFmtId="0" fontId="64" fillId="87" borderId="0" xfId="0" applyFont="1" applyFill="1" applyBorder="1"/>
    <xf numFmtId="0" fontId="64" fillId="87" borderId="11" xfId="0" applyFont="1" applyFill="1" applyBorder="1"/>
    <xf numFmtId="0" fontId="64" fillId="87" borderId="27" xfId="0" applyFont="1" applyFill="1" applyBorder="1"/>
    <xf numFmtId="0" fontId="63" fillId="0" borderId="47" xfId="0" applyFont="1" applyFill="1" applyBorder="1">
      <alignment readingOrder="1"/>
    </xf>
    <xf numFmtId="2" fontId="19" fillId="0" borderId="70" xfId="0" applyNumberFormat="1" applyFont="1" applyBorder="1" applyAlignment="1">
      <alignment horizontal="center"/>
    </xf>
    <xf numFmtId="2" fontId="68" fillId="0" borderId="67" xfId="0" applyNumberFormat="1" applyFont="1" applyBorder="1" applyAlignment="1">
      <alignment horizontal="center"/>
    </xf>
    <xf numFmtId="2" fontId="64" fillId="0" borderId="76" xfId="0" applyNumberFormat="1" applyFont="1" applyFill="1" applyBorder="1" applyAlignment="1">
      <alignment horizontal="center"/>
    </xf>
    <xf numFmtId="2" fontId="69" fillId="0" borderId="69" xfId="0" applyNumberFormat="1" applyFont="1" applyFill="1" applyBorder="1" applyAlignment="1">
      <alignment horizontal="center"/>
    </xf>
    <xf numFmtId="2" fontId="19" fillId="0" borderId="89" xfId="0" applyNumberFormat="1" applyFont="1" applyBorder="1" applyAlignment="1">
      <alignment horizontal="center"/>
    </xf>
    <xf numFmtId="2" fontId="68" fillId="0" borderId="54" xfId="0" applyNumberFormat="1" applyFont="1" applyBorder="1" applyAlignment="1">
      <alignment horizontal="center"/>
    </xf>
    <xf numFmtId="2" fontId="0" fillId="0" borderId="89" xfId="0" applyNumberFormat="1" applyBorder="1" applyAlignment="1">
      <alignment horizontal="center"/>
    </xf>
    <xf numFmtId="2" fontId="69" fillId="0" borderId="54" xfId="0" applyNumberFormat="1" applyFont="1" applyBorder="1" applyAlignment="1">
      <alignment horizontal="center"/>
    </xf>
    <xf numFmtId="2" fontId="19" fillId="0" borderId="90" xfId="0" applyNumberFormat="1" applyFont="1" applyBorder="1" applyAlignment="1">
      <alignment horizontal="center"/>
    </xf>
    <xf numFmtId="2" fontId="68" fillId="0" borderId="83" xfId="0" applyNumberFormat="1" applyFont="1" applyBorder="1" applyAlignment="1">
      <alignment horizontal="center"/>
    </xf>
    <xf numFmtId="2" fontId="9" fillId="0" borderId="89" xfId="0" applyNumberFormat="1" applyFont="1" applyBorder="1" applyAlignment="1">
      <alignment horizontal="center"/>
    </xf>
    <xf numFmtId="2" fontId="19" fillId="0" borderId="91" xfId="0" applyNumberFormat="1" applyFont="1" applyBorder="1" applyAlignment="1">
      <alignment horizontal="center"/>
    </xf>
    <xf numFmtId="2" fontId="68" fillId="0" borderId="85" xfId="0" applyNumberFormat="1" applyFont="1" applyBorder="1" applyAlignment="1">
      <alignment horizontal="center"/>
    </xf>
    <xf numFmtId="2" fontId="0" fillId="0" borderId="91" xfId="0" applyNumberFormat="1" applyBorder="1" applyAlignment="1">
      <alignment horizontal="center"/>
    </xf>
    <xf numFmtId="2" fontId="69" fillId="0" borderId="85" xfId="0" applyNumberFormat="1" applyFont="1" applyBorder="1" applyAlignment="1">
      <alignment horizontal="center"/>
    </xf>
    <xf numFmtId="1" fontId="63" fillId="0" borderId="89" xfId="0" applyNumberFormat="1" applyFont="1" applyBorder="1" applyAlignment="1">
      <alignment horizontal="center"/>
    </xf>
    <xf numFmtId="1" fontId="68" fillId="0" borderId="54" xfId="0" applyNumberFormat="1" applyFont="1" applyBorder="1" applyAlignment="1">
      <alignment horizontal="center"/>
    </xf>
    <xf numFmtId="1" fontId="64" fillId="0" borderId="90" xfId="0" applyNumberFormat="1" applyFont="1" applyBorder="1" applyAlignment="1">
      <alignment horizontal="center"/>
    </xf>
    <xf numFmtId="1" fontId="69" fillId="0" borderId="83" xfId="0" applyNumberFormat="1" applyFont="1" applyBorder="1" applyAlignment="1">
      <alignment horizontal="center"/>
    </xf>
    <xf numFmtId="1" fontId="64" fillId="0" borderId="89" xfId="0" applyNumberFormat="1" applyFont="1" applyBorder="1" applyAlignment="1">
      <alignment horizontal="center"/>
    </xf>
    <xf numFmtId="1" fontId="69" fillId="0" borderId="54" xfId="0" applyNumberFormat="1" applyFont="1" applyBorder="1" applyAlignment="1">
      <alignment horizontal="center"/>
    </xf>
    <xf numFmtId="1" fontId="64" fillId="0" borderId="91" xfId="0" applyNumberFormat="1" applyFont="1" applyBorder="1" applyAlignment="1">
      <alignment horizontal="center"/>
    </xf>
    <xf numFmtId="1" fontId="69" fillId="0" borderId="85" xfId="0" applyNumberFormat="1" applyFont="1" applyBorder="1" applyAlignment="1">
      <alignment horizontal="center"/>
    </xf>
    <xf numFmtId="1" fontId="64" fillId="0" borderId="64" xfId="0" applyNumberFormat="1" applyFont="1" applyBorder="1" applyAlignment="1">
      <alignment horizontal="center"/>
    </xf>
    <xf numFmtId="1" fontId="69" fillId="0" borderId="59" xfId="0" applyNumberFormat="1" applyFont="1" applyBorder="1" applyAlignment="1">
      <alignment horizontal="center"/>
    </xf>
    <xf numFmtId="1" fontId="64" fillId="0" borderId="77" xfId="0" applyNumberFormat="1" applyFont="1" applyBorder="1" applyAlignment="1">
      <alignment horizontal="center"/>
    </xf>
    <xf numFmtId="1" fontId="69" fillId="0" borderId="88" xfId="0" applyNumberFormat="1" applyFont="1" applyBorder="1" applyAlignment="1">
      <alignment horizontal="center"/>
    </xf>
    <xf numFmtId="2" fontId="4" fillId="0" borderId="0" xfId="6" applyNumberFormat="1" applyFont="1" applyFill="1" applyBorder="1" applyAlignment="1">
      <alignment wrapText="1"/>
    </xf>
    <xf numFmtId="1" fontId="60" fillId="0" borderId="0" xfId="369" applyNumberFormat="1" applyFill="1">
      <alignment readingOrder="1"/>
    </xf>
    <xf numFmtId="44" fontId="60" fillId="0" borderId="0" xfId="61" applyFont="1" applyFill="1">
      <alignment readingOrder="1"/>
    </xf>
    <xf numFmtId="0" fontId="4" fillId="0" borderId="0" xfId="369" applyFont="1" applyFill="1" applyBorder="1">
      <alignment readingOrder="1"/>
    </xf>
    <xf numFmtId="0" fontId="0" fillId="11" borderId="6" xfId="0" applyFill="1" applyBorder="1" applyAlignment="1">
      <alignment horizontal="center"/>
    </xf>
    <xf numFmtId="0" fontId="0" fillId="0" borderId="6" xfId="0" applyBorder="1" applyAlignment="1">
      <alignment horizontal="left"/>
    </xf>
    <xf numFmtId="9" fontId="0" fillId="0" borderId="6" xfId="0" applyNumberFormat="1" applyBorder="1" applyAlignment="1">
      <alignment horizontal="center"/>
    </xf>
    <xf numFmtId="9" fontId="0" fillId="0" borderId="6" xfId="372" applyFont="1" applyBorder="1" applyAlignment="1">
      <alignment horizontal="center"/>
    </xf>
    <xf numFmtId="9" fontId="0" fillId="0" borderId="6" xfId="372" applyFont="1" applyBorder="1"/>
    <xf numFmtId="0" fontId="0" fillId="0" borderId="0" xfId="0" applyAlignment="1">
      <alignment horizontal="right"/>
    </xf>
    <xf numFmtId="1" fontId="0" fillId="0" borderId="0" xfId="0" applyNumberFormat="1" applyAlignment="1">
      <alignment horizontal="center"/>
    </xf>
    <xf numFmtId="0" fontId="0" fillId="11" borderId="6" xfId="0" applyFill="1" applyBorder="1"/>
    <xf numFmtId="9" fontId="0" fillId="0" borderId="6" xfId="0" applyNumberFormat="1" applyBorder="1"/>
    <xf numFmtId="0" fontId="0" fillId="11" borderId="4" xfId="0" applyFill="1" applyBorder="1"/>
    <xf numFmtId="0" fontId="0" fillId="11" borderId="3" xfId="0" applyFill="1" applyBorder="1"/>
    <xf numFmtId="0" fontId="9" fillId="88" borderId="18" xfId="392" applyFont="1" applyFill="1" applyBorder="1"/>
    <xf numFmtId="0" fontId="9" fillId="55" borderId="72" xfId="392" applyFont="1" applyFill="1" applyBorder="1"/>
    <xf numFmtId="0" fontId="9" fillId="55" borderId="73" xfId="2" applyFont="1" applyFill="1" applyBorder="1"/>
    <xf numFmtId="0" fontId="9" fillId="55" borderId="92" xfId="393" applyFont="1" applyFill="1" applyBorder="1" applyAlignment="1">
      <alignment horizontal="left"/>
    </xf>
    <xf numFmtId="9" fontId="9" fillId="55" borderId="9" xfId="8" applyFont="1" applyFill="1" applyBorder="1"/>
    <xf numFmtId="9" fontId="9" fillId="55" borderId="93" xfId="8" applyFont="1" applyFill="1" applyBorder="1"/>
    <xf numFmtId="0" fontId="9" fillId="55" borderId="21" xfId="393" applyFont="1" applyFill="1" applyBorder="1" applyAlignment="1">
      <alignment horizontal="right"/>
    </xf>
    <xf numFmtId="9" fontId="9" fillId="55" borderId="6" xfId="8" applyFont="1" applyFill="1" applyBorder="1"/>
    <xf numFmtId="9" fontId="9" fillId="55" borderId="22" xfId="8" applyFont="1" applyFill="1" applyBorder="1"/>
    <xf numFmtId="0" fontId="9" fillId="55" borderId="21" xfId="2" applyFont="1" applyFill="1" applyBorder="1" applyAlignment="1">
      <alignment horizontal="right"/>
    </xf>
    <xf numFmtId="0" fontId="9" fillId="55" borderId="16" xfId="2" applyFont="1" applyFill="1" applyBorder="1" applyAlignment="1">
      <alignment horizontal="right"/>
    </xf>
    <xf numFmtId="9" fontId="9" fillId="55" borderId="2" xfId="8" applyFont="1" applyFill="1" applyBorder="1"/>
    <xf numFmtId="9" fontId="9" fillId="55" borderId="17" xfId="8" applyFont="1" applyFill="1" applyBorder="1"/>
    <xf numFmtId="171" fontId="4" fillId="89" borderId="12" xfId="56" applyNumberFormat="1" applyFont="1" applyFill="1" applyBorder="1"/>
    <xf numFmtId="171" fontId="4" fillId="89" borderId="60" xfId="56" applyNumberFormat="1" applyFill="1" applyBorder="1"/>
    <xf numFmtId="171" fontId="4" fillId="89" borderId="60" xfId="56" applyNumberFormat="1" applyFont="1" applyFill="1" applyBorder="1"/>
    <xf numFmtId="171" fontId="4" fillId="89" borderId="61" xfId="56" applyNumberFormat="1" applyFill="1" applyBorder="1"/>
    <xf numFmtId="0" fontId="70" fillId="0" borderId="0" xfId="394" applyFont="1"/>
    <xf numFmtId="0" fontId="4" fillId="55" borderId="73" xfId="2" applyFont="1" applyFill="1" applyBorder="1"/>
    <xf numFmtId="171" fontId="4" fillId="89" borderId="12" xfId="56" applyNumberFormat="1" applyFill="1" applyBorder="1"/>
    <xf numFmtId="0" fontId="0" fillId="83" borderId="0" xfId="0" applyFill="1"/>
    <xf numFmtId="0" fontId="0" fillId="10" borderId="0" xfId="0" applyFill="1"/>
    <xf numFmtId="0" fontId="0" fillId="90" borderId="65" xfId="0" applyFill="1" applyBorder="1"/>
    <xf numFmtId="0" fontId="0" fillId="90" borderId="66" xfId="0" applyFill="1" applyBorder="1"/>
    <xf numFmtId="0" fontId="0" fillId="90" borderId="71" xfId="0" applyFill="1" applyBorder="1"/>
    <xf numFmtId="0" fontId="0" fillId="90" borderId="67" xfId="0" applyFill="1" applyBorder="1"/>
    <xf numFmtId="0" fontId="0" fillId="91" borderId="65" xfId="0" applyFill="1" applyBorder="1"/>
    <xf numFmtId="0" fontId="0" fillId="91" borderId="66" xfId="0" applyFill="1" applyBorder="1"/>
    <xf numFmtId="0" fontId="0" fillId="91" borderId="71" xfId="0" applyFill="1" applyBorder="1"/>
    <xf numFmtId="0" fontId="0" fillId="91" borderId="67" xfId="0" applyFill="1" applyBorder="1"/>
    <xf numFmtId="0" fontId="0" fillId="49" borderId="65" xfId="0" applyFill="1" applyBorder="1"/>
    <xf numFmtId="0" fontId="0" fillId="49" borderId="66" xfId="0" applyFill="1" applyBorder="1"/>
    <xf numFmtId="0" fontId="0" fillId="49" borderId="71" xfId="0" applyFill="1" applyBorder="1"/>
    <xf numFmtId="0" fontId="0" fillId="49" borderId="67" xfId="0" applyFill="1" applyBorder="1"/>
    <xf numFmtId="0" fontId="0" fillId="92" borderId="65" xfId="0" applyFill="1" applyBorder="1"/>
    <xf numFmtId="0" fontId="0" fillId="92" borderId="66" xfId="0" applyFill="1" applyBorder="1"/>
    <xf numFmtId="0" fontId="0" fillId="92" borderId="71" xfId="0" applyFill="1" applyBorder="1"/>
    <xf numFmtId="0" fontId="0" fillId="92" borderId="67" xfId="0" applyFill="1" applyBorder="1"/>
    <xf numFmtId="0" fontId="0" fillId="93" borderId="65" xfId="0" applyFill="1" applyBorder="1"/>
    <xf numFmtId="0" fontId="0" fillId="93" borderId="66" xfId="0" applyFill="1" applyBorder="1"/>
    <xf numFmtId="0" fontId="0" fillId="93" borderId="71" xfId="0" applyFill="1" applyBorder="1"/>
    <xf numFmtId="0" fontId="0" fillId="93" borderId="67" xfId="0" applyFill="1" applyBorder="1"/>
    <xf numFmtId="0" fontId="0" fillId="90" borderId="49" xfId="0" applyFill="1" applyBorder="1"/>
    <xf numFmtId="0" fontId="0" fillId="49" borderId="73" xfId="0" applyFill="1" applyBorder="1"/>
    <xf numFmtId="0" fontId="0" fillId="92" borderId="49" xfId="0" applyFill="1" applyBorder="1"/>
    <xf numFmtId="0" fontId="0" fillId="93" borderId="73" xfId="0" applyFill="1" applyBorder="1"/>
    <xf numFmtId="0" fontId="0" fillId="0" borderId="47" xfId="0" applyBorder="1"/>
    <xf numFmtId="0" fontId="0" fillId="0" borderId="0" xfId="0" applyBorder="1"/>
    <xf numFmtId="0" fontId="0" fillId="0" borderId="29" xfId="0" applyBorder="1"/>
    <xf numFmtId="0" fontId="0" fillId="0" borderId="54" xfId="0" applyBorder="1"/>
    <xf numFmtId="0" fontId="0" fillId="0" borderId="94" xfId="0" applyBorder="1"/>
    <xf numFmtId="0" fontId="0" fillId="0" borderId="54" xfId="0" applyFill="1" applyBorder="1"/>
    <xf numFmtId="0" fontId="0" fillId="0" borderId="0" xfId="0" applyFill="1" applyBorder="1"/>
    <xf numFmtId="0" fontId="0" fillId="0" borderId="95" xfId="0" applyFill="1" applyBorder="1"/>
    <xf numFmtId="0" fontId="0" fillId="11" borderId="63" xfId="0" applyFill="1" applyBorder="1"/>
    <xf numFmtId="0" fontId="0" fillId="11" borderId="58" xfId="0" applyFill="1" applyBorder="1"/>
    <xf numFmtId="0" fontId="0" fillId="11" borderId="79" xfId="0" applyFill="1" applyBorder="1"/>
    <xf numFmtId="0" fontId="0" fillId="11" borderId="59" xfId="0" applyFill="1" applyBorder="1"/>
    <xf numFmtId="0" fontId="0" fillId="11" borderId="96" xfId="0" applyFill="1" applyBorder="1"/>
    <xf numFmtId="0" fontId="0" fillId="0" borderId="8" xfId="0" applyBorder="1"/>
    <xf numFmtId="0" fontId="0" fillId="0" borderId="8" xfId="0" applyBorder="1" applyAlignment="1">
      <alignment horizontal="center"/>
    </xf>
    <xf numFmtId="0" fontId="19" fillId="0" borderId="8" xfId="0" applyFont="1" applyBorder="1"/>
    <xf numFmtId="0" fontId="19" fillId="0" borderId="95" xfId="0" applyFont="1" applyBorder="1"/>
    <xf numFmtId="1" fontId="21" fillId="0" borderId="0" xfId="0" applyNumberFormat="1" applyFont="1"/>
    <xf numFmtId="1" fontId="71" fillId="0" borderId="0" xfId="0" applyNumberFormat="1" applyFont="1"/>
    <xf numFmtId="0" fontId="0" fillId="0" borderId="12" xfId="0" applyBorder="1"/>
    <xf numFmtId="0" fontId="0" fillId="0" borderId="60" xfId="0" applyBorder="1"/>
    <xf numFmtId="0" fontId="0" fillId="0" borderId="60" xfId="0" applyBorder="1" applyAlignment="1">
      <alignment horizontal="center"/>
    </xf>
    <xf numFmtId="0" fontId="0" fillId="0" borderId="61" xfId="0" applyBorder="1"/>
    <xf numFmtId="0" fontId="0" fillId="0" borderId="92" xfId="0" applyBorder="1"/>
    <xf numFmtId="0" fontId="0" fillId="0" borderId="9" xfId="0" applyBorder="1"/>
    <xf numFmtId="0" fontId="0" fillId="0" borderId="9" xfId="0" applyBorder="1" applyAlignment="1">
      <alignment horizontal="center"/>
    </xf>
    <xf numFmtId="0" fontId="19" fillId="0" borderId="9" xfId="0" applyFont="1" applyBorder="1"/>
    <xf numFmtId="0" fontId="19" fillId="0" borderId="93" xfId="0" applyFont="1" applyBorder="1"/>
    <xf numFmtId="0" fontId="0" fillId="0" borderId="21" xfId="0" applyBorder="1"/>
    <xf numFmtId="0" fontId="0" fillId="0" borderId="6" xfId="0" applyBorder="1" applyAlignment="1">
      <alignment horizontal="center"/>
    </xf>
    <xf numFmtId="0" fontId="19" fillId="0" borderId="6" xfId="0" applyFont="1" applyBorder="1"/>
    <xf numFmtId="0" fontId="19" fillId="0" borderId="22" xfId="0" applyFont="1" applyBorder="1"/>
    <xf numFmtId="0" fontId="0" fillId="0" borderId="18" xfId="0" applyBorder="1"/>
    <xf numFmtId="0" fontId="0" fillId="0" borderId="19" xfId="0" applyBorder="1" applyAlignment="1">
      <alignment horizontal="center"/>
    </xf>
    <xf numFmtId="0" fontId="19" fillId="0" borderId="19" xfId="0" applyFont="1" applyBorder="1"/>
    <xf numFmtId="0" fontId="19" fillId="0" borderId="20" xfId="0" applyFont="1" applyBorder="1"/>
    <xf numFmtId="0" fontId="0" fillId="0" borderId="6" xfId="0" applyFont="1" applyBorder="1"/>
    <xf numFmtId="0" fontId="0" fillId="0" borderId="22" xfId="0" applyFont="1" applyBorder="1"/>
    <xf numFmtId="0" fontId="0" fillId="0" borderId="23" xfId="0" applyBorder="1"/>
    <xf numFmtId="0" fontId="0" fillId="0" borderId="24" xfId="0" applyBorder="1" applyAlignment="1">
      <alignment horizontal="center"/>
    </xf>
    <xf numFmtId="0" fontId="19" fillId="0" borderId="24" xfId="0" applyFont="1" applyBorder="1"/>
    <xf numFmtId="0" fontId="19" fillId="0" borderId="25" xfId="0" applyFont="1" applyBorder="1"/>
    <xf numFmtId="0" fontId="0" fillId="0" borderId="93" xfId="0" applyBorder="1"/>
    <xf numFmtId="0" fontId="0" fillId="0" borderId="16" xfId="0" applyBorder="1"/>
    <xf numFmtId="0" fontId="0" fillId="0" borderId="2" xfId="0" applyBorder="1"/>
    <xf numFmtId="0" fontId="0" fillId="0" borderId="2" xfId="0" applyBorder="1" applyAlignment="1">
      <alignment horizontal="center"/>
    </xf>
    <xf numFmtId="0" fontId="19" fillId="0" borderId="2" xfId="0" applyFont="1" applyBorder="1"/>
    <xf numFmtId="0" fontId="19" fillId="0" borderId="17" xfId="0" applyFont="1" applyBorder="1"/>
    <xf numFmtId="1" fontId="64" fillId="0" borderId="0" xfId="0" applyNumberFormat="1" applyFont="1"/>
    <xf numFmtId="0" fontId="0" fillId="0" borderId="21" xfId="0" applyFill="1" applyBorder="1"/>
    <xf numFmtId="0" fontId="0" fillId="0" borderId="6" xfId="0" applyFill="1" applyBorder="1"/>
    <xf numFmtId="0" fontId="0" fillId="0" borderId="6" xfId="0" applyFill="1" applyBorder="1" applyAlignment="1">
      <alignment horizontal="center"/>
    </xf>
    <xf numFmtId="0" fontId="19" fillId="0" borderId="6" xfId="0" applyFont="1" applyFill="1" applyBorder="1"/>
    <xf numFmtId="0" fontId="0" fillId="0" borderId="23" xfId="0" applyFill="1" applyBorder="1"/>
    <xf numFmtId="0" fontId="0" fillId="0" borderId="24" xfId="0" applyFill="1" applyBorder="1"/>
    <xf numFmtId="0" fontId="0" fillId="0" borderId="24" xfId="0" applyFill="1" applyBorder="1" applyAlignment="1">
      <alignment horizontal="center"/>
    </xf>
    <xf numFmtId="0" fontId="19" fillId="0" borderId="24" xfId="0" applyFont="1" applyFill="1" applyBorder="1"/>
    <xf numFmtId="1" fontId="0" fillId="0" borderId="0" xfId="0" applyNumberFormat="1" applyBorder="1"/>
    <xf numFmtId="1" fontId="71" fillId="0" borderId="0" xfId="0" applyNumberFormat="1" applyFont="1" applyBorder="1"/>
    <xf numFmtId="0" fontId="0" fillId="0" borderId="12" xfId="0" applyFill="1" applyBorder="1"/>
    <xf numFmtId="0" fontId="0" fillId="0" borderId="60" xfId="0" applyFill="1" applyBorder="1"/>
    <xf numFmtId="0" fontId="0" fillId="0" borderId="51" xfId="0" applyFill="1" applyBorder="1" applyAlignment="1">
      <alignment horizontal="center"/>
    </xf>
    <xf numFmtId="0" fontId="0" fillId="0" borderId="61" xfId="0" applyFill="1" applyBorder="1"/>
    <xf numFmtId="0" fontId="0" fillId="0" borderId="63" xfId="0" applyBorder="1"/>
    <xf numFmtId="1" fontId="0" fillId="0" borderId="58" xfId="0" applyNumberFormat="1" applyBorder="1"/>
    <xf numFmtId="1" fontId="69" fillId="0" borderId="58" xfId="0" applyNumberFormat="1" applyFont="1" applyBorder="1"/>
    <xf numFmtId="1" fontId="69" fillId="0" borderId="0" xfId="0" applyNumberFormat="1" applyFont="1"/>
    <xf numFmtId="0" fontId="0" fillId="0" borderId="0" xfId="0" applyFill="1" applyBorder="1" applyAlignment="1">
      <alignment horizontal="center"/>
    </xf>
    <xf numFmtId="0" fontId="0" fillId="83" borderId="65" xfId="0" applyFill="1" applyBorder="1"/>
    <xf numFmtId="0" fontId="0" fillId="83" borderId="66" xfId="0" applyFill="1" applyBorder="1"/>
    <xf numFmtId="0" fontId="0" fillId="83" borderId="67" xfId="0" applyFill="1" applyBorder="1"/>
    <xf numFmtId="0" fontId="0" fillId="84" borderId="65" xfId="0" applyFill="1" applyBorder="1"/>
    <xf numFmtId="0" fontId="0" fillId="84" borderId="66" xfId="0" applyFill="1" applyBorder="1"/>
    <xf numFmtId="0" fontId="0" fillId="84" borderId="67" xfId="0" applyFill="1" applyBorder="1"/>
    <xf numFmtId="0" fontId="72" fillId="0" borderId="0" xfId="0" applyFont="1"/>
    <xf numFmtId="0" fontId="0" fillId="0" borderId="65" xfId="0" applyBorder="1"/>
    <xf numFmtId="0" fontId="0" fillId="0" borderId="66" xfId="0" applyBorder="1"/>
    <xf numFmtId="0" fontId="0" fillId="0" borderId="67" xfId="0" applyBorder="1"/>
    <xf numFmtId="0" fontId="0" fillId="93" borderId="70" xfId="0" applyFill="1" applyBorder="1"/>
    <xf numFmtId="0" fontId="0" fillId="0" borderId="58" xfId="0" applyBorder="1"/>
    <xf numFmtId="0" fontId="0" fillId="0" borderId="59" xfId="0" applyBorder="1"/>
    <xf numFmtId="0" fontId="0" fillId="0" borderId="79" xfId="0" applyBorder="1"/>
    <xf numFmtId="0" fontId="0" fillId="0" borderId="96" xfId="0" applyBorder="1"/>
    <xf numFmtId="0" fontId="0" fillId="0" borderId="64" xfId="0" applyBorder="1"/>
    <xf numFmtId="0" fontId="0" fillId="0" borderId="50" xfId="0" applyBorder="1"/>
    <xf numFmtId="1" fontId="0" fillId="0" borderId="47" xfId="0" applyNumberFormat="1" applyBorder="1"/>
    <xf numFmtId="1" fontId="0" fillId="0" borderId="54" xfId="0" applyNumberFormat="1" applyBorder="1"/>
    <xf numFmtId="1" fontId="0" fillId="0" borderId="63" xfId="0" applyNumberFormat="1" applyBorder="1"/>
    <xf numFmtId="1" fontId="0" fillId="0" borderId="59" xfId="0" applyNumberFormat="1" applyBorder="1"/>
    <xf numFmtId="1" fontId="21" fillId="0" borderId="6" xfId="0" applyNumberFormat="1" applyFont="1" applyBorder="1" applyAlignment="1">
      <alignment horizontal="center"/>
    </xf>
    <xf numFmtId="0" fontId="0" fillId="84" borderId="50" xfId="0" applyFill="1" applyBorder="1"/>
    <xf numFmtId="0" fontId="0" fillId="84" borderId="51" xfId="0" applyFill="1" applyBorder="1"/>
    <xf numFmtId="0" fontId="0" fillId="84" borderId="14" xfId="0" applyFill="1" applyBorder="1"/>
    <xf numFmtId="0" fontId="0" fillId="49" borderId="70" xfId="0" applyFill="1" applyBorder="1"/>
    <xf numFmtId="0" fontId="0" fillId="0" borderId="63" xfId="0" applyFill="1" applyBorder="1"/>
    <xf numFmtId="0" fontId="0" fillId="0" borderId="64" xfId="0" applyFill="1" applyBorder="1"/>
    <xf numFmtId="0" fontId="0" fillId="0" borderId="59" xfId="0" applyFill="1" applyBorder="1"/>
    <xf numFmtId="0" fontId="0" fillId="0" borderId="48" xfId="0" applyBorder="1"/>
    <xf numFmtId="0" fontId="0" fillId="0" borderId="51" xfId="0" applyBorder="1"/>
    <xf numFmtId="0" fontId="0" fillId="0" borderId="14" xfId="0" applyBorder="1"/>
    <xf numFmtId="164" fontId="69" fillId="0" borderId="0" xfId="0" applyNumberFormat="1" applyFont="1"/>
    <xf numFmtId="0" fontId="69" fillId="0" borderId="0" xfId="0" applyFont="1"/>
    <xf numFmtId="2" fontId="71" fillId="0" borderId="0" xfId="0" applyNumberFormat="1" applyFont="1"/>
    <xf numFmtId="0" fontId="71" fillId="0" borderId="0" xfId="0" applyFont="1"/>
    <xf numFmtId="164" fontId="71" fillId="0" borderId="0" xfId="0" applyNumberFormat="1" applyFont="1"/>
    <xf numFmtId="177" fontId="0" fillId="0" borderId="0" xfId="0" applyNumberFormat="1"/>
    <xf numFmtId="2" fontId="0" fillId="0" borderId="0" xfId="0" applyNumberFormat="1" applyFont="1"/>
    <xf numFmtId="0" fontId="64" fillId="0" borderId="0" xfId="0" applyFont="1"/>
    <xf numFmtId="1" fontId="71" fillId="0" borderId="0" xfId="0" applyNumberFormat="1" applyFont="1" applyFill="1"/>
    <xf numFmtId="177" fontId="71" fillId="0" borderId="0" xfId="0" applyNumberFormat="1" applyFont="1"/>
    <xf numFmtId="0" fontId="66" fillId="0" borderId="12" xfId="0" applyFont="1" applyBorder="1" applyAlignment="1">
      <alignment horizontal="center"/>
    </xf>
    <xf numFmtId="0" fontId="66" fillId="0" borderId="50" xfId="0" applyFont="1" applyBorder="1" applyAlignment="1">
      <alignment horizontal="center"/>
    </xf>
    <xf numFmtId="0" fontId="66" fillId="0" borderId="48" xfId="0" applyFont="1" applyBorder="1" applyAlignment="1">
      <alignment horizontal="center"/>
    </xf>
    <xf numFmtId="0" fontId="73" fillId="0" borderId="14" xfId="0" applyFont="1" applyBorder="1" applyAlignment="1">
      <alignment horizontal="center"/>
    </xf>
    <xf numFmtId="0" fontId="0" fillId="83" borderId="64" xfId="0" applyFill="1" applyBorder="1" applyAlignment="1">
      <alignment horizontal="center"/>
    </xf>
    <xf numFmtId="0" fontId="0" fillId="84" borderId="59" xfId="0" applyFill="1" applyBorder="1" applyAlignment="1">
      <alignment horizontal="center"/>
    </xf>
    <xf numFmtId="0" fontId="64" fillId="79" borderId="11" xfId="0" applyFont="1" applyFill="1" applyBorder="1"/>
    <xf numFmtId="2" fontId="64" fillId="0" borderId="82" xfId="0" applyNumberFormat="1" applyFont="1" applyBorder="1" applyAlignment="1">
      <alignment horizontal="center"/>
    </xf>
    <xf numFmtId="2" fontId="64" fillId="0" borderId="83" xfId="0" applyNumberFormat="1" applyFont="1" applyBorder="1" applyAlignment="1">
      <alignment horizontal="center"/>
    </xf>
    <xf numFmtId="2" fontId="0" fillId="0" borderId="90" xfId="0" applyNumberFormat="1" applyFont="1" applyBorder="1" applyAlignment="1">
      <alignment horizontal="center"/>
    </xf>
    <xf numFmtId="2" fontId="69" fillId="0" borderId="83" xfId="0" applyNumberFormat="1" applyFont="1" applyBorder="1" applyAlignment="1">
      <alignment horizontal="center"/>
    </xf>
    <xf numFmtId="2" fontId="0" fillId="0" borderId="89" xfId="0" applyNumberFormat="1" applyFont="1" applyBorder="1" applyAlignment="1">
      <alignment horizontal="center"/>
    </xf>
    <xf numFmtId="2" fontId="0" fillId="0" borderId="91" xfId="0" applyNumberFormat="1" applyFont="1" applyBorder="1" applyAlignment="1">
      <alignment horizontal="center"/>
    </xf>
    <xf numFmtId="0" fontId="45" fillId="25" borderId="48" xfId="395" applyFont="1" applyFill="1" applyBorder="1" applyAlignment="1">
      <alignment horizontal="center"/>
    </xf>
    <xf numFmtId="0" fontId="8" fillId="0" borderId="65" xfId="395" applyFont="1" applyFill="1" applyBorder="1" applyAlignment="1">
      <alignment wrapText="1"/>
    </xf>
    <xf numFmtId="0" fontId="8" fillId="0" borderId="66" xfId="395" applyFont="1" applyFill="1" applyBorder="1" applyAlignment="1">
      <alignment wrapText="1"/>
    </xf>
    <xf numFmtId="176" fontId="8" fillId="0" borderId="66" xfId="395" applyNumberFormat="1" applyFont="1" applyFill="1" applyBorder="1" applyAlignment="1">
      <alignment horizontal="right" wrapText="1"/>
    </xf>
    <xf numFmtId="0" fontId="8" fillId="0" borderId="66" xfId="395" applyFont="1" applyFill="1" applyBorder="1" applyAlignment="1">
      <alignment horizontal="right" wrapText="1"/>
    </xf>
    <xf numFmtId="175" fontId="8" fillId="0" borderId="66" xfId="5" applyNumberFormat="1" applyFont="1" applyFill="1" applyBorder="1" applyAlignment="1">
      <alignment horizontal="right" wrapText="1"/>
    </xf>
    <xf numFmtId="44" fontId="8" fillId="0" borderId="66" xfId="5" applyFont="1" applyFill="1" applyBorder="1" applyAlignment="1">
      <alignment horizontal="right" wrapText="1"/>
    </xf>
    <xf numFmtId="43" fontId="8" fillId="0" borderId="66" xfId="389" applyNumberFormat="1" applyFont="1" applyFill="1" applyBorder="1" applyAlignment="1">
      <alignment horizontal="right" wrapText="1"/>
    </xf>
    <xf numFmtId="0" fontId="8" fillId="0" borderId="67" xfId="395" applyFont="1" applyFill="1" applyBorder="1" applyAlignment="1">
      <alignment horizontal="right" wrapText="1"/>
    </xf>
    <xf numFmtId="0" fontId="8" fillId="0" borderId="47" xfId="395" applyFont="1" applyFill="1" applyBorder="1" applyAlignment="1">
      <alignment wrapText="1"/>
    </xf>
    <xf numFmtId="0" fontId="8" fillId="0" borderId="0" xfId="395" applyFont="1" applyFill="1" applyBorder="1" applyAlignment="1">
      <alignment wrapText="1"/>
    </xf>
    <xf numFmtId="176" fontId="8" fillId="0" borderId="0" xfId="395" applyNumberFormat="1" applyFont="1" applyFill="1" applyBorder="1" applyAlignment="1">
      <alignment horizontal="right" wrapText="1"/>
    </xf>
    <xf numFmtId="0" fontId="8" fillId="0" borderId="0" xfId="395" applyFont="1" applyFill="1" applyBorder="1" applyAlignment="1">
      <alignment horizontal="right" wrapText="1"/>
    </xf>
    <xf numFmtId="175" fontId="8" fillId="0" borderId="0" xfId="5" applyNumberFormat="1" applyFont="1" applyFill="1" applyBorder="1" applyAlignment="1">
      <alignment horizontal="right" wrapText="1"/>
    </xf>
    <xf numFmtId="44" fontId="8" fillId="0" borderId="0" xfId="5" applyFont="1" applyFill="1" applyBorder="1" applyAlignment="1">
      <alignment horizontal="right" wrapText="1"/>
    </xf>
    <xf numFmtId="43" fontId="8" fillId="0" borderId="0" xfId="389" applyNumberFormat="1" applyFont="1" applyFill="1" applyBorder="1" applyAlignment="1">
      <alignment horizontal="right" wrapText="1"/>
    </xf>
    <xf numFmtId="0" fontId="8" fillId="0" borderId="54" xfId="395" applyFont="1" applyFill="1" applyBorder="1" applyAlignment="1">
      <alignment horizontal="right" wrapText="1"/>
    </xf>
    <xf numFmtId="0" fontId="8" fillId="0" borderId="63" xfId="395" applyFont="1" applyFill="1" applyBorder="1" applyAlignment="1">
      <alignment wrapText="1"/>
    </xf>
    <xf numFmtId="0" fontId="8" fillId="0" borderId="58" xfId="395" applyFont="1" applyFill="1" applyBorder="1" applyAlignment="1">
      <alignment wrapText="1"/>
    </xf>
    <xf numFmtId="176" fontId="8" fillId="0" borderId="58" xfId="395" applyNumberFormat="1" applyFont="1" applyFill="1" applyBorder="1" applyAlignment="1">
      <alignment horizontal="right" wrapText="1"/>
    </xf>
    <xf numFmtId="0" fontId="8" fillId="0" borderId="58" xfId="395" applyFont="1" applyFill="1" applyBorder="1" applyAlignment="1">
      <alignment horizontal="right" wrapText="1"/>
    </xf>
    <xf numFmtId="175" fontId="8" fillId="0" borderId="58" xfId="5" applyNumberFormat="1" applyFont="1" applyFill="1" applyBorder="1" applyAlignment="1">
      <alignment horizontal="right" wrapText="1"/>
    </xf>
    <xf numFmtId="44" fontId="8" fillId="0" borderId="58" xfId="5" applyFont="1" applyFill="1" applyBorder="1" applyAlignment="1">
      <alignment horizontal="right" wrapText="1"/>
    </xf>
    <xf numFmtId="43" fontId="8" fillId="0" borderId="58" xfId="389" applyNumberFormat="1" applyFont="1" applyFill="1" applyBorder="1" applyAlignment="1">
      <alignment horizontal="right" wrapText="1"/>
    </xf>
    <xf numFmtId="0" fontId="8" fillId="0" borderId="59" xfId="395" applyFont="1" applyFill="1" applyBorder="1" applyAlignment="1">
      <alignment horizontal="right" wrapText="1"/>
    </xf>
    <xf numFmtId="2" fontId="65" fillId="81" borderId="6" xfId="391" applyNumberFormat="1" applyFill="1" applyBorder="1"/>
    <xf numFmtId="178" fontId="65" fillId="81" borderId="6" xfId="5" applyNumberFormat="1" applyFont="1" applyFill="1" applyBorder="1"/>
    <xf numFmtId="2" fontId="65" fillId="0" borderId="6" xfId="391" applyNumberFormat="1" applyBorder="1"/>
    <xf numFmtId="44" fontId="65" fillId="81" borderId="6" xfId="5" applyNumberFormat="1" applyFont="1" applyFill="1" applyBorder="1"/>
    <xf numFmtId="2" fontId="65" fillId="55" borderId="6" xfId="391" applyNumberFormat="1" applyFill="1" applyBorder="1"/>
    <xf numFmtId="175" fontId="65" fillId="55" borderId="6" xfId="5" applyNumberFormat="1" applyFont="1" applyFill="1" applyBorder="1"/>
    <xf numFmtId="0" fontId="65" fillId="55" borderId="6" xfId="391" applyFill="1" applyBorder="1"/>
    <xf numFmtId="0" fontId="65" fillId="81" borderId="6" xfId="391" applyFont="1" applyFill="1" applyBorder="1"/>
    <xf numFmtId="44" fontId="65" fillId="81" borderId="6" xfId="5" applyFont="1" applyFill="1" applyBorder="1"/>
    <xf numFmtId="0" fontId="13" fillId="94" borderId="4" xfId="0" applyFont="1" applyFill="1" applyBorder="1" applyAlignment="1">
      <alignment horizontal="left" wrapText="1" readingOrder="1"/>
    </xf>
    <xf numFmtId="0" fontId="13" fillId="94" borderId="3" xfId="0" applyFont="1" applyFill="1" applyBorder="1" applyAlignment="1">
      <alignment horizontal="center" wrapText="1" readingOrder="1"/>
    </xf>
    <xf numFmtId="0" fontId="13" fillId="7" borderId="5" xfId="0" applyFont="1" applyFill="1" applyBorder="1" applyAlignment="1">
      <alignment horizontal="center" wrapText="1" readingOrder="1"/>
    </xf>
    <xf numFmtId="0" fontId="0" fillId="0" borderId="65" xfId="0" applyBorder="1">
      <alignment readingOrder="1"/>
    </xf>
    <xf numFmtId="0" fontId="0" fillId="0" borderId="66" xfId="0" applyBorder="1">
      <alignment readingOrder="1"/>
    </xf>
    <xf numFmtId="0" fontId="0" fillId="0" borderId="67" xfId="0" applyBorder="1">
      <alignment readingOrder="1"/>
    </xf>
    <xf numFmtId="0" fontId="0" fillId="0" borderId="47" xfId="0" applyBorder="1">
      <alignment readingOrder="1"/>
    </xf>
    <xf numFmtId="0" fontId="0" fillId="0" borderId="54" xfId="0" applyBorder="1">
      <alignment readingOrder="1"/>
    </xf>
    <xf numFmtId="0" fontId="0" fillId="0" borderId="63" xfId="0" applyBorder="1">
      <alignment readingOrder="1"/>
    </xf>
    <xf numFmtId="0" fontId="0" fillId="0" borderId="58" xfId="0" applyBorder="1">
      <alignment readingOrder="1"/>
    </xf>
    <xf numFmtId="0" fontId="0" fillId="0" borderId="59" xfId="0" applyBorder="1">
      <alignment readingOrder="1"/>
    </xf>
    <xf numFmtId="0" fontId="8" fillId="95" borderId="50" xfId="0" applyFont="1" applyFill="1" applyBorder="1" applyAlignment="1">
      <alignment horizontal="centerContinuous" wrapText="1" readingOrder="1"/>
    </xf>
    <xf numFmtId="0" fontId="8" fillId="95" borderId="14" xfId="0" applyFont="1" applyFill="1" applyBorder="1" applyAlignment="1">
      <alignment horizontal="centerContinuous" wrapText="1" readingOrder="1"/>
    </xf>
    <xf numFmtId="164" fontId="8" fillId="95" borderId="50" xfId="0" applyNumberFormat="1" applyFont="1" applyFill="1" applyBorder="1" applyAlignment="1">
      <alignment horizontal="centerContinuous" wrapText="1" readingOrder="1"/>
    </xf>
    <xf numFmtId="164" fontId="8" fillId="95" borderId="51" xfId="0" applyNumberFormat="1" applyFont="1" applyFill="1" applyBorder="1" applyAlignment="1">
      <alignment horizontal="centerContinuous" wrapText="1" readingOrder="1"/>
    </xf>
    <xf numFmtId="164" fontId="8" fillId="95" borderId="14" xfId="0" applyNumberFormat="1" applyFont="1" applyFill="1" applyBorder="1" applyAlignment="1">
      <alignment horizontal="centerContinuous" wrapText="1" readingOrder="1"/>
    </xf>
    <xf numFmtId="164" fontId="8" fillId="95" borderId="5" xfId="0" applyNumberFormat="1" applyFont="1" applyFill="1" applyBorder="1" applyAlignment="1">
      <alignment horizontal="center" wrapText="1" readingOrder="1"/>
    </xf>
    <xf numFmtId="179" fontId="8" fillId="9" borderId="3" xfId="0" applyNumberFormat="1" applyFont="1" applyFill="1" applyBorder="1" applyAlignment="1">
      <alignment horizontal="center" wrapText="1" readingOrder="1"/>
    </xf>
    <xf numFmtId="0" fontId="8" fillId="8" borderId="50" xfId="0" applyFont="1" applyFill="1" applyBorder="1" applyAlignment="1">
      <alignment horizontal="centerContinuous" wrapText="1" readingOrder="1"/>
    </xf>
    <xf numFmtId="0" fontId="8" fillId="8" borderId="51" xfId="0" applyFont="1" applyFill="1" applyBorder="1" applyAlignment="1">
      <alignment horizontal="centerContinuous" wrapText="1" readingOrder="1"/>
    </xf>
    <xf numFmtId="164" fontId="8" fillId="8" borderId="51" xfId="0" applyNumberFormat="1" applyFont="1" applyFill="1" applyBorder="1" applyAlignment="1">
      <alignment horizontal="centerContinuous" wrapText="1" readingOrder="1"/>
    </xf>
    <xf numFmtId="164" fontId="8" fillId="8" borderId="5" xfId="0" applyNumberFormat="1" applyFont="1" applyFill="1" applyBorder="1" applyAlignment="1">
      <alignment horizontal="center" wrapText="1" readingOrder="1"/>
    </xf>
    <xf numFmtId="164" fontId="8" fillId="8" borderId="50" xfId="0" applyNumberFormat="1" applyFont="1" applyFill="1" applyBorder="1" applyAlignment="1">
      <alignment horizontal="centerContinuous" wrapText="1" readingOrder="1"/>
    </xf>
    <xf numFmtId="0" fontId="9" fillId="0" borderId="0" xfId="0" applyFont="1">
      <alignment readingOrder="1"/>
    </xf>
    <xf numFmtId="164" fontId="9" fillId="0" borderId="0" xfId="0" applyNumberFormat="1" applyFont="1">
      <alignment readingOrder="1"/>
    </xf>
    <xf numFmtId="180" fontId="9" fillId="0" borderId="0" xfId="0" applyNumberFormat="1" applyFont="1">
      <alignment readingOrder="1"/>
    </xf>
    <xf numFmtId="180" fontId="0" fillId="0" borderId="0" xfId="0" applyNumberFormat="1">
      <alignment readingOrder="1"/>
    </xf>
    <xf numFmtId="180" fontId="14" fillId="0" borderId="0" xfId="0" applyNumberFormat="1" applyFont="1">
      <alignment readingOrder="1"/>
    </xf>
    <xf numFmtId="9" fontId="9" fillId="0" borderId="0" xfId="0" applyNumberFormat="1" applyFont="1">
      <alignment readingOrder="1"/>
    </xf>
    <xf numFmtId="1" fontId="9" fillId="0" borderId="0" xfId="0" applyNumberFormat="1" applyFont="1">
      <alignment readingOrder="1"/>
    </xf>
    <xf numFmtId="0" fontId="0" fillId="0" borderId="0" xfId="0" applyFill="1"/>
    <xf numFmtId="9" fontId="0" fillId="0" borderId="1" xfId="0" applyNumberFormat="1" applyBorder="1"/>
    <xf numFmtId="9" fontId="0" fillId="0" borderId="11" xfId="0" applyNumberFormat="1" applyBorder="1"/>
    <xf numFmtId="0" fontId="0" fillId="0" borderId="11" xfId="0" applyBorder="1"/>
    <xf numFmtId="0" fontId="0" fillId="0" borderId="10" xfId="0" applyBorder="1"/>
    <xf numFmtId="9" fontId="0" fillId="0" borderId="7" xfId="0" applyNumberFormat="1" applyBorder="1"/>
    <xf numFmtId="9" fontId="0" fillId="0" borderId="0" xfId="0" applyNumberFormat="1" applyBorder="1"/>
    <xf numFmtId="9" fontId="0" fillId="0" borderId="0" xfId="4" applyFont="1" applyBorder="1"/>
    <xf numFmtId="9" fontId="0" fillId="0" borderId="29" xfId="4" applyFont="1" applyBorder="1"/>
    <xf numFmtId="0" fontId="0" fillId="0" borderId="7" xfId="0" applyBorder="1"/>
    <xf numFmtId="9" fontId="0" fillId="0" borderId="26" xfId="0" applyNumberFormat="1" applyBorder="1"/>
    <xf numFmtId="9" fontId="0" fillId="0" borderId="27" xfId="0" applyNumberFormat="1" applyBorder="1"/>
    <xf numFmtId="9" fontId="0" fillId="0" borderId="27" xfId="4" applyFont="1" applyBorder="1"/>
    <xf numFmtId="9" fontId="0" fillId="0" borderId="28" xfId="4" applyFont="1" applyBorder="1"/>
    <xf numFmtId="9" fontId="0" fillId="0" borderId="29" xfId="0" applyNumberFormat="1" applyBorder="1"/>
    <xf numFmtId="9" fontId="0" fillId="0" borderId="28" xfId="0" applyNumberFormat="1" applyBorder="1"/>
    <xf numFmtId="0" fontId="0" fillId="0" borderId="0" xfId="0" applyFill="1" applyAlignment="1">
      <alignment horizontal="center" readingOrder="1"/>
    </xf>
    <xf numFmtId="0" fontId="19" fillId="52" borderId="6" xfId="106" applyFont="1" applyFill="1" applyBorder="1"/>
    <xf numFmtId="0" fontId="19" fillId="52" borderId="1" xfId="106" applyFont="1" applyFill="1" applyBorder="1"/>
    <xf numFmtId="0" fontId="19" fillId="52" borderId="11" xfId="106" applyFont="1" applyFill="1" applyBorder="1"/>
    <xf numFmtId="0" fontId="19" fillId="52" borderId="10" xfId="106" applyFont="1" applyFill="1" applyBorder="1"/>
    <xf numFmtId="164" fontId="8" fillId="8" borderId="12" xfId="106" applyNumberFormat="1" applyFont="1" applyFill="1" applyBorder="1" applyAlignment="1">
      <alignment horizontal="centerContinuous" wrapText="1" readingOrder="1"/>
    </xf>
    <xf numFmtId="164" fontId="8" fillId="8" borderId="13" xfId="106" applyNumberFormat="1" applyFont="1" applyFill="1" applyBorder="1" applyAlignment="1">
      <alignment horizontal="centerContinuous" wrapText="1" readingOrder="1"/>
    </xf>
    <xf numFmtId="164" fontId="8" fillId="8" borderId="14" xfId="106" applyNumberFormat="1" applyFont="1" applyFill="1" applyBorder="1" applyAlignment="1">
      <alignment horizontal="centerContinuous" wrapText="1" readingOrder="1"/>
    </xf>
    <xf numFmtId="164" fontId="8" fillId="8" borderId="3" xfId="106" applyNumberFormat="1" applyFont="1" applyFill="1" applyBorder="1" applyAlignment="1">
      <alignment horizontal="center" wrapText="1" readingOrder="1"/>
    </xf>
    <xf numFmtId="0" fontId="4" fillId="0" borderId="0" xfId="106"/>
    <xf numFmtId="0" fontId="19" fillId="52" borderId="26" xfId="106" applyFont="1" applyFill="1" applyBorder="1"/>
    <xf numFmtId="0" fontId="19" fillId="52" borderId="27" xfId="106" applyFont="1" applyFill="1" applyBorder="1"/>
    <xf numFmtId="0" fontId="19" fillId="52" borderId="28" xfId="106" applyFont="1" applyFill="1" applyBorder="1"/>
    <xf numFmtId="164" fontId="8" fillId="9" borderId="3" xfId="106" applyNumberFormat="1" applyFont="1" applyFill="1" applyBorder="1" applyAlignment="1">
      <alignment horizontal="center" wrapText="1" readingOrder="1"/>
    </xf>
    <xf numFmtId="0" fontId="19" fillId="51" borderId="6" xfId="106" applyFont="1" applyFill="1" applyBorder="1"/>
    <xf numFmtId="2" fontId="4" fillId="80" borderId="0" xfId="106" applyNumberFormat="1" applyFill="1" applyAlignment="1">
      <alignment horizontal="center" readingOrder="1"/>
    </xf>
    <xf numFmtId="1" fontId="4" fillId="80" borderId="0" xfId="106" applyNumberFormat="1" applyFill="1" applyAlignment="1">
      <alignment horizontal="center" readingOrder="1"/>
    </xf>
    <xf numFmtId="0" fontId="4" fillId="0" borderId="0" xfId="106">
      <alignment readingOrder="1"/>
    </xf>
    <xf numFmtId="164" fontId="4" fillId="0" borderId="0" xfId="106" applyNumberFormat="1">
      <alignment readingOrder="1"/>
    </xf>
    <xf numFmtId="43" fontId="0" fillId="80" borderId="0" xfId="384" applyFont="1" applyFill="1" applyAlignment="1">
      <alignment horizontal="center" readingOrder="1"/>
    </xf>
    <xf numFmtId="1" fontId="4" fillId="0" borderId="0" xfId="106" applyNumberFormat="1">
      <alignment readingOrder="1"/>
    </xf>
    <xf numFmtId="0" fontId="0" fillId="49" borderId="0" xfId="0" applyFill="1" applyAlignment="1">
      <alignment horizontal="left" vertical="center" readingOrder="1"/>
    </xf>
    <xf numFmtId="0" fontId="8" fillId="3" borderId="1" xfId="1" applyFont="1" applyFill="1" applyBorder="1" applyAlignment="1">
      <alignment horizontal="center"/>
    </xf>
    <xf numFmtId="0" fontId="8" fillId="3" borderId="11" xfId="1" applyFont="1" applyFill="1" applyBorder="1" applyAlignment="1">
      <alignment horizontal="center"/>
    </xf>
    <xf numFmtId="0" fontId="8" fillId="3" borderId="10" xfId="1" applyFont="1" applyFill="1" applyBorder="1" applyAlignment="1">
      <alignment horizontal="center"/>
    </xf>
    <xf numFmtId="0" fontId="5" fillId="4" borderId="2" xfId="0" applyFont="1" applyFill="1" applyBorder="1" applyAlignment="1">
      <alignment horizontal="center"/>
    </xf>
    <xf numFmtId="0" fontId="9" fillId="0" borderId="2" xfId="0" applyFont="1" applyBorder="1" applyAlignment="1">
      <alignment horizontal="center"/>
    </xf>
    <xf numFmtId="0" fontId="9" fillId="79" borderId="6" xfId="1" applyFont="1" applyFill="1" applyBorder="1" applyAlignment="1">
      <alignment horizontal="center"/>
    </xf>
    <xf numFmtId="0" fontId="8" fillId="3" borderId="4" xfId="1" applyFont="1" applyFill="1" applyBorder="1" applyAlignment="1">
      <alignment horizontal="center"/>
    </xf>
    <xf numFmtId="0" fontId="8" fillId="3" borderId="5" xfId="1" applyFont="1" applyFill="1" applyBorder="1" applyAlignment="1">
      <alignment horizontal="center"/>
    </xf>
    <xf numFmtId="0" fontId="8" fillId="3" borderId="3" xfId="1" applyFont="1" applyFill="1" applyBorder="1" applyAlignment="1">
      <alignment horizontal="center"/>
    </xf>
    <xf numFmtId="0" fontId="5" fillId="4" borderId="6" xfId="2" applyFont="1" applyFill="1" applyBorder="1" applyAlignment="1">
      <alignment horizontal="center"/>
    </xf>
    <xf numFmtId="0" fontId="9" fillId="0" borderId="6" xfId="2" applyFont="1" applyBorder="1" applyAlignment="1">
      <alignment horizontal="center"/>
    </xf>
    <xf numFmtId="0" fontId="19" fillId="82" borderId="50" xfId="0" applyFont="1" applyFill="1" applyBorder="1" applyAlignment="1">
      <alignment horizontal="center"/>
    </xf>
    <xf numFmtId="0" fontId="19" fillId="82" borderId="51" xfId="0" applyFont="1" applyFill="1" applyBorder="1" applyAlignment="1">
      <alignment horizontal="center"/>
    </xf>
    <xf numFmtId="0" fontId="19" fillId="82" borderId="12" xfId="0" applyFont="1" applyFill="1" applyBorder="1" applyAlignment="1">
      <alignment horizontal="center"/>
    </xf>
    <xf numFmtId="0" fontId="19" fillId="82" borderId="60" xfId="0" applyFont="1" applyFill="1" applyBorder="1" applyAlignment="1">
      <alignment horizontal="center"/>
    </xf>
    <xf numFmtId="0" fontId="19" fillId="82" borderId="61" xfId="0" applyFont="1" applyFill="1" applyBorder="1" applyAlignment="1">
      <alignment horizontal="center"/>
    </xf>
    <xf numFmtId="0" fontId="66" fillId="0" borderId="96" xfId="0" applyFont="1" applyBorder="1" applyAlignment="1">
      <alignment horizontal="center"/>
    </xf>
    <xf numFmtId="0" fontId="66" fillId="0" borderId="97" xfId="0" applyFont="1" applyBorder="1" applyAlignment="1">
      <alignment horizontal="center"/>
    </xf>
    <xf numFmtId="0" fontId="0" fillId="11" borderId="58" xfId="0" applyFill="1" applyBorder="1" applyAlignment="1">
      <alignment horizontal="center"/>
    </xf>
    <xf numFmtId="0" fontId="0" fillId="11" borderId="4" xfId="0" applyFill="1" applyBorder="1" applyAlignment="1">
      <alignment horizontal="center"/>
    </xf>
    <xf numFmtId="0" fontId="0" fillId="11" borderId="3" xfId="0" applyFill="1" applyBorder="1" applyAlignment="1">
      <alignment horizontal="center"/>
    </xf>
  </cellXfs>
  <cellStyles count="538">
    <cellStyle name="20% - Accent1 2" xfId="17"/>
    <cellStyle name="20% - Accent1 2 2" xfId="107"/>
    <cellStyle name="20% - Accent1 3" xfId="18"/>
    <cellStyle name="20% - Accent1 3 2" xfId="396"/>
    <cellStyle name="20% - Accent1 4" xfId="397"/>
    <cellStyle name="20% - Accent1 4 2" xfId="398"/>
    <cellStyle name="20% - Accent1 5" xfId="399"/>
    <cellStyle name="20% - Accent2 2" xfId="19"/>
    <cellStyle name="20% - Accent2 2 2" xfId="400"/>
    <cellStyle name="20% - Accent2 3" xfId="20"/>
    <cellStyle name="20% - Accent2 3 2" xfId="401"/>
    <cellStyle name="20% - Accent2 4" xfId="402"/>
    <cellStyle name="20% - Accent2 4 2" xfId="403"/>
    <cellStyle name="20% - Accent2 5" xfId="404"/>
    <cellStyle name="20% - Accent3 2" xfId="21"/>
    <cellStyle name="20% - Accent3 2 2" xfId="108"/>
    <cellStyle name="20% - Accent3 3" xfId="22"/>
    <cellStyle name="20% - Accent3 3 2" xfId="405"/>
    <cellStyle name="20% - Accent3 4" xfId="406"/>
    <cellStyle name="20% - Accent3 4 2" xfId="407"/>
    <cellStyle name="20% - Accent3 5" xfId="408"/>
    <cellStyle name="20% - Accent4 2" xfId="23"/>
    <cellStyle name="20% - Accent4 2 2" xfId="109"/>
    <cellStyle name="20% - Accent4 3" xfId="24"/>
    <cellStyle name="20% - Accent4 3 2" xfId="409"/>
    <cellStyle name="20% - Accent4 4" xfId="410"/>
    <cellStyle name="20% - Accent4 4 2" xfId="411"/>
    <cellStyle name="20% - Accent4 5" xfId="412"/>
    <cellStyle name="20% - Accent5 2" xfId="25"/>
    <cellStyle name="20% - Accent5 2 2" xfId="413"/>
    <cellStyle name="20% - Accent5 3" xfId="26"/>
    <cellStyle name="20% - Accent5 3 2" xfId="414"/>
    <cellStyle name="20% - Accent5 4" xfId="415"/>
    <cellStyle name="20% - Accent5 4 2" xfId="416"/>
    <cellStyle name="20% - Accent5 5" xfId="417"/>
    <cellStyle name="20% - Accent6 2" xfId="27"/>
    <cellStyle name="20% - Accent6 2 2" xfId="418"/>
    <cellStyle name="20% - Accent6 3" xfId="28"/>
    <cellStyle name="20% - Accent6 3 2" xfId="419"/>
    <cellStyle name="20% - Accent6 4" xfId="420"/>
    <cellStyle name="20% - Accent6 4 2" xfId="421"/>
    <cellStyle name="20% - Accent6 5" xfId="422"/>
    <cellStyle name="40% - Accent1 2" xfId="29"/>
    <cellStyle name="40% - Accent1 2 2" xfId="110"/>
    <cellStyle name="40% - Accent1 3" xfId="30"/>
    <cellStyle name="40% - Accent1 3 2" xfId="423"/>
    <cellStyle name="40% - Accent1 4" xfId="424"/>
    <cellStyle name="40% - Accent1 4 2" xfId="425"/>
    <cellStyle name="40% - Accent1 5" xfId="426"/>
    <cellStyle name="40% - Accent2 2" xfId="31"/>
    <cellStyle name="40% - Accent2 2 2" xfId="111"/>
    <cellStyle name="40% - Accent2 3" xfId="32"/>
    <cellStyle name="40% - Accent2 3 2" xfId="427"/>
    <cellStyle name="40% - Accent2 4" xfId="428"/>
    <cellStyle name="40% - Accent2 4 2" xfId="429"/>
    <cellStyle name="40% - Accent2 5" xfId="430"/>
    <cellStyle name="40% - Accent3 2" xfId="33"/>
    <cellStyle name="40% - Accent3 2 2" xfId="112"/>
    <cellStyle name="40% - Accent3 3" xfId="34"/>
    <cellStyle name="40% - Accent3 3 2" xfId="431"/>
    <cellStyle name="40% - Accent3 4" xfId="432"/>
    <cellStyle name="40% - Accent3 4 2" xfId="433"/>
    <cellStyle name="40% - Accent3 5" xfId="434"/>
    <cellStyle name="40% - Accent4 2" xfId="35"/>
    <cellStyle name="40% - Accent4 2 2" xfId="113"/>
    <cellStyle name="40% - Accent4 3" xfId="36"/>
    <cellStyle name="40% - Accent4 3 2" xfId="435"/>
    <cellStyle name="40% - Accent4 4" xfId="436"/>
    <cellStyle name="40% - Accent4 4 2" xfId="437"/>
    <cellStyle name="40% - Accent4 5" xfId="438"/>
    <cellStyle name="40% - Accent5 2" xfId="37"/>
    <cellStyle name="40% - Accent5 2 2" xfId="439"/>
    <cellStyle name="40% - Accent5 3" xfId="38"/>
    <cellStyle name="40% - Accent5 3 2" xfId="440"/>
    <cellStyle name="40% - Accent5 4" xfId="441"/>
    <cellStyle name="40% - Accent5 4 2" xfId="442"/>
    <cellStyle name="40% - Accent5 5" xfId="443"/>
    <cellStyle name="40% - Accent6 2" xfId="39"/>
    <cellStyle name="40% - Accent6 2 2" xfId="114"/>
    <cellStyle name="40% - Accent6 3" xfId="40"/>
    <cellStyle name="40% - Accent6 3 2" xfId="444"/>
    <cellStyle name="40% - Accent6 4" xfId="445"/>
    <cellStyle name="40% - Accent6 4 2" xfId="446"/>
    <cellStyle name="40% - Accent6 5" xfId="447"/>
    <cellStyle name="60% - Accent1 2" xfId="41"/>
    <cellStyle name="60% - Accent1 2 2" xfId="115"/>
    <cellStyle name="60% - Accent1 3" xfId="116"/>
    <cellStyle name="60% - Accent2 2" xfId="42"/>
    <cellStyle name="60% - Accent2 2 2" xfId="117"/>
    <cellStyle name="60% - Accent2 3" xfId="118"/>
    <cellStyle name="60% - Accent3 2" xfId="43"/>
    <cellStyle name="60% - Accent3 2 2" xfId="119"/>
    <cellStyle name="60% - Accent3 3" xfId="120"/>
    <cellStyle name="60% - Accent4 2" xfId="44"/>
    <cellStyle name="60% - Accent4 2 2" xfId="121"/>
    <cellStyle name="60% - Accent4 3" xfId="122"/>
    <cellStyle name="60% - Accent5 2" xfId="45"/>
    <cellStyle name="60% - Accent5 3" xfId="123"/>
    <cellStyle name="60% - Accent6 2" xfId="46"/>
    <cellStyle name="60% - Accent6 2 2" xfId="124"/>
    <cellStyle name="60% - Accent6 3" xfId="125"/>
    <cellStyle name="Accent1 - 20%" xfId="126"/>
    <cellStyle name="Accent1 - 40%" xfId="127"/>
    <cellStyle name="Accent1 - 60%" xfId="128"/>
    <cellStyle name="Accent1 2" xfId="47"/>
    <cellStyle name="Accent1 2 2" xfId="129"/>
    <cellStyle name="Accent1 3" xfId="130"/>
    <cellStyle name="Accent2 - 20%" xfId="131"/>
    <cellStyle name="Accent2 - 40%" xfId="132"/>
    <cellStyle name="Accent2 - 60%" xfId="133"/>
    <cellStyle name="Accent2 2" xfId="48"/>
    <cellStyle name="Accent2 3" xfId="134"/>
    <cellStyle name="Accent3 - 20%" xfId="135"/>
    <cellStyle name="Accent3 - 40%" xfId="136"/>
    <cellStyle name="Accent3 - 60%" xfId="137"/>
    <cellStyle name="Accent3 2" xfId="49"/>
    <cellStyle name="Accent3 2 2" xfId="138"/>
    <cellStyle name="Accent3 3" xfId="139"/>
    <cellStyle name="Accent4 - 20%" xfId="140"/>
    <cellStyle name="Accent4 - 40%" xfId="141"/>
    <cellStyle name="Accent4 - 60%" xfId="142"/>
    <cellStyle name="Accent4 2" xfId="50"/>
    <cellStyle name="Accent4 2 2" xfId="143"/>
    <cellStyle name="Accent4 3" xfId="144"/>
    <cellStyle name="Accent5 - 20%" xfId="145"/>
    <cellStyle name="Accent5 - 40%" xfId="146"/>
    <cellStyle name="Accent5 - 60%" xfId="147"/>
    <cellStyle name="Accent5 2" xfId="51"/>
    <cellStyle name="Accent5 3" xfId="148"/>
    <cellStyle name="Accent6 - 20%" xfId="149"/>
    <cellStyle name="Accent6 - 40%" xfId="150"/>
    <cellStyle name="Accent6 - 60%" xfId="151"/>
    <cellStyle name="Accent6 2" xfId="52"/>
    <cellStyle name="Accent6 3" xfId="152"/>
    <cellStyle name="Bad 2" xfId="53"/>
    <cellStyle name="Bad 2 2" xfId="153"/>
    <cellStyle name="Bad 3" xfId="154"/>
    <cellStyle name="Calculation 2" xfId="54"/>
    <cellStyle name="Calculation 2 2" xfId="155"/>
    <cellStyle name="Calculation 3" xfId="156"/>
    <cellStyle name="Check Cell 2" xfId="55"/>
    <cellStyle name="Check Cell 3" xfId="157"/>
    <cellStyle name="Comma" xfId="389" builtinId="3"/>
    <cellStyle name="Comma [0] 2" xfId="158"/>
    <cellStyle name="Comma 10" xfId="384"/>
    <cellStyle name="Comma 11" xfId="378"/>
    <cellStyle name="Comma 2" xfId="16"/>
    <cellStyle name="Comma 2 2" xfId="56"/>
    <cellStyle name="Comma 2 2 2" xfId="159"/>
    <cellStyle name="Comma 2 2 3" xfId="160"/>
    <cellStyle name="Comma 2 2 3 2" xfId="448"/>
    <cellStyle name="Comma 2 2 4" xfId="449"/>
    <cellStyle name="Comma 2 2 4 2" xfId="450"/>
    <cellStyle name="Comma 2 2 5" xfId="451"/>
    <cellStyle name="Comma 2 2 5 2" xfId="452"/>
    <cellStyle name="Comma 2 2 6" xfId="453"/>
    <cellStyle name="Comma 2 2 6 2" xfId="454"/>
    <cellStyle name="Comma 2 2 7" xfId="455"/>
    <cellStyle name="Comma 2 2 8" xfId="456"/>
    <cellStyle name="Comma 2 3" xfId="57"/>
    <cellStyle name="Comma 2 3 2" xfId="380"/>
    <cellStyle name="Comma 2 4" xfId="58"/>
    <cellStyle name="Comma 2 5" xfId="59"/>
    <cellStyle name="Comma 3" xfId="60"/>
    <cellStyle name="Comma 3 10" xfId="457"/>
    <cellStyle name="Comma 3 2" xfId="161"/>
    <cellStyle name="Comma 3 2 2" xfId="162"/>
    <cellStyle name="Comma 3 2 3" xfId="163"/>
    <cellStyle name="Comma 3 3" xfId="164"/>
    <cellStyle name="Comma 3 3 2" xfId="165"/>
    <cellStyle name="Comma 3 3 3" xfId="166"/>
    <cellStyle name="Comma 3 3 4" xfId="167"/>
    <cellStyle name="Comma 3 4" xfId="168"/>
    <cellStyle name="Comma 3 4 2" xfId="458"/>
    <cellStyle name="Comma 3 5" xfId="459"/>
    <cellStyle name="Comma 3 5 2" xfId="460"/>
    <cellStyle name="Comma 3 6" xfId="461"/>
    <cellStyle name="Comma 3 6 2" xfId="462"/>
    <cellStyle name="Comma 3 7" xfId="463"/>
    <cellStyle name="Comma 3 8" xfId="464"/>
    <cellStyle name="Comma 3 9" xfId="465"/>
    <cellStyle name="Comma 4" xfId="169"/>
    <cellStyle name="Comma 4 2" xfId="170"/>
    <cellStyle name="Comma 4 2 2" xfId="171"/>
    <cellStyle name="Comma 4 3" xfId="172"/>
    <cellStyle name="Comma 5" xfId="173"/>
    <cellStyle name="Comma 5 2" xfId="174"/>
    <cellStyle name="Comma 5 3" xfId="175"/>
    <cellStyle name="Comma 6" xfId="176"/>
    <cellStyle name="Comma 7" xfId="177"/>
    <cellStyle name="Comma 8" xfId="178"/>
    <cellStyle name="Comma 9" xfId="370"/>
    <cellStyle name="Currency" xfId="5" builtinId="4"/>
    <cellStyle name="Currency 2" xfId="61"/>
    <cellStyle name="Currency 2 2" xfId="179"/>
    <cellStyle name="Currency 2 2 2" xfId="180"/>
    <cellStyle name="Currency 2 2 3" xfId="181"/>
    <cellStyle name="Currency 2 3" xfId="182"/>
    <cellStyle name="Currency 2 4" xfId="183"/>
    <cellStyle name="Currency 2 5" xfId="184"/>
    <cellStyle name="Currency 3" xfId="185"/>
    <cellStyle name="Currency 3 2" xfId="186"/>
    <cellStyle name="Currency 3 2 2" xfId="187"/>
    <cellStyle name="Currency 3 2 3" xfId="188"/>
    <cellStyle name="Currency 3 3" xfId="189"/>
    <cellStyle name="Currency 3 4" xfId="190"/>
    <cellStyle name="Currency 3 5" xfId="466"/>
    <cellStyle name="Currency 4" xfId="191"/>
    <cellStyle name="Currency 4 2" xfId="467"/>
    <cellStyle name="Currency 4 3" xfId="468"/>
    <cellStyle name="Currency 5" xfId="192"/>
    <cellStyle name="Currency 5 2" xfId="193"/>
    <cellStyle name="Currency 5 2 2" xfId="194"/>
    <cellStyle name="Currency 5 3" xfId="195"/>
    <cellStyle name="Currency 6" xfId="196"/>
    <cellStyle name="Currency 6 2" xfId="197"/>
    <cellStyle name="Currency 7" xfId="198"/>
    <cellStyle name="Currency 7 2" xfId="199"/>
    <cellStyle name="Currency 8" xfId="200"/>
    <cellStyle name="Data Field" xfId="9"/>
    <cellStyle name="Data Field 2" xfId="201"/>
    <cellStyle name="Data Field 2 2" xfId="202"/>
    <cellStyle name="Data Field 2 3" xfId="203"/>
    <cellStyle name="Data Field 3" xfId="204"/>
    <cellStyle name="Data Field 4" xfId="205"/>
    <cellStyle name="Data Field 5" xfId="469"/>
    <cellStyle name="Data Name" xfId="10"/>
    <cellStyle name="Data Name 2" xfId="470"/>
    <cellStyle name="Data Name 2 2" xfId="471"/>
    <cellStyle name="Data Name 3" xfId="472"/>
    <cellStyle name="Data Name 4" xfId="473"/>
    <cellStyle name="Date/Time" xfId="11"/>
    <cellStyle name="Emphasis 1" xfId="206"/>
    <cellStyle name="Emphasis 2" xfId="207"/>
    <cellStyle name="Emphasis 3" xfId="208"/>
    <cellStyle name="Explanatory Text 2" xfId="62"/>
    <cellStyle name="Explanatory Text 3" xfId="209"/>
    <cellStyle name="Good 2" xfId="63"/>
    <cellStyle name="Good 3" xfId="210"/>
    <cellStyle name="Heading" xfId="12"/>
    <cellStyle name="Heading 1 2" xfId="64"/>
    <cellStyle name="Heading 1 2 2" xfId="211"/>
    <cellStyle name="Heading 1 3" xfId="212"/>
    <cellStyle name="Heading 2 2" xfId="65"/>
    <cellStyle name="Heading 2 3" xfId="213"/>
    <cellStyle name="Heading 3 2" xfId="66"/>
    <cellStyle name="Heading 3 2 2" xfId="214"/>
    <cellStyle name="Heading 3 3" xfId="215"/>
    <cellStyle name="Heading 4 2" xfId="67"/>
    <cellStyle name="Heading 4 2 2" xfId="216"/>
    <cellStyle name="Heading 4 3" xfId="217"/>
    <cellStyle name="Hyperlink 2" xfId="68"/>
    <cellStyle name="Hyperlink 2 2" xfId="218"/>
    <cellStyle name="Hyperlink 2 2 2" xfId="219"/>
    <cellStyle name="Hyperlink 2 3" xfId="371"/>
    <cellStyle name="Hyperlink 2_ResWXMF_FY10v2_0" xfId="220"/>
    <cellStyle name="Hyperlink 3" xfId="221"/>
    <cellStyle name="Hyperlink 3 2" xfId="222"/>
    <cellStyle name="Hyperlink 3 2 2" xfId="223"/>
    <cellStyle name="Hyperlink 4" xfId="224"/>
    <cellStyle name="Hyperlink 5" xfId="225"/>
    <cellStyle name="Hyperlink 6" xfId="226"/>
    <cellStyle name="Hyperlink 7" xfId="227"/>
    <cellStyle name="Hyperlink 8" xfId="228"/>
    <cellStyle name="Input 2" xfId="69"/>
    <cellStyle name="Input 3" xfId="70"/>
    <cellStyle name="Linked Cell 2" xfId="71"/>
    <cellStyle name="Linked Cell 3" xfId="229"/>
    <cellStyle name="Neutral 2" xfId="72"/>
    <cellStyle name="Neutral 3" xfId="230"/>
    <cellStyle name="Normal" xfId="0" builtinId="0"/>
    <cellStyle name="Normal 10" xfId="231"/>
    <cellStyle name="Normal 10 2" xfId="232"/>
    <cellStyle name="Normal 11" xfId="233"/>
    <cellStyle name="Normal 11 2" xfId="474"/>
    <cellStyle name="Normal 12" xfId="234"/>
    <cellStyle name="Normal 12 2" xfId="475"/>
    <cellStyle name="Normal 13" xfId="106"/>
    <cellStyle name="Normal 13 2" xfId="235"/>
    <cellStyle name="Normal 13 3" xfId="236"/>
    <cellStyle name="Normal 14" xfId="237"/>
    <cellStyle name="Normal 14 2" xfId="238"/>
    <cellStyle name="Normal 14 2 2" xfId="239"/>
    <cellStyle name="Normal 14 3" xfId="240"/>
    <cellStyle name="Normal 14 3 2" xfId="476"/>
    <cellStyle name="Normal 14 4" xfId="241"/>
    <cellStyle name="Normal 14 5" xfId="385"/>
    <cellStyle name="Normal 15" xfId="242"/>
    <cellStyle name="Normal 15 2" xfId="243"/>
    <cellStyle name="Normal 15 2 2" xfId="477"/>
    <cellStyle name="Normal 15 3" xfId="244"/>
    <cellStyle name="Normal 15 4" xfId="245"/>
    <cellStyle name="Normal 15 5" xfId="386"/>
    <cellStyle name="Normal 16" xfId="246"/>
    <cellStyle name="Normal 16 2" xfId="247"/>
    <cellStyle name="Normal 16 3" xfId="248"/>
    <cellStyle name="Normal 16 4" xfId="387"/>
    <cellStyle name="Normal 17" xfId="249"/>
    <cellStyle name="Normal 17 2" xfId="250"/>
    <cellStyle name="Normal 18" xfId="251"/>
    <cellStyle name="Normal 19" xfId="252"/>
    <cellStyle name="Normal 2" xfId="7"/>
    <cellStyle name="Normal 2 10" xfId="478"/>
    <cellStyle name="Normal 2 11" xfId="479"/>
    <cellStyle name="Normal 2 12" xfId="480"/>
    <cellStyle name="Normal 2 2" xfId="73"/>
    <cellStyle name="Normal 2 2 2" xfId="74"/>
    <cellStyle name="Normal 2 2 2 2" xfId="253"/>
    <cellStyle name="Normal 2 2 2 3" xfId="254"/>
    <cellStyle name="Normal 2 2 3" xfId="75"/>
    <cellStyle name="Normal 2 2 3 2" xfId="255"/>
    <cellStyle name="Normal 2 2 3 3" xfId="256"/>
    <cellStyle name="Normal 2 2 4" xfId="76"/>
    <cellStyle name="Normal 2 2 4 2" xfId="481"/>
    <cellStyle name="Normal 2 2 5" xfId="77"/>
    <cellStyle name="Normal 2 2 6" xfId="78"/>
    <cellStyle name="Normal 2 3" xfId="79"/>
    <cellStyle name="Normal 2 3 2" xfId="80"/>
    <cellStyle name="Normal 2 3 2 2" xfId="257"/>
    <cellStyle name="Normal 2 3 2 2 2" xfId="258"/>
    <cellStyle name="Normal 2 3 2 3" xfId="375"/>
    <cellStyle name="Normal 2 3 3" xfId="259"/>
    <cellStyle name="Normal 2 3 3 2" xfId="260"/>
    <cellStyle name="Normal 2 3 4" xfId="374"/>
    <cellStyle name="Normal 2 4" xfId="81"/>
    <cellStyle name="Normal 2 4 2" xfId="82"/>
    <cellStyle name="Normal 2 4 2 2" xfId="261"/>
    <cellStyle name="Normal 2 4 2 3" xfId="262"/>
    <cellStyle name="Normal 2 4 2 4" xfId="263"/>
    <cellStyle name="Normal 2 4 3" xfId="264"/>
    <cellStyle name="Normal 2 5" xfId="83"/>
    <cellStyle name="Normal 2 5 2" xfId="376"/>
    <cellStyle name="Normal 2 6" xfId="84"/>
    <cellStyle name="Normal 2 6 2" xfId="265"/>
    <cellStyle name="Normal 2 6 2 2" xfId="266"/>
    <cellStyle name="Normal 2 6 2 3" xfId="267"/>
    <cellStyle name="Normal 2 6 3" xfId="268"/>
    <cellStyle name="Normal 2 6 3 2" xfId="269"/>
    <cellStyle name="Normal 2 6 4" xfId="270"/>
    <cellStyle name="Normal 2 6 4 2" xfId="271"/>
    <cellStyle name="Normal 2 6 5" xfId="272"/>
    <cellStyle name="Normal 2 6 6" xfId="273"/>
    <cellStyle name="Normal 2 7" xfId="85"/>
    <cellStyle name="Normal 2 7 2" xfId="274"/>
    <cellStyle name="Normal 2 7 2 2" xfId="275"/>
    <cellStyle name="Normal 2 7 3" xfId="276"/>
    <cellStyle name="Normal 2 8" xfId="86"/>
    <cellStyle name="Normal 2 8 2" xfId="482"/>
    <cellStyle name="Normal 2 9" xfId="277"/>
    <cellStyle name="Normal 2 9 2" xfId="483"/>
    <cellStyle name="Normal 20" xfId="278"/>
    <cellStyle name="Normal 21" xfId="279"/>
    <cellStyle name="Normal 22" xfId="280"/>
    <cellStyle name="Normal 23" xfId="281"/>
    <cellStyle name="Normal 24" xfId="282"/>
    <cellStyle name="Normal 25" xfId="283"/>
    <cellStyle name="Normal 26" xfId="284"/>
    <cellStyle name="Normal 27" xfId="285"/>
    <cellStyle name="Normal 28" xfId="286"/>
    <cellStyle name="Normal 29" xfId="287"/>
    <cellStyle name="Normal 3" xfId="14"/>
    <cellStyle name="Normal 3 2" xfId="288"/>
    <cellStyle name="Normal 3 2 2" xfId="289"/>
    <cellStyle name="Normal 3 2 3" xfId="290"/>
    <cellStyle name="Normal 3 3" xfId="291"/>
    <cellStyle name="Normal 3 3 2" xfId="292"/>
    <cellStyle name="Normal 3 3 2 2" xfId="293"/>
    <cellStyle name="Normal 3 4" xfId="294"/>
    <cellStyle name="Normal 3 4 2" xfId="484"/>
    <cellStyle name="Normal 3 5" xfId="485"/>
    <cellStyle name="Normal 3 66" xfId="295"/>
    <cellStyle name="Normal 30" xfId="296"/>
    <cellStyle name="Normal 31" xfId="297"/>
    <cellStyle name="Normal 32" xfId="298"/>
    <cellStyle name="Normal 33" xfId="299"/>
    <cellStyle name="Normal 34" xfId="300"/>
    <cellStyle name="Normal 35" xfId="301"/>
    <cellStyle name="Normal 36" xfId="302"/>
    <cellStyle name="Normal 37" xfId="303"/>
    <cellStyle name="Normal 38" xfId="304"/>
    <cellStyle name="Normal 39" xfId="305"/>
    <cellStyle name="Normal 4" xfId="87"/>
    <cellStyle name="Normal 4 2" xfId="88"/>
    <cellStyle name="Normal 4 2 2" xfId="377"/>
    <cellStyle name="Normal 4 3" xfId="306"/>
    <cellStyle name="Normal 4 3 2" xfId="307"/>
    <cellStyle name="Normal 4 3 2 2" xfId="308"/>
    <cellStyle name="Normal 4 3 2 3" xfId="309"/>
    <cellStyle name="Normal 4 3 3" xfId="310"/>
    <cellStyle name="Normal 4 3 4" xfId="381"/>
    <cellStyle name="Normal 4 4" xfId="311"/>
    <cellStyle name="Normal 4 4 2" xfId="312"/>
    <cellStyle name="Normal 4 4 3" xfId="313"/>
    <cellStyle name="Normal 4 5" xfId="314"/>
    <cellStyle name="Normal 4 5 2" xfId="315"/>
    <cellStyle name="Normal 4 5 3" xfId="316"/>
    <cellStyle name="Normal 4 6" xfId="317"/>
    <cellStyle name="Normal 4 7" xfId="318"/>
    <cellStyle name="Normal 4 8" xfId="373"/>
    <cellStyle name="Normal 40" xfId="319"/>
    <cellStyle name="Normal 41" xfId="320"/>
    <cellStyle name="Normal 42" xfId="321"/>
    <cellStyle name="Normal 43" xfId="322"/>
    <cellStyle name="Normal 44" xfId="323"/>
    <cellStyle name="Normal 45" xfId="324"/>
    <cellStyle name="Normal 46" xfId="325"/>
    <cellStyle name="Normal 47" xfId="326"/>
    <cellStyle name="Normal 48" xfId="327"/>
    <cellStyle name="Normal 48 2" xfId="328"/>
    <cellStyle name="Normal 49" xfId="329"/>
    <cellStyle name="Normal 5" xfId="89"/>
    <cellStyle name="Normal 5 2" xfId="330"/>
    <cellStyle name="Normal 5 2 2" xfId="486"/>
    <cellStyle name="Normal 5 3" xfId="487"/>
    <cellStyle name="Normal 5 3 2" xfId="488"/>
    <cellStyle name="Normal 5 4" xfId="489"/>
    <cellStyle name="Normal 5 4 2" xfId="490"/>
    <cellStyle name="Normal 5 5" xfId="491"/>
    <cellStyle name="Normal 5 5 2" xfId="492"/>
    <cellStyle name="Normal 5 6" xfId="493"/>
    <cellStyle name="Normal 5 6 2" xfId="494"/>
    <cellStyle name="Normal 5 7" xfId="495"/>
    <cellStyle name="Normal 50" xfId="331"/>
    <cellStyle name="Normal 51" xfId="369"/>
    <cellStyle name="Normal 6" xfId="13"/>
    <cellStyle name="Normal 6 2" xfId="90"/>
    <cellStyle name="Normal 6 3" xfId="91"/>
    <cellStyle name="Normal 6 4" xfId="92"/>
    <cellStyle name="Normal 6 5" xfId="379"/>
    <cellStyle name="Normal 7" xfId="104"/>
    <cellStyle name="Normal 7 2" xfId="332"/>
    <cellStyle name="Normal 7 2 2" xfId="496"/>
    <cellStyle name="Normal 7 3" xfId="497"/>
    <cellStyle name="Normal 8" xfId="333"/>
    <cellStyle name="Normal 8 2" xfId="334"/>
    <cellStyle name="Normal 8 2 2" xfId="498"/>
    <cellStyle name="Normal 8 3" xfId="499"/>
    <cellStyle name="Normal 9" xfId="335"/>
    <cellStyle name="Normal 9 2" xfId="336"/>
    <cellStyle name="Normal 9 3" xfId="337"/>
    <cellStyle name="Normal_ConMeasSingleFamily" xfId="393"/>
    <cellStyle name="Normal_EStarWASHERResTiersFY07v1_3_postJan07" xfId="6"/>
    <cellStyle name="Normal_ETO_MF Ins SF and MF Windows SF duct Ins_Data" xfId="391"/>
    <cellStyle name="Normal_Existing SingleFamily" xfId="394"/>
    <cellStyle name="Normal_MF_Windows" xfId="395"/>
    <cellStyle name="Normal_MTDUCT" xfId="1"/>
    <cellStyle name="Normal_MTRESAPPLPOT" xfId="388"/>
    <cellStyle name="Normal_New Single Family" xfId="392"/>
    <cellStyle name="Normal_PC-LPDPackage-6P-D14" xfId="105"/>
    <cellStyle name="Normal_ProCostFinAssumptions_Sector" xfId="3"/>
    <cellStyle name="Normal_ResWXSFsqfFY07v1_5" xfId="2"/>
    <cellStyle name="Normal_Sheet1" xfId="390"/>
    <cellStyle name="Note 2" xfId="93"/>
    <cellStyle name="Note 2 2" xfId="94"/>
    <cellStyle name="Note 2 2 2" xfId="500"/>
    <cellStyle name="Note 2 3" xfId="382"/>
    <cellStyle name="Note 2 3 2" xfId="501"/>
    <cellStyle name="Note 2 4" xfId="502"/>
    <cellStyle name="Note 2 4 2" xfId="503"/>
    <cellStyle name="Note 2 5" xfId="504"/>
    <cellStyle name="Note 3" xfId="338"/>
    <cellStyle name="Output 2" xfId="95"/>
    <cellStyle name="Output 2 2" xfId="339"/>
    <cellStyle name="Output 3" xfId="340"/>
    <cellStyle name="Percent" xfId="4" builtinId="5"/>
    <cellStyle name="Percent 2" xfId="8"/>
    <cellStyle name="Percent 2 10" xfId="505"/>
    <cellStyle name="Percent 2 2" xfId="96"/>
    <cellStyle name="Percent 2 2 2" xfId="97"/>
    <cellStyle name="Percent 2 2 2 2" xfId="98"/>
    <cellStyle name="Percent 2 2 2 2 2" xfId="383"/>
    <cellStyle name="Percent 2 2 2 3" xfId="341"/>
    <cellStyle name="Percent 2 2 3" xfId="342"/>
    <cellStyle name="Percent 2 2 4" xfId="343"/>
    <cellStyle name="Percent 2 3" xfId="344"/>
    <cellStyle name="Percent 2 3 2" xfId="345"/>
    <cellStyle name="Percent 2 3 2 2" xfId="506"/>
    <cellStyle name="Percent 2 3 2 2 2" xfId="507"/>
    <cellStyle name="Percent 2 3 2 3" xfId="508"/>
    <cellStyle name="Percent 2 3 2 3 2" xfId="509"/>
    <cellStyle name="Percent 2 3 2 4" xfId="510"/>
    <cellStyle name="Percent 2 3 2 4 2" xfId="511"/>
    <cellStyle name="Percent 2 3 2 5" xfId="512"/>
    <cellStyle name="Percent 2 3 2 6" xfId="513"/>
    <cellStyle name="Percent 2 3 3" xfId="346"/>
    <cellStyle name="Percent 2 4" xfId="372"/>
    <cellStyle name="Percent 2 4 2" xfId="514"/>
    <cellStyle name="Percent 2 4 3" xfId="515"/>
    <cellStyle name="Percent 2 5" xfId="516"/>
    <cellStyle name="Percent 2 5 2" xfId="517"/>
    <cellStyle name="Percent 2 6" xfId="518"/>
    <cellStyle name="Percent 2 6 2" xfId="519"/>
    <cellStyle name="Percent 2 7" xfId="520"/>
    <cellStyle name="Percent 2 7 2" xfId="521"/>
    <cellStyle name="Percent 2 8" xfId="522"/>
    <cellStyle name="Percent 2 9" xfId="523"/>
    <cellStyle name="Percent 3" xfId="15"/>
    <cellStyle name="Percent 3 2" xfId="347"/>
    <cellStyle name="Percent 3 2 2" xfId="348"/>
    <cellStyle name="Percent 3 2 2 2" xfId="524"/>
    <cellStyle name="Percent 3 2 3" xfId="349"/>
    <cellStyle name="Percent 3 2 3 2" xfId="525"/>
    <cellStyle name="Percent 3 2 4" xfId="526"/>
    <cellStyle name="Percent 3 2 4 2" xfId="527"/>
    <cellStyle name="Percent 3 2 5" xfId="528"/>
    <cellStyle name="Percent 3 2 5 2" xfId="529"/>
    <cellStyle name="Percent 3 2 6" xfId="530"/>
    <cellStyle name="Percent 3 2 7" xfId="531"/>
    <cellStyle name="Percent 3 2 8" xfId="532"/>
    <cellStyle name="Percent 3 3" xfId="350"/>
    <cellStyle name="Percent 3 4" xfId="351"/>
    <cellStyle name="Percent 3 5" xfId="533"/>
    <cellStyle name="Percent 4" xfId="352"/>
    <cellStyle name="Percent 4 2" xfId="353"/>
    <cellStyle name="Percent 4 2 2" xfId="534"/>
    <cellStyle name="Percent 4 3" xfId="535"/>
    <cellStyle name="Percent 5" xfId="354"/>
    <cellStyle name="Percent 5 2" xfId="536"/>
    <cellStyle name="Percent 6" xfId="355"/>
    <cellStyle name="Percent 6 2" xfId="356"/>
    <cellStyle name="Percent 7" xfId="357"/>
    <cellStyle name="Percent 8" xfId="358"/>
    <cellStyle name="Percent 9" xfId="537"/>
    <cellStyle name="Sheet Title" xfId="359"/>
    <cellStyle name="Style 1" xfId="360"/>
    <cellStyle name="Style 1 2" xfId="361"/>
    <cellStyle name="Style 28" xfId="362"/>
    <cellStyle name="Title 2" xfId="99"/>
    <cellStyle name="Title 2 2" xfId="363"/>
    <cellStyle name="Title 3" xfId="364"/>
    <cellStyle name="Total 2" xfId="100"/>
    <cellStyle name="Total 2 2" xfId="365"/>
    <cellStyle name="Total 3" xfId="366"/>
    <cellStyle name="Warning Text 2" xfId="101"/>
    <cellStyle name="Warning Text 3" xfId="367"/>
    <cellStyle name="표준 2_WP-1 보고자료 (2009.06.03)" xfId="368"/>
    <cellStyle name="표준_ENERGY CONSUMP" xfId="102"/>
    <cellStyle name="常规_海外市场服务网站资料操作BOM" xfId="10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s-MH%20Wx%20Inputs%20-%207P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venthPlan/Conservation%20Analysis/Res/RBSA%20Saturation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7PSourceSummary"/>
      <sheetName val="forRPM"/>
      <sheetName val="SC-Retro"/>
      <sheetName val="Applicability"/>
      <sheetName val="M_Input_Out"/>
      <sheetName val="M_Input"/>
      <sheetName val="Segmented"/>
      <sheetName val="Weighting"/>
      <sheetName val="Composite"/>
      <sheetName val="Raw RTF"/>
      <sheetName val="MHshell"/>
      <sheetName val="RBSA Weights"/>
      <sheetName val="Achievements"/>
      <sheetName val="SEEM Results"/>
      <sheetName val="SEEMsavings"/>
      <sheetName val="Costs"/>
      <sheetName val="ETO SF Insulation Cost Data"/>
      <sheetName val="ETO MF Window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63">
          <cell r="F3963">
            <v>2.2781509347384078E-2</v>
          </cell>
        </row>
        <row r="3969">
          <cell r="F3969">
            <v>4.7070775156475689E-2</v>
          </cell>
        </row>
        <row r="3975">
          <cell r="F3975">
            <v>9.1333333333333336E-2</v>
          </cell>
        </row>
        <row r="3982">
          <cell r="F3982">
            <v>1.0780000000000001</v>
          </cell>
        </row>
      </sheetData>
      <sheetData sheetId="1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OG"/>
      <sheetName val="Pop Forecast (Base Case)"/>
      <sheetName val="Res Forecast (Base Case)"/>
      <sheetName val="Com Forecast (Base Case)"/>
      <sheetName val="Ind Forecast (Base Case)"/>
      <sheetName val="Ag Forecast (Base Case)"/>
      <sheetName val="DEI (Base Case)"/>
      <sheetName val="Pop Forecast (High Case)"/>
      <sheetName val="Pop Forecast (Low Case)"/>
      <sheetName val="7P Forecasts D2"/>
      <sheetName val="ProCost 6th Plan Inputs"/>
    </sheetNames>
    <sheetDataSet>
      <sheetData sheetId="0"/>
      <sheetData sheetId="1"/>
      <sheetData sheetId="2">
        <row r="12">
          <cell r="AK12">
            <v>2016</v>
          </cell>
          <cell r="AL12">
            <v>2017</v>
          </cell>
          <cell r="AM12">
            <v>2018</v>
          </cell>
          <cell r="AN12">
            <v>2019</v>
          </cell>
          <cell r="AO12">
            <v>2020</v>
          </cell>
          <cell r="AP12">
            <v>2021</v>
          </cell>
          <cell r="AQ12">
            <v>2022</v>
          </cell>
          <cell r="AR12">
            <v>2023</v>
          </cell>
          <cell r="AS12">
            <v>2024</v>
          </cell>
          <cell r="AT12">
            <v>2025</v>
          </cell>
          <cell r="AU12">
            <v>2026</v>
          </cell>
          <cell r="AV12">
            <v>2027</v>
          </cell>
          <cell r="AW12">
            <v>2028</v>
          </cell>
          <cell r="AX12">
            <v>2029</v>
          </cell>
          <cell r="AY12">
            <v>2030</v>
          </cell>
          <cell r="AZ12">
            <v>2031</v>
          </cell>
          <cell r="BA12">
            <v>2032</v>
          </cell>
          <cell r="BB12">
            <v>2033</v>
          </cell>
          <cell r="BC12">
            <v>2034</v>
          </cell>
          <cell r="BD12">
            <v>2035</v>
          </cell>
        </row>
        <row r="14">
          <cell r="B14" t="str">
            <v>ORSingle FamilyNew</v>
          </cell>
          <cell r="C14" t="str">
            <v>OR_Single Family</v>
          </cell>
          <cell r="D14" t="str">
            <v>Single Family</v>
          </cell>
          <cell r="E14" t="str">
            <v>New</v>
          </cell>
          <cell r="F14">
            <v>6704</v>
          </cell>
          <cell r="G14">
            <v>6968</v>
          </cell>
          <cell r="H14">
            <v>8205</v>
          </cell>
          <cell r="I14">
            <v>9300</v>
          </cell>
          <cell r="J14">
            <v>11414</v>
          </cell>
          <cell r="K14">
            <v>13600</v>
          </cell>
          <cell r="L14">
            <v>12406</v>
          </cell>
          <cell r="M14">
            <v>14907</v>
          </cell>
          <cell r="N14">
            <v>16765</v>
          </cell>
          <cell r="O14">
            <v>17498</v>
          </cell>
          <cell r="P14">
            <v>16395</v>
          </cell>
          <cell r="Q14">
            <v>18008</v>
          </cell>
          <cell r="R14">
            <v>16935</v>
          </cell>
          <cell r="S14">
            <v>17518</v>
          </cell>
          <cell r="T14">
            <v>16687</v>
          </cell>
          <cell r="U14">
            <v>15476</v>
          </cell>
          <cell r="V14">
            <v>15963</v>
          </cell>
          <cell r="W14">
            <v>17418</v>
          </cell>
          <cell r="X14">
            <v>18681</v>
          </cell>
          <cell r="Y14">
            <v>20556</v>
          </cell>
          <cell r="Z14">
            <v>23352</v>
          </cell>
          <cell r="AA14">
            <v>20383</v>
          </cell>
          <cell r="AB14">
            <v>15397</v>
          </cell>
          <cell r="AC14">
            <v>8164.9999999999991</v>
          </cell>
          <cell r="AD14">
            <v>5328</v>
          </cell>
          <cell r="AE14">
            <v>5305</v>
          </cell>
          <cell r="AF14">
            <v>5050</v>
          </cell>
          <cell r="AG14">
            <v>6513</v>
          </cell>
          <cell r="AH14">
            <v>8720</v>
          </cell>
          <cell r="AI14">
            <v>11272</v>
          </cell>
          <cell r="AJ14">
            <v>15952</v>
          </cell>
          <cell r="AK14">
            <v>17272</v>
          </cell>
          <cell r="AL14">
            <v>16727</v>
          </cell>
          <cell r="AM14">
            <v>16202.000000000002</v>
          </cell>
          <cell r="AN14">
            <v>15889</v>
          </cell>
          <cell r="AO14">
            <v>15686</v>
          </cell>
          <cell r="AP14">
            <v>15088</v>
          </cell>
          <cell r="AQ14">
            <v>14772</v>
          </cell>
          <cell r="AR14">
            <v>14734</v>
          </cell>
          <cell r="AS14">
            <v>14757</v>
          </cell>
          <cell r="AT14">
            <v>15342</v>
          </cell>
          <cell r="AU14">
            <v>15526</v>
          </cell>
          <cell r="AV14">
            <v>15254</v>
          </cell>
          <cell r="AW14">
            <v>14608</v>
          </cell>
          <cell r="AX14">
            <v>14523</v>
          </cell>
          <cell r="AY14">
            <v>14775</v>
          </cell>
          <cell r="AZ14">
            <v>14714</v>
          </cell>
          <cell r="BA14">
            <v>14158</v>
          </cell>
          <cell r="BB14">
            <v>14093</v>
          </cell>
          <cell r="BC14">
            <v>14173</v>
          </cell>
          <cell r="BD14">
            <v>14330</v>
          </cell>
        </row>
        <row r="15">
          <cell r="B15" t="str">
            <v>ORMultifamily - Low RiseNew</v>
          </cell>
          <cell r="C15" t="str">
            <v>OR_Multi Family</v>
          </cell>
          <cell r="D15" t="str">
            <v>Multifamily - Low Rise</v>
          </cell>
          <cell r="E15" t="str">
            <v>New</v>
          </cell>
          <cell r="F15">
            <v>3772.8448706752683</v>
          </cell>
          <cell r="G15">
            <v>2941.0349178883071</v>
          </cell>
          <cell r="H15">
            <v>3202.3298129108261</v>
          </cell>
          <cell r="I15">
            <v>2714.899092549962</v>
          </cell>
          <cell r="J15">
            <v>8896.7022428480705</v>
          </cell>
          <cell r="K15">
            <v>8252.2238816719419</v>
          </cell>
          <cell r="L15">
            <v>3301.122737123248</v>
          </cell>
          <cell r="M15">
            <v>2811.4691158519631</v>
          </cell>
          <cell r="N15">
            <v>2637.894836250196</v>
          </cell>
          <cell r="O15">
            <v>4819.5855773579242</v>
          </cell>
          <cell r="P15">
            <v>6713.3146314455371</v>
          </cell>
          <cell r="Q15">
            <v>8721.3694621543327</v>
          </cell>
          <cell r="R15">
            <v>7555.8808889387019</v>
          </cell>
          <cell r="S15">
            <v>6573.1222265963652</v>
          </cell>
          <cell r="T15">
            <v>4692.7024347114893</v>
          </cell>
          <cell r="U15">
            <v>2354.7720492520393</v>
          </cell>
          <cell r="V15">
            <v>2899.5066232946756</v>
          </cell>
          <cell r="W15">
            <v>2562.0870522389155</v>
          </cell>
          <cell r="X15">
            <v>3686.8568040688797</v>
          </cell>
          <cell r="Y15">
            <v>3834.8880826444029</v>
          </cell>
          <cell r="Z15">
            <v>3263.6700424474207</v>
          </cell>
          <cell r="AA15">
            <v>4388.1347752705051</v>
          </cell>
          <cell r="AB15">
            <v>2959.161886968971</v>
          </cell>
          <cell r="AC15">
            <v>2360.9550283740805</v>
          </cell>
          <cell r="AD15">
            <v>671.9841739580163</v>
          </cell>
          <cell r="AE15">
            <v>66.596429394015331</v>
          </cell>
          <cell r="AF15">
            <v>949.87426015052506</v>
          </cell>
          <cell r="AG15">
            <v>2297.5049440684579</v>
          </cell>
          <cell r="AH15">
            <v>4512.1309043270476</v>
          </cell>
          <cell r="AI15">
            <v>4834.4211617459714</v>
          </cell>
          <cell r="AJ15">
            <v>6816.6588407441923</v>
          </cell>
          <cell r="AK15">
            <v>7232.862016530873</v>
          </cell>
          <cell r="AL15">
            <v>7009.2519401018944</v>
          </cell>
          <cell r="AM15">
            <v>7026.167603814305</v>
          </cell>
          <cell r="AN15">
            <v>7441.1769135052737</v>
          </cell>
          <cell r="AO15">
            <v>7431.377897912399</v>
          </cell>
          <cell r="AP15">
            <v>6971.963329889757</v>
          </cell>
          <cell r="AQ15">
            <v>6761.3209416287918</v>
          </cell>
          <cell r="AR15">
            <v>6554.7240085809162</v>
          </cell>
          <cell r="AS15">
            <v>6621.6730773670097</v>
          </cell>
          <cell r="AT15">
            <v>6557.8368230103088</v>
          </cell>
          <cell r="AU15">
            <v>6522.0493084879608</v>
          </cell>
          <cell r="AV15">
            <v>6282.365298704045</v>
          </cell>
          <cell r="AW15">
            <v>6009.1462390877323</v>
          </cell>
          <cell r="AX15">
            <v>5504.874605946914</v>
          </cell>
          <cell r="AY15">
            <v>5132.8554374960586</v>
          </cell>
          <cell r="AZ15">
            <v>4866.3598178070824</v>
          </cell>
          <cell r="BA15">
            <v>4605.8340776656614</v>
          </cell>
          <cell r="BB15">
            <v>4391.1894980251245</v>
          </cell>
          <cell r="BC15">
            <v>3931.255214930798</v>
          </cell>
          <cell r="BD15">
            <v>3779.4583907174715</v>
          </cell>
        </row>
        <row r="16">
          <cell r="B16" t="str">
            <v>ORMultifamily - High RiseNew</v>
          </cell>
          <cell r="C16" t="str">
            <v>OR</v>
          </cell>
          <cell r="D16" t="str">
            <v>Multifamily - High Rise</v>
          </cell>
          <cell r="E16" t="str">
            <v>New</v>
          </cell>
          <cell r="F16">
            <v>468.15512932473166</v>
          </cell>
          <cell r="G16">
            <v>512.96508211169294</v>
          </cell>
          <cell r="H16">
            <v>567.67018708917408</v>
          </cell>
          <cell r="I16">
            <v>1440.100907450038</v>
          </cell>
          <cell r="J16">
            <v>1235.2977571519298</v>
          </cell>
          <cell r="K16">
            <v>508.77611832805769</v>
          </cell>
          <cell r="L16">
            <v>504.87726287675196</v>
          </cell>
          <cell r="M16">
            <v>979.53088414803699</v>
          </cell>
          <cell r="N16">
            <v>1373.1051637498038</v>
          </cell>
          <cell r="O16">
            <v>1730.4144226420756</v>
          </cell>
          <cell r="P16">
            <v>2043.6853685544634</v>
          </cell>
          <cell r="Q16">
            <v>1875.6305378456677</v>
          </cell>
          <cell r="R16">
            <v>1705.1191110612986</v>
          </cell>
          <cell r="S16">
            <v>1382.877773403635</v>
          </cell>
          <cell r="T16">
            <v>1045.2975652885109</v>
          </cell>
          <cell r="U16">
            <v>1145.2279507479607</v>
          </cell>
          <cell r="V16">
            <v>1138.4933767053251</v>
          </cell>
          <cell r="W16">
            <v>1344.9129477610845</v>
          </cell>
          <cell r="X16">
            <v>1380.1431959311205</v>
          </cell>
          <cell r="Y16">
            <v>1332.1119173555971</v>
          </cell>
          <cell r="Z16">
            <v>1508.3299575525793</v>
          </cell>
          <cell r="AA16">
            <v>1311.8652247294947</v>
          </cell>
          <cell r="AB16">
            <v>1171.838113031029</v>
          </cell>
          <cell r="AC16">
            <v>876.04497162591952</v>
          </cell>
          <cell r="AD16">
            <v>822.0158260419837</v>
          </cell>
          <cell r="AE16">
            <v>1092.4035706059847</v>
          </cell>
          <cell r="AF16">
            <v>1676.1257398494749</v>
          </cell>
          <cell r="AG16">
            <v>1050.4950559315419</v>
          </cell>
          <cell r="AH16">
            <v>1179.8690956729522</v>
          </cell>
          <cell r="AI16">
            <v>1558.5788382540286</v>
          </cell>
          <cell r="AJ16">
            <v>1628.3411592558075</v>
          </cell>
          <cell r="AK16">
            <v>1590.137983469127</v>
          </cell>
          <cell r="AL16">
            <v>1606.7480598981056</v>
          </cell>
          <cell r="AM16">
            <v>1679.8323961856952</v>
          </cell>
          <cell r="AN16">
            <v>1660.8230864947266</v>
          </cell>
          <cell r="AO16">
            <v>1567.6221020876008</v>
          </cell>
          <cell r="AP16">
            <v>1522.0366701102428</v>
          </cell>
          <cell r="AQ16">
            <v>1485.6790583712077</v>
          </cell>
          <cell r="AR16">
            <v>1495.2759914190849</v>
          </cell>
          <cell r="AS16">
            <v>1480.3269226329903</v>
          </cell>
          <cell r="AT16">
            <v>1463.1631769896919</v>
          </cell>
          <cell r="AU16">
            <v>1405.9506915120394</v>
          </cell>
          <cell r="AV16">
            <v>1335.6347012959552</v>
          </cell>
          <cell r="AW16">
            <v>1227.8537609122679</v>
          </cell>
          <cell r="AX16">
            <v>1148.1253940530855</v>
          </cell>
          <cell r="AY16">
            <v>1088.1445625039419</v>
          </cell>
          <cell r="AZ16">
            <v>1029.6401821929173</v>
          </cell>
          <cell r="BA16">
            <v>973.16592233433857</v>
          </cell>
          <cell r="BB16">
            <v>881.81050197487571</v>
          </cell>
          <cell r="BC16">
            <v>846.74478506920184</v>
          </cell>
          <cell r="BD16">
            <v>808.54160928252838</v>
          </cell>
        </row>
        <row r="17">
          <cell r="B17" t="str">
            <v>ORManufacturedNew</v>
          </cell>
          <cell r="C17" t="str">
            <v>OR_Other Family</v>
          </cell>
          <cell r="D17" t="str">
            <v>Manufactured</v>
          </cell>
          <cell r="E17" t="str">
            <v>New</v>
          </cell>
          <cell r="F17">
            <v>2370</v>
          </cell>
          <cell r="G17">
            <v>2297</v>
          </cell>
          <cell r="H17">
            <v>2910</v>
          </cell>
          <cell r="I17">
            <v>3852</v>
          </cell>
          <cell r="J17">
            <v>4387</v>
          </cell>
          <cell r="K17">
            <v>4905</v>
          </cell>
          <cell r="L17">
            <v>4720</v>
          </cell>
          <cell r="M17">
            <v>5103</v>
          </cell>
          <cell r="N17">
            <v>6454</v>
          </cell>
          <cell r="O17">
            <v>7597</v>
          </cell>
          <cell r="P17">
            <v>7450</v>
          </cell>
          <cell r="Q17">
            <v>6484</v>
          </cell>
          <cell r="R17">
            <v>6567</v>
          </cell>
          <cell r="S17">
            <v>6223</v>
          </cell>
          <cell r="T17">
            <v>5202</v>
          </cell>
          <cell r="U17">
            <v>3199</v>
          </cell>
          <cell r="V17">
            <v>2392</v>
          </cell>
          <cell r="W17">
            <v>2517</v>
          </cell>
          <cell r="X17">
            <v>2415</v>
          </cell>
          <cell r="Y17">
            <v>2492</v>
          </cell>
          <cell r="Z17">
            <v>2495</v>
          </cell>
          <cell r="AA17">
            <v>2230</v>
          </cell>
          <cell r="AB17">
            <v>1772</v>
          </cell>
          <cell r="AC17">
            <v>1278</v>
          </cell>
          <cell r="AD17">
            <v>717</v>
          </cell>
          <cell r="AE17">
            <v>647</v>
          </cell>
          <cell r="AF17">
            <v>445</v>
          </cell>
          <cell r="AG17">
            <v>473</v>
          </cell>
          <cell r="AH17">
            <v>888.66666666666663</v>
          </cell>
          <cell r="AI17">
            <v>741.44444444444446</v>
          </cell>
          <cell r="AJ17">
            <v>652.01851851851848</v>
          </cell>
          <cell r="AK17">
            <v>641.18827160493822</v>
          </cell>
          <cell r="AL17">
            <v>640.21965020576124</v>
          </cell>
          <cell r="AM17">
            <v>672.75625857338821</v>
          </cell>
          <cell r="AN17">
            <v>706.04896833561952</v>
          </cell>
          <cell r="AO17">
            <v>675.61268528044502</v>
          </cell>
          <cell r="AP17">
            <v>664.64072541977851</v>
          </cell>
          <cell r="AQ17">
            <v>666.74442656998838</v>
          </cell>
          <cell r="AR17">
            <v>671.00378573083015</v>
          </cell>
          <cell r="AS17">
            <v>676.1344749850083</v>
          </cell>
          <cell r="AT17">
            <v>676.69751105361161</v>
          </cell>
          <cell r="AU17">
            <v>671.80560150661029</v>
          </cell>
          <cell r="AV17">
            <v>671.17108754430456</v>
          </cell>
          <cell r="AW17">
            <v>672.25948123172554</v>
          </cell>
          <cell r="AX17">
            <v>673.17865700868174</v>
          </cell>
          <cell r="AY17">
            <v>673.54113555499043</v>
          </cell>
          <cell r="AZ17">
            <v>673.10891231665403</v>
          </cell>
          <cell r="BA17">
            <v>672.51081252716119</v>
          </cell>
          <cell r="BB17">
            <v>672.62834769725293</v>
          </cell>
          <cell r="BC17">
            <v>672.87122438941094</v>
          </cell>
          <cell r="BD17">
            <v>672.97318158235862</v>
          </cell>
        </row>
        <row r="18">
          <cell r="B18" t="str">
            <v>ORSingle FamilyExisting</v>
          </cell>
          <cell r="C18" t="str">
            <v>OR_Single Family</v>
          </cell>
          <cell r="D18" t="str">
            <v>Single Family</v>
          </cell>
          <cell r="E18" t="str">
            <v>Existing</v>
          </cell>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v>1281442</v>
          </cell>
          <cell r="AL18">
            <v>1278532.125467059</v>
          </cell>
          <cell r="AM18">
            <v>1275628.858622798</v>
          </cell>
          <cell r="AN18">
            <v>1272732.1844626011</v>
          </cell>
          <cell r="AO18">
            <v>1269842.0880159247</v>
          </cell>
          <cell r="AP18">
            <v>1266958.5543462196</v>
          </cell>
          <cell r="AQ18">
            <v>1264081.5685508549</v>
          </cell>
          <cell r="AR18">
            <v>1261211.1157610398</v>
          </cell>
          <cell r="AS18">
            <v>1258347.1811417476</v>
          </cell>
          <cell r="AT18">
            <v>1255489.7498916385</v>
          </cell>
          <cell r="AU18">
            <v>1252638.8072429833</v>
          </cell>
          <cell r="AV18">
            <v>1249794.338461587</v>
          </cell>
          <cell r="AW18">
            <v>1246956.3288467131</v>
          </cell>
          <cell r="AX18">
            <v>1244124.763731007</v>
          </cell>
          <cell r="AY18">
            <v>1241299.6284804204</v>
          </cell>
          <cell r="AZ18">
            <v>1238480.9084941361</v>
          </cell>
          <cell r="BA18">
            <v>1235668.5892044916</v>
          </cell>
          <cell r="BB18">
            <v>1232862.6560769046</v>
          </cell>
          <cell r="BC18">
            <v>1230063.0946097979</v>
          </cell>
          <cell r="BD18">
            <v>1227269.890334524</v>
          </cell>
        </row>
        <row r="19">
          <cell r="B19" t="str">
            <v>ORMultifamily - Low RiseExisting</v>
          </cell>
          <cell r="C19" t="str">
            <v>OR_Multi Family</v>
          </cell>
          <cell r="D19" t="str">
            <v>Multifamily - Low Rise</v>
          </cell>
          <cell r="E19" t="str">
            <v>Existing</v>
          </cell>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v>277837.92835758231</v>
          </cell>
          <cell r="AL19">
            <v>277207.00904135435</v>
          </cell>
          <cell r="AM19">
            <v>276577.52242794685</v>
          </cell>
          <cell r="AN19">
            <v>275949.46526395273</v>
          </cell>
          <cell r="AO19">
            <v>275322.83430335281</v>
          </cell>
          <cell r="AP19">
            <v>274697.62630749901</v>
          </cell>
          <cell r="AQ19">
            <v>274073.83804509765</v>
          </cell>
          <cell r="AR19">
            <v>273451.46629219269</v>
          </cell>
          <cell r="AS19">
            <v>272830.50783214916</v>
          </cell>
          <cell r="AT19">
            <v>272210.95945563645</v>
          </cell>
          <cell r="AU19">
            <v>271592.81796061178</v>
          </cell>
          <cell r="AV19">
            <v>270976.08015230362</v>
          </cell>
          <cell r="AW19">
            <v>270360.74284319516</v>
          </cell>
          <cell r="AX19">
            <v>269746.80285300786</v>
          </cell>
          <cell r="AY19">
            <v>269134.25700868503</v>
          </cell>
          <cell r="AZ19">
            <v>268523.10214437544</v>
          </cell>
          <cell r="BA19">
            <v>267913.33510141686</v>
          </cell>
          <cell r="BB19">
            <v>267304.95272831985</v>
          </cell>
          <cell r="BC19">
            <v>266697.95188075147</v>
          </cell>
          <cell r="BD19">
            <v>266092.32942151889</v>
          </cell>
        </row>
        <row r="20">
          <cell r="B20" t="str">
            <v>ORMultifamily - High RiseExisting</v>
          </cell>
          <cell r="D20" t="str">
            <v>Multifamily - High Rise</v>
          </cell>
          <cell r="E20" t="str">
            <v>Existing</v>
          </cell>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v>63346.033033662934</v>
          </cell>
          <cell r="AL20">
            <v>63202.185733607068</v>
          </cell>
          <cell r="AM20">
            <v>63058.665084562206</v>
          </cell>
          <cell r="AN20">
            <v>62915.470344763409</v>
          </cell>
          <cell r="AO20">
            <v>62772.600774130158</v>
          </cell>
          <cell r="AP20">
            <v>62630.05563426252</v>
          </cell>
          <cell r="AQ20">
            <v>62487.834188437337</v>
          </cell>
          <cell r="AR20">
            <v>62345.935701604409</v>
          </cell>
          <cell r="AS20">
            <v>62204.359440382708</v>
          </cell>
          <cell r="AT20">
            <v>62063.104673056572</v>
          </cell>
          <cell r="AU20">
            <v>61922.17066957194</v>
          </cell>
          <cell r="AV20">
            <v>61781.556701532572</v>
          </cell>
          <cell r="AW20">
            <v>61641.262042196271</v>
          </cell>
          <cell r="AX20">
            <v>61501.28596647115</v>
          </cell>
          <cell r="AY20">
            <v>61361.627750911874</v>
          </cell>
          <cell r="AZ20">
            <v>61222.286673715913</v>
          </cell>
          <cell r="BA20">
            <v>61083.262014719818</v>
          </cell>
          <cell r="BB20">
            <v>60944.55305539551</v>
          </cell>
          <cell r="BC20">
            <v>60806.159078846555</v>
          </cell>
          <cell r="BD20">
            <v>60668.079369804451</v>
          </cell>
        </row>
        <row r="21">
          <cell r="B21" t="str">
            <v>ORManufacturedExisting</v>
          </cell>
          <cell r="C21" t="str">
            <v>OR_Other Family</v>
          </cell>
          <cell r="D21" t="str">
            <v>Manufactured</v>
          </cell>
          <cell r="E21" t="str">
            <v>Existing</v>
          </cell>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v>202413.31790123455</v>
          </cell>
          <cell r="AL21">
            <v>200250.12950997456</v>
          </cell>
          <cell r="AM21">
            <v>198110.05908380006</v>
          </cell>
          <cell r="AN21">
            <v>195992.85956133081</v>
          </cell>
          <cell r="AO21">
            <v>193898.28652152821</v>
          </cell>
          <cell r="AP21">
            <v>191826.09815547793</v>
          </cell>
          <cell r="AQ21">
            <v>189776.05523847431</v>
          </cell>
          <cell r="AR21">
            <v>187747.92110240282</v>
          </cell>
          <cell r="AS21">
            <v>185741.46160841791</v>
          </cell>
          <cell r="AT21">
            <v>183756.44511991271</v>
          </cell>
          <cell r="AU21">
            <v>181792.64247577763</v>
          </cell>
          <cell r="AV21">
            <v>179849.82696394474</v>
          </cell>
          <cell r="AW21">
            <v>177927.77429521491</v>
          </cell>
          <cell r="AX21">
            <v>176026.26257736469</v>
          </cell>
          <cell r="AY21">
            <v>174145.07228952978</v>
          </cell>
          <cell r="AZ21">
            <v>172283.98625686244</v>
          </cell>
          <cell r="BA21">
            <v>170442.78962545953</v>
          </cell>
          <cell r="BB21">
            <v>168621.26983755868</v>
          </cell>
          <cell r="BC21">
            <v>166819.21660699949</v>
          </cell>
          <cell r="BD21">
            <v>165036.42189494686</v>
          </cell>
        </row>
        <row r="22">
          <cell r="BD22"/>
        </row>
        <row r="23">
          <cell r="D23" t="str">
            <v>WASHINGTON</v>
          </cell>
          <cell r="E23"/>
          <cell r="F23"/>
          <cell r="G23"/>
          <cell r="BD23"/>
        </row>
        <row r="24">
          <cell r="B24" t="str">
            <v>WASingle FamilyNew</v>
          </cell>
          <cell r="C24" t="str">
            <v>WA_Single Family</v>
          </cell>
          <cell r="D24" t="str">
            <v>Single Family</v>
          </cell>
          <cell r="E24" t="str">
            <v>New</v>
          </cell>
          <cell r="F24">
            <v>17836</v>
          </cell>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cell r="AF24">
            <v>13829</v>
          </cell>
          <cell r="AG24">
            <v>16887</v>
          </cell>
          <cell r="AH24">
            <v>18274</v>
          </cell>
          <cell r="AI24">
            <v>24247</v>
          </cell>
          <cell r="AJ24">
            <v>30852</v>
          </cell>
          <cell r="AK24">
            <v>33055</v>
          </cell>
          <cell r="AL24">
            <v>31044</v>
          </cell>
          <cell r="AM24">
            <v>28849</v>
          </cell>
          <cell r="AN24">
            <v>27415</v>
          </cell>
          <cell r="AO24">
            <v>26216</v>
          </cell>
          <cell r="AP24">
            <v>24554</v>
          </cell>
          <cell r="AQ24">
            <v>23488</v>
          </cell>
          <cell r="AR24">
            <v>23152</v>
          </cell>
          <cell r="AS24">
            <v>22514</v>
          </cell>
          <cell r="AT24">
            <v>22375</v>
          </cell>
          <cell r="AU24">
            <v>22305</v>
          </cell>
          <cell r="AV24">
            <v>21816</v>
          </cell>
          <cell r="AW24">
            <v>21213</v>
          </cell>
          <cell r="AX24">
            <v>21215</v>
          </cell>
          <cell r="AY24">
            <v>21402</v>
          </cell>
          <cell r="AZ24">
            <v>21237</v>
          </cell>
          <cell r="BA24">
            <v>20416</v>
          </cell>
          <cell r="BB24">
            <v>20299</v>
          </cell>
          <cell r="BC24">
            <v>20303</v>
          </cell>
          <cell r="BD24">
            <v>20372</v>
          </cell>
        </row>
        <row r="25">
          <cell r="B25" t="str">
            <v>WAMultifamily - Low RiseNew</v>
          </cell>
          <cell r="C25" t="str">
            <v>WA_Multi Family</v>
          </cell>
          <cell r="D25" t="str">
            <v>Multifamily - Low Rise</v>
          </cell>
          <cell r="E25" t="str">
            <v>New</v>
          </cell>
          <cell r="F25">
            <v>15061.883667534441</v>
          </cell>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cell r="AF25">
            <v>5265.721927064159</v>
          </cell>
          <cell r="AG25">
            <v>8692.3033155335615</v>
          </cell>
          <cell r="AH25">
            <v>12312.39973222512</v>
          </cell>
          <cell r="AI25">
            <v>11883.279860328872</v>
          </cell>
          <cell r="AJ25">
            <v>13265.608797275603</v>
          </cell>
          <cell r="AK25">
            <v>13028.433829152391</v>
          </cell>
          <cell r="AL25">
            <v>13080.239965534132</v>
          </cell>
          <cell r="AM25">
            <v>12923.202614626804</v>
          </cell>
          <cell r="AN25">
            <v>11912.982955180836</v>
          </cell>
          <cell r="AO25">
            <v>10886.573878115541</v>
          </cell>
          <cell r="AP25">
            <v>10714.966051350757</v>
          </cell>
          <cell r="AQ25">
            <v>10719.822876636612</v>
          </cell>
          <cell r="AR25">
            <v>11250.835774550411</v>
          </cell>
          <cell r="AS25">
            <v>11653.142802390561</v>
          </cell>
          <cell r="AT25">
            <v>12252.151254305772</v>
          </cell>
          <cell r="AU25">
            <v>12363.048764997984</v>
          </cell>
          <cell r="AV25">
            <v>12613.98473809777</v>
          </cell>
          <cell r="AW25">
            <v>12900.537429959741</v>
          </cell>
          <cell r="AX25">
            <v>13132.046101915988</v>
          </cell>
          <cell r="AY25">
            <v>13215.421602655624</v>
          </cell>
          <cell r="AZ25">
            <v>13014.672824175932</v>
          </cell>
          <cell r="BA25">
            <v>12900.537429959741</v>
          </cell>
          <cell r="BB25">
            <v>12809.067220410498</v>
          </cell>
          <cell r="BC25">
            <v>12840.636584768163</v>
          </cell>
          <cell r="BD25">
            <v>12863.301769435224</v>
          </cell>
        </row>
        <row r="26">
          <cell r="B26" t="str">
            <v>WAMultifamily - High RiseNew</v>
          </cell>
          <cell r="C26" t="str">
            <v>WA</v>
          </cell>
          <cell r="D26" t="str">
            <v>Multifamily - High Rise</v>
          </cell>
          <cell r="E26" t="str">
            <v>New</v>
          </cell>
          <cell r="F26">
            <v>926.11633246555948</v>
          </cell>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cell r="AF26">
            <v>1217.2780729358408</v>
          </cell>
          <cell r="AG26">
            <v>806.69668446643777</v>
          </cell>
          <cell r="AH26">
            <v>792.60026777487974</v>
          </cell>
          <cell r="AI26">
            <v>992.72013967112821</v>
          </cell>
          <cell r="AJ26">
            <v>3024.5103613152296</v>
          </cell>
          <cell r="AK26">
            <v>2970.4353347186084</v>
          </cell>
          <cell r="AL26">
            <v>2982.246944623661</v>
          </cell>
          <cell r="AM26">
            <v>2946.4430020989594</v>
          </cell>
          <cell r="AN26">
            <v>2716.1166089502017</v>
          </cell>
          <cell r="AO26">
            <v>2482.099087706139</v>
          </cell>
          <cell r="AP26">
            <v>2442.9731298956272</v>
          </cell>
          <cell r="AQ26">
            <v>2444.0804683242377</v>
          </cell>
          <cell r="AR26">
            <v>2565.1494698511356</v>
          </cell>
          <cell r="AS26">
            <v>2656.874003020107</v>
          </cell>
          <cell r="AT26">
            <v>2793.4457425474475</v>
          </cell>
          <cell r="AU26">
            <v>2818.729970000426</v>
          </cell>
          <cell r="AV26">
            <v>2875.9424554781176</v>
          </cell>
          <cell r="AW26">
            <v>2941.2754227654787</v>
          </cell>
          <cell r="AX26">
            <v>2994.0585545287277</v>
          </cell>
          <cell r="AY26">
            <v>3013.0678642196926</v>
          </cell>
          <cell r="AZ26">
            <v>2967.2978758375662</v>
          </cell>
          <cell r="BA26">
            <v>2941.2754227654787</v>
          </cell>
          <cell r="BB26">
            <v>2920.4205490268364</v>
          </cell>
          <cell r="BC26">
            <v>2927.6182488127561</v>
          </cell>
          <cell r="BD26">
            <v>2932.7858281462154</v>
          </cell>
        </row>
        <row r="27">
          <cell r="B27" t="str">
            <v>WAManufacturedNew</v>
          </cell>
          <cell r="C27" t="str">
            <v>WA_Other Family</v>
          </cell>
          <cell r="D27" t="str">
            <v>Manufactured</v>
          </cell>
          <cell r="E27" t="str">
            <v>New</v>
          </cell>
          <cell r="F27">
            <v>5597</v>
          </cell>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cell r="AF27">
            <v>563</v>
          </cell>
          <cell r="AG27">
            <v>560</v>
          </cell>
          <cell r="AH27">
            <v>1057.8333333333333</v>
          </cell>
          <cell r="AI27">
            <v>890.30555555555554</v>
          </cell>
          <cell r="AJ27">
            <v>768.52314814814815</v>
          </cell>
          <cell r="AK27">
            <v>753.44367283950612</v>
          </cell>
          <cell r="AL27">
            <v>765.51761831275724</v>
          </cell>
          <cell r="AM27">
            <v>799.27055469821664</v>
          </cell>
          <cell r="AN27">
            <v>839.14898048125281</v>
          </cell>
          <cell r="AO27">
            <v>802.70158833923949</v>
          </cell>
          <cell r="AP27">
            <v>788.10092713652</v>
          </cell>
          <cell r="AQ27">
            <v>791.36389030124872</v>
          </cell>
          <cell r="AR27">
            <v>797.68392654487252</v>
          </cell>
          <cell r="AS27">
            <v>803.04497791689175</v>
          </cell>
          <cell r="AT27">
            <v>803.6740484533376</v>
          </cell>
          <cell r="AU27">
            <v>797.76155978201825</v>
          </cell>
          <cell r="AV27">
            <v>796.93822168914812</v>
          </cell>
          <cell r="AW27">
            <v>798.41110411458612</v>
          </cell>
          <cell r="AX27">
            <v>799.58563975014238</v>
          </cell>
          <cell r="AY27">
            <v>799.90259195102078</v>
          </cell>
          <cell r="AZ27">
            <v>799.37886095670899</v>
          </cell>
          <cell r="BA27">
            <v>798.6629963739374</v>
          </cell>
          <cell r="BB27">
            <v>798.81323580592414</v>
          </cell>
          <cell r="BC27">
            <v>799.12573815872008</v>
          </cell>
          <cell r="BD27">
            <v>799.24484383274228</v>
          </cell>
        </row>
        <row r="28">
          <cell r="B28" t="str">
            <v>WASingle FamilyExisting</v>
          </cell>
          <cell r="C28" t="str">
            <v>WA_Single Family</v>
          </cell>
          <cell r="D28" t="str">
            <v>Single Family</v>
          </cell>
          <cell r="E28" t="str">
            <v>Existing</v>
          </cell>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v>2177155</v>
          </cell>
          <cell r="AL28">
            <v>2172211.1571348798</v>
          </cell>
          <cell r="AM28">
            <v>2167278.5406556972</v>
          </cell>
          <cell r="AN28">
            <v>2162357.1250697845</v>
          </cell>
          <cell r="AO28">
            <v>2157446.8849423626</v>
          </cell>
          <cell r="AP28">
            <v>2152547.7948964094</v>
          </cell>
          <cell r="AQ28">
            <v>2147659.8296125284</v>
          </cell>
          <cell r="AR28">
            <v>2142782.9638288179</v>
          </cell>
          <cell r="AS28">
            <v>2137917.1723407404</v>
          </cell>
          <cell r="AT28">
            <v>2133062.4300009925</v>
          </cell>
          <cell r="AU28">
            <v>2128218.7117193746</v>
          </cell>
          <cell r="AV28">
            <v>2123385.9924626616</v>
          </cell>
          <cell r="AW28">
            <v>2118564.2472544736</v>
          </cell>
          <cell r="AX28">
            <v>2113753.4511751467</v>
          </cell>
          <cell r="AY28">
            <v>2108953.5793616036</v>
          </cell>
          <cell r="AZ28">
            <v>2104164.6070072255</v>
          </cell>
          <cell r="BA28">
            <v>2099386.5093617244</v>
          </cell>
          <cell r="BB28">
            <v>2094619.2617310151</v>
          </cell>
          <cell r="BC28">
            <v>2089862.8394770864</v>
          </cell>
          <cell r="BD28">
            <v>2085117.2180178757</v>
          </cell>
        </row>
        <row r="29">
          <cell r="B29" t="str">
            <v>WAMultifamily - Low RiseExisting</v>
          </cell>
          <cell r="C29" t="str">
            <v>WA_Multi Family</v>
          </cell>
          <cell r="D29" t="str">
            <v>Multifamily - Low Rise</v>
          </cell>
          <cell r="E29" t="str">
            <v>Existing</v>
          </cell>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v>558037.0832749434</v>
          </cell>
          <cell r="AL29">
            <v>556769.88272716023</v>
          </cell>
          <cell r="AM29">
            <v>555505.55976095074</v>
          </cell>
          <cell r="AN29">
            <v>554244.10784185154</v>
          </cell>
          <cell r="AO29">
            <v>552985.52045023767</v>
          </cell>
          <cell r="AP29">
            <v>551729.79108128918</v>
          </cell>
          <cell r="AQ29">
            <v>550476.91324495722</v>
          </cell>
          <cell r="AR29">
            <v>549226.88046593068</v>
          </cell>
          <cell r="AS29">
            <v>547979.68628360284</v>
          </cell>
          <cell r="AT29">
            <v>546735.3242520378</v>
          </cell>
          <cell r="AU29">
            <v>545493.78793993709</v>
          </cell>
          <cell r="AV29">
            <v>544255.07093060669</v>
          </cell>
          <cell r="AW29">
            <v>543019.16682192357</v>
          </cell>
          <cell r="AX29">
            <v>541786.06922630291</v>
          </cell>
          <cell r="AY29">
            <v>540555.77177066484</v>
          </cell>
          <cell r="AZ29">
            <v>539328.26809640159</v>
          </cell>
          <cell r="BA29">
            <v>538103.55185934459</v>
          </cell>
          <cell r="BB29">
            <v>536881.6167297319</v>
          </cell>
          <cell r="BC29">
            <v>535662.45639217517</v>
          </cell>
          <cell r="BD29">
            <v>534446.06454562722</v>
          </cell>
        </row>
        <row r="30">
          <cell r="B30" t="str">
            <v>WAMultifamily - High RiseExisting</v>
          </cell>
          <cell r="D30" t="str">
            <v>Multifamily - High Rise</v>
          </cell>
          <cell r="E30" t="str">
            <v>Existing</v>
          </cell>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v>127230.41710003006</v>
          </cell>
          <cell r="AL30">
            <v>126941.50000280481</v>
          </cell>
          <cell r="AM30">
            <v>126653.23898366978</v>
          </cell>
          <cell r="AN30">
            <v>126365.63255279115</v>
          </cell>
          <cell r="AO30">
            <v>126078.67922371827</v>
          </cell>
          <cell r="AP30">
            <v>125792.3775133759</v>
          </cell>
          <cell r="AQ30">
            <v>125506.72594205666</v>
          </cell>
          <cell r="AR30">
            <v>125221.72303341323</v>
          </cell>
          <cell r="AS30">
            <v>124937.36731445088</v>
          </cell>
          <cell r="AT30">
            <v>124653.65731551975</v>
          </cell>
          <cell r="AU30">
            <v>124370.5915703073</v>
          </cell>
          <cell r="AV30">
            <v>124088.1686158307</v>
          </cell>
          <cell r="AW30">
            <v>123806.3869924293</v>
          </cell>
          <cell r="AX30">
            <v>123525.24524375708</v>
          </cell>
          <cell r="AY30">
            <v>123244.74191677509</v>
          </cell>
          <cell r="AZ30">
            <v>122964.875561744</v>
          </cell>
          <cell r="BA30">
            <v>122685.64473221656</v>
          </cell>
          <cell r="BB30">
            <v>122407.04798503013</v>
          </cell>
          <cell r="BC30">
            <v>122129.08388029925</v>
          </cell>
          <cell r="BD30">
            <v>121851.75098140814</v>
          </cell>
        </row>
        <row r="31">
          <cell r="B31" t="str">
            <v>WAManufacturedExisting</v>
          </cell>
          <cell r="C31" t="str">
            <v>WA_Other Family</v>
          </cell>
          <cell r="D31" t="str">
            <v>Manufactured</v>
          </cell>
          <cell r="E31" t="str">
            <v>Existing</v>
          </cell>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v>244055.10570987655</v>
          </cell>
          <cell r="AL31">
            <v>241446.89209541003</v>
          </cell>
          <cell r="AM31">
            <v>238866.55242457156</v>
          </cell>
          <cell r="AN31">
            <v>236313.78880890249</v>
          </cell>
          <cell r="AO31">
            <v>233788.30654347411</v>
          </cell>
          <cell r="AP31">
            <v>231289.81407286532</v>
          </cell>
          <cell r="AQ31">
            <v>228818.02295750388</v>
          </cell>
          <cell r="AR31">
            <v>226372.64784036731</v>
          </cell>
          <cell r="AS31">
            <v>223953.40641403978</v>
          </cell>
          <cell r="AT31">
            <v>221560.01938812103</v>
          </cell>
          <cell r="AU31">
            <v>219192.21045698351</v>
          </cell>
          <cell r="AV31">
            <v>216849.70626787416</v>
          </cell>
          <cell r="AW31">
            <v>214532.23638935713</v>
          </cell>
          <cell r="AX31">
            <v>212239.53328009363</v>
          </cell>
          <cell r="AY31">
            <v>209971.33225795557</v>
          </cell>
          <cell r="AZ31">
            <v>207727.37146946916</v>
          </cell>
          <cell r="BA31">
            <v>205507.39185958516</v>
          </cell>
          <cell r="BB31">
            <v>203311.13714177214</v>
          </cell>
          <cell r="BC31">
            <v>201138.35376842934</v>
          </cell>
          <cell r="BD31">
            <v>198988.79090161584</v>
          </cell>
        </row>
        <row r="32">
          <cell r="BD32"/>
        </row>
        <row r="33">
          <cell r="D33" t="str">
            <v>IDAHO</v>
          </cell>
          <cell r="E33"/>
          <cell r="F33"/>
          <cell r="G33"/>
          <cell r="BD33"/>
        </row>
        <row r="34">
          <cell r="B34" t="str">
            <v>IDSingle FamilyNew</v>
          </cell>
          <cell r="C34" t="str">
            <v>ID_Single Family</v>
          </cell>
          <cell r="D34" t="str">
            <v>Single Family</v>
          </cell>
          <cell r="E34" t="str">
            <v>New</v>
          </cell>
          <cell r="F34">
            <v>3059</v>
          </cell>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cell r="AF34">
            <v>3258</v>
          </cell>
          <cell r="AG34">
            <v>5091</v>
          </cell>
          <cell r="AH34">
            <v>7002</v>
          </cell>
          <cell r="AI34">
            <v>7509</v>
          </cell>
          <cell r="AJ34">
            <v>9778</v>
          </cell>
          <cell r="AK34">
            <v>10507</v>
          </cell>
          <cell r="AL34">
            <v>10382</v>
          </cell>
          <cell r="AM34">
            <v>10055</v>
          </cell>
          <cell r="AN34">
            <v>10071</v>
          </cell>
          <cell r="AO34">
            <v>10039</v>
          </cell>
          <cell r="AP34">
            <v>9821</v>
          </cell>
          <cell r="AQ34">
            <v>9813</v>
          </cell>
          <cell r="AR34">
            <v>9958</v>
          </cell>
          <cell r="AS34">
            <v>10085</v>
          </cell>
          <cell r="AT34">
            <v>10505</v>
          </cell>
          <cell r="AU34">
            <v>10749</v>
          </cell>
          <cell r="AV34">
            <v>10878</v>
          </cell>
          <cell r="AW34">
            <v>10846</v>
          </cell>
          <cell r="AX34">
            <v>10975</v>
          </cell>
          <cell r="AY34">
            <v>11099</v>
          </cell>
          <cell r="AZ34">
            <v>11121</v>
          </cell>
          <cell r="BA34">
            <v>10926</v>
          </cell>
          <cell r="BB34">
            <v>11030</v>
          </cell>
          <cell r="BC34">
            <v>11073</v>
          </cell>
          <cell r="BD34">
            <v>11167</v>
          </cell>
        </row>
        <row r="35">
          <cell r="B35" t="str">
            <v>IDMultifamily - Low RiseNew</v>
          </cell>
          <cell r="C35" t="str">
            <v>ID_Multi Family</v>
          </cell>
          <cell r="D35" t="str">
            <v>Multifamily - Low Rise</v>
          </cell>
          <cell r="E35" t="str">
            <v>New</v>
          </cell>
          <cell r="F35">
            <v>945.31021109984124</v>
          </cell>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cell r="AF35">
            <v>511.5577769900774</v>
          </cell>
          <cell r="AG35">
            <v>753.64796270668967</v>
          </cell>
          <cell r="AH35">
            <v>1498.8895230864375</v>
          </cell>
          <cell r="AI35">
            <v>1723.6804258697659</v>
          </cell>
          <cell r="AJ35">
            <v>2047.1518579637404</v>
          </cell>
          <cell r="AK35">
            <v>2037.4382073921424</v>
          </cell>
          <cell r="AL35">
            <v>2026.9150859395779</v>
          </cell>
          <cell r="AM35">
            <v>2022.8677315347454</v>
          </cell>
          <cell r="AN35">
            <v>1909.5418081994781</v>
          </cell>
          <cell r="AO35">
            <v>1724.9824473391584</v>
          </cell>
          <cell r="AP35">
            <v>1653.7490098141207</v>
          </cell>
          <cell r="AQ35">
            <v>1669.9384274334507</v>
          </cell>
          <cell r="AR35">
            <v>1698.2699082672639</v>
          </cell>
          <cell r="AS35">
            <v>1706.3646170769289</v>
          </cell>
          <cell r="AT35">
            <v>1733.8866270297899</v>
          </cell>
          <cell r="AU35">
            <v>1733.0771561488234</v>
          </cell>
          <cell r="AV35">
            <v>1759.7896952207038</v>
          </cell>
          <cell r="AW35">
            <v>1788.1211760545311</v>
          </cell>
          <cell r="AX35">
            <v>1819.6905404122106</v>
          </cell>
          <cell r="AY35">
            <v>1830.2136618647751</v>
          </cell>
          <cell r="AZ35">
            <v>1848.8314921269903</v>
          </cell>
          <cell r="BA35">
            <v>1873.925089436952</v>
          </cell>
          <cell r="BB35">
            <v>1904.6849829136791</v>
          </cell>
          <cell r="BC35">
            <v>1945.9679978429422</v>
          </cell>
          <cell r="BD35">
            <v>1994.5362507009463</v>
          </cell>
        </row>
        <row r="36">
          <cell r="B36" t="str">
            <v>IDMultifamily - High RiseNew</v>
          </cell>
          <cell r="C36" t="str">
            <v>ID</v>
          </cell>
          <cell r="D36" t="str">
            <v>Multifamily - High Rise</v>
          </cell>
          <cell r="E36" t="str">
            <v>New</v>
          </cell>
          <cell r="F36">
            <v>60.689788900158746</v>
          </cell>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cell r="AF36">
            <v>121.44222300992257</v>
          </cell>
          <cell r="AG36">
            <v>99.352037293310332</v>
          </cell>
          <cell r="AH36">
            <v>115.11047691356247</v>
          </cell>
          <cell r="AI36">
            <v>146.31957413023412</v>
          </cell>
          <cell r="AJ36">
            <v>466.74314765475788</v>
          </cell>
          <cell r="AK36">
            <v>464.52847079755878</v>
          </cell>
          <cell r="AL36">
            <v>462.12923753559477</v>
          </cell>
          <cell r="AM36">
            <v>461.20645551175875</v>
          </cell>
          <cell r="AN36">
            <v>435.3685588444369</v>
          </cell>
          <cell r="AO36">
            <v>393.28969855764842</v>
          </cell>
          <cell r="AP36">
            <v>377.04873493818434</v>
          </cell>
          <cell r="AQ36">
            <v>380.7398630335195</v>
          </cell>
          <cell r="AR36">
            <v>387.1993372003484</v>
          </cell>
          <cell r="AS36">
            <v>389.04490124801771</v>
          </cell>
          <cell r="AT36">
            <v>395.31981901007907</v>
          </cell>
          <cell r="AU36">
            <v>395.13526260531506</v>
          </cell>
          <cell r="AV36">
            <v>401.22562396261065</v>
          </cell>
          <cell r="AW36">
            <v>407.6850981294449</v>
          </cell>
          <cell r="AX36">
            <v>414.88279791534046</v>
          </cell>
          <cell r="AY36">
            <v>417.28203117730709</v>
          </cell>
          <cell r="AZ36">
            <v>421.52682848694133</v>
          </cell>
          <cell r="BA36">
            <v>427.24807703470356</v>
          </cell>
          <cell r="BB36">
            <v>434.26122041583335</v>
          </cell>
          <cell r="BC36">
            <v>443.67359705893341</v>
          </cell>
          <cell r="BD36">
            <v>454.74698134493076</v>
          </cell>
        </row>
        <row r="37">
          <cell r="B37" t="str">
            <v>IDManufacturedNew</v>
          </cell>
          <cell r="C37" t="str">
            <v>ID_Other Family</v>
          </cell>
          <cell r="D37" t="str">
            <v>Manufactured</v>
          </cell>
          <cell r="E37" t="str">
            <v>New</v>
          </cell>
          <cell r="F37">
            <v>1200</v>
          </cell>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cell r="AF37">
            <v>264</v>
          </cell>
          <cell r="AG37">
            <v>217</v>
          </cell>
          <cell r="AH37">
            <v>268.84999999999997</v>
          </cell>
          <cell r="AI37">
            <v>305.30833333333334</v>
          </cell>
          <cell r="AJ37">
            <v>268.5263888888889</v>
          </cell>
          <cell r="AK37">
            <v>267.78078703703704</v>
          </cell>
          <cell r="AL37">
            <v>265.24425154320988</v>
          </cell>
          <cell r="AM37">
            <v>265.45162680041153</v>
          </cell>
          <cell r="AN37">
            <v>273.52689793381347</v>
          </cell>
          <cell r="AO37">
            <v>274.30638092278235</v>
          </cell>
          <cell r="AP37">
            <v>269.13938885435721</v>
          </cell>
          <cell r="AQ37">
            <v>269.2415555152686</v>
          </cell>
          <cell r="AR37">
            <v>269.48501692830718</v>
          </cell>
          <cell r="AS37">
            <v>270.19181115915677</v>
          </cell>
          <cell r="AT37">
            <v>270.9818418856143</v>
          </cell>
          <cell r="AU37">
            <v>270.55766587758109</v>
          </cell>
          <cell r="AV37">
            <v>269.93288003671415</v>
          </cell>
          <cell r="AW37">
            <v>270.06512856710702</v>
          </cell>
          <cell r="AX37">
            <v>270.2023907424134</v>
          </cell>
          <cell r="AY37">
            <v>270.32195304476443</v>
          </cell>
          <cell r="AZ37">
            <v>270.34364335903234</v>
          </cell>
          <cell r="BA37">
            <v>270.23727693793541</v>
          </cell>
          <cell r="BB37">
            <v>270.18387878132779</v>
          </cell>
          <cell r="BC37">
            <v>270.22571190543005</v>
          </cell>
          <cell r="BD37">
            <v>270.25247579515059</v>
          </cell>
        </row>
        <row r="38">
          <cell r="B38" t="str">
            <v>IDSingle FamilyExisting</v>
          </cell>
          <cell r="C38" t="str">
            <v>ID_Single Family</v>
          </cell>
          <cell r="D38" t="str">
            <v>Single Family</v>
          </cell>
          <cell r="E38" t="str">
            <v>Existing</v>
          </cell>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v>560451</v>
          </cell>
          <cell r="AL38">
            <v>559178.33834862499</v>
          </cell>
          <cell r="AM38">
            <v>557908.56663353147</v>
          </cell>
          <cell r="AN38">
            <v>556641.67829230614</v>
          </cell>
          <cell r="AO38">
            <v>555377.66677743755</v>
          </cell>
          <cell r="AP38">
            <v>554116.52555628214</v>
          </cell>
          <cell r="AQ38">
            <v>552858.24811103067</v>
          </cell>
          <cell r="AR38">
            <v>551602.82793867437</v>
          </cell>
          <cell r="AS38">
            <v>550350.25855097128</v>
          </cell>
          <cell r="AT38">
            <v>549100.5334744131</v>
          </cell>
          <cell r="AU38">
            <v>547853.64625019114</v>
          </cell>
          <cell r="AV38">
            <v>546609.59043416334</v>
          </cell>
          <cell r="AW38">
            <v>545368.35959682101</v>
          </cell>
          <cell r="AX38">
            <v>544129.94732325536</v>
          </cell>
          <cell r="AY38">
            <v>542894.34721312439</v>
          </cell>
          <cell r="AZ38">
            <v>541661.55288062</v>
          </cell>
          <cell r="BA38">
            <v>540431.55795443489</v>
          </cell>
          <cell r="BB38">
            <v>539204.35607772938</v>
          </cell>
          <cell r="BC38">
            <v>537979.94090809906</v>
          </cell>
          <cell r="BD38">
            <v>536758.30611754162</v>
          </cell>
        </row>
        <row r="39">
          <cell r="B39" t="str">
            <v>IDMultifamily - Low RiseExisting</v>
          </cell>
          <cell r="C39" t="str">
            <v>ID_Multi Family</v>
          </cell>
          <cell r="D39" t="str">
            <v>Multifamily - Low Rise</v>
          </cell>
          <cell r="E39" t="str">
            <v>Existing</v>
          </cell>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v>62297.688470046371</v>
          </cell>
          <cell r="AL39">
            <v>62156.22176949741</v>
          </cell>
          <cell r="AM39">
            <v>62015.076314051694</v>
          </cell>
          <cell r="AN39">
            <v>61874.251374220112</v>
          </cell>
          <cell r="AO39">
            <v>61733.746222170106</v>
          </cell>
          <cell r="AP39">
            <v>61593.560131721882</v>
          </cell>
          <cell r="AQ39">
            <v>61453.692378344676</v>
          </cell>
          <cell r="AR39">
            <v>61314.142239152992</v>
          </cell>
          <cell r="AS39">
            <v>61174.908992902885</v>
          </cell>
          <cell r="AT39">
            <v>61035.991919988213</v>
          </cell>
          <cell r="AU39">
            <v>60897.390302436943</v>
          </cell>
          <cell r="AV39">
            <v>60759.103423907414</v>
          </cell>
          <cell r="AW39">
            <v>60621.130569684647</v>
          </cell>
          <cell r="AX39">
            <v>60483.471026676656</v>
          </cell>
          <cell r="AY39">
            <v>60346.124083410752</v>
          </cell>
          <cell r="AZ39">
            <v>60209.089030029871</v>
          </cell>
          <cell r="BA39">
            <v>60072.365158288914</v>
          </cell>
          <cell r="BB39">
            <v>59935.951761551063</v>
          </cell>
          <cell r="BC39">
            <v>59799.848134784159</v>
          </cell>
          <cell r="BD39">
            <v>59664.053574557031</v>
          </cell>
        </row>
        <row r="40">
          <cell r="B40" t="str">
            <v>IDMultifamily - High RiseExisting</v>
          </cell>
          <cell r="D40" t="str">
            <v>Multifamily - High Rise</v>
          </cell>
          <cell r="E40" t="str">
            <v>Existing</v>
          </cell>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v>14203.645467243141</v>
          </cell>
          <cell r="AL40">
            <v>14171.391576137949</v>
          </cell>
          <cell r="AM40">
            <v>14139.210927743146</v>
          </cell>
          <cell r="AN40">
            <v>14107.103355737881</v>
          </cell>
          <cell r="AO40">
            <v>14075.068694178986</v>
          </cell>
          <cell r="AP40">
            <v>14043.106777500123</v>
          </cell>
          <cell r="AQ40">
            <v>14011.21744051092</v>
          </cell>
          <cell r="AR40">
            <v>13979.400518396127</v>
          </cell>
          <cell r="AS40">
            <v>13947.655846714757</v>
          </cell>
          <cell r="AT40">
            <v>13915.983261399238</v>
          </cell>
          <cell r="AU40">
            <v>13884.382598754568</v>
          </cell>
          <cell r="AV40">
            <v>13852.853695457465</v>
          </cell>
          <cell r="AW40">
            <v>13821.396388555522</v>
          </cell>
          <cell r="AX40">
            <v>13790.010515466372</v>
          </cell>
          <cell r="AY40">
            <v>13758.695913976841</v>
          </cell>
          <cell r="AZ40">
            <v>13727.45242224211</v>
          </cell>
          <cell r="BA40">
            <v>13696.279878784881</v>
          </cell>
          <cell r="BB40">
            <v>13665.178122494543</v>
          </cell>
          <cell r="BC40">
            <v>13634.146992626336</v>
          </cell>
          <cell r="BD40">
            <v>13603.186328800522</v>
          </cell>
        </row>
        <row r="41">
          <cell r="B41" t="str">
            <v>IDManufacturedExisting</v>
          </cell>
          <cell r="C41" t="str">
            <v>ID_Other Family</v>
          </cell>
          <cell r="D41" t="str">
            <v>Manufactured</v>
          </cell>
          <cell r="E41" t="str">
            <v>Existing</v>
          </cell>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v>84820.465509259258</v>
          </cell>
          <cell r="AL41">
            <v>83913.990341353419</v>
          </cell>
          <cell r="AM41">
            <v>83017.202661309115</v>
          </cell>
          <cell r="AN41">
            <v>82129.998939074561</v>
          </cell>
          <cell r="AO41">
            <v>81252.276751022233</v>
          </cell>
          <cell r="AP41">
            <v>80383.934768124556</v>
          </cell>
          <cell r="AQ41">
            <v>79524.872744255888</v>
          </cell>
          <cell r="AR41">
            <v>78674.991504619567</v>
          </cell>
          <cell r="AS41">
            <v>77834.19293429864</v>
          </cell>
          <cell r="AT41">
            <v>77002.379966928973</v>
          </cell>
          <cell r="AU41">
            <v>76179.456573493328</v>
          </cell>
          <cell r="AV41">
            <v>75365.32775123528</v>
          </cell>
          <cell r="AW41">
            <v>74559.899512691583</v>
          </cell>
          <cell r="AX41">
            <v>73763.07887484174</v>
          </cell>
          <cell r="AY41">
            <v>72974.773848373516</v>
          </cell>
          <cell r="AZ41">
            <v>72194.893427063245</v>
          </cell>
          <cell r="BA41">
            <v>71423.347577269524</v>
          </cell>
          <cell r="BB41">
            <v>70660.047227539253</v>
          </cell>
          <cell r="BC41">
            <v>69904.90425832475</v>
          </cell>
          <cell r="BD41">
            <v>69157.831491810764</v>
          </cell>
        </row>
        <row r="42">
          <cell r="BD42"/>
        </row>
        <row r="43">
          <cell r="D43" t="str">
            <v>MONTANA</v>
          </cell>
          <cell r="E43">
            <v>0.56999999999999995</v>
          </cell>
          <cell r="F43" t="str">
            <v>Western MT portion of state</v>
          </cell>
          <cell r="G43"/>
          <cell r="BD43"/>
        </row>
        <row r="44">
          <cell r="B44" t="str">
            <v>MTSingle FamilyNew</v>
          </cell>
          <cell r="C44" t="str">
            <v>MT_Single Family</v>
          </cell>
          <cell r="D44" t="str">
            <v>Single Family</v>
          </cell>
          <cell r="E44" t="str">
            <v>New</v>
          </cell>
          <cell r="F44">
            <v>1313</v>
          </cell>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cell r="AF44">
            <v>1527.5</v>
          </cell>
          <cell r="AG44">
            <v>2199.6</v>
          </cell>
          <cell r="AH44">
            <v>2615.6</v>
          </cell>
          <cell r="AI44">
            <v>2434.9</v>
          </cell>
          <cell r="AJ44">
            <v>3003</v>
          </cell>
          <cell r="AK44">
            <v>3248.7000000000003</v>
          </cell>
          <cell r="AL44">
            <v>3173.3</v>
          </cell>
          <cell r="AM44">
            <v>3031.6</v>
          </cell>
          <cell r="AN44">
            <v>2824.9</v>
          </cell>
          <cell r="AO44">
            <v>2748.2000000000003</v>
          </cell>
          <cell r="AP44">
            <v>2665</v>
          </cell>
          <cell r="AQ44">
            <v>2611.7000000000003</v>
          </cell>
          <cell r="AR44">
            <v>2597.4</v>
          </cell>
          <cell r="AS44">
            <v>2561</v>
          </cell>
          <cell r="AT44">
            <v>2563.6</v>
          </cell>
          <cell r="AU44">
            <v>2544.1</v>
          </cell>
          <cell r="AV44">
            <v>2525.9</v>
          </cell>
          <cell r="AW44">
            <v>2477.8000000000002</v>
          </cell>
          <cell r="AX44">
            <v>2484.3000000000002</v>
          </cell>
          <cell r="AY44">
            <v>2481.7000000000003</v>
          </cell>
          <cell r="AZ44">
            <v>2475.2000000000003</v>
          </cell>
          <cell r="BA44">
            <v>2419.3000000000002</v>
          </cell>
          <cell r="BB44">
            <v>2415.4</v>
          </cell>
          <cell r="BC44">
            <v>2401.1</v>
          </cell>
          <cell r="BD44">
            <v>2398.5</v>
          </cell>
        </row>
        <row r="45">
          <cell r="B45" t="str">
            <v>MTMultifamily - Low RiseNew</v>
          </cell>
          <cell r="C45" t="str">
            <v>MT_Multi Family</v>
          </cell>
          <cell r="D45" t="str">
            <v>Multifamily - Low Rise</v>
          </cell>
          <cell r="E45" t="str">
            <v>New</v>
          </cell>
          <cell r="F45">
            <v>860.82519174945844</v>
          </cell>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cell r="AF45">
            <v>584.82600096441138</v>
          </cell>
          <cell r="AG45">
            <v>746.00336992138523</v>
          </cell>
          <cell r="AH45">
            <v>1413.6131024199028</v>
          </cell>
          <cell r="AI45">
            <v>1716.9789419190136</v>
          </cell>
          <cell r="AJ45">
            <v>1648.045460109282</v>
          </cell>
          <cell r="AK45">
            <v>1722.1281540862396</v>
          </cell>
          <cell r="AL45">
            <v>1580.7212534439332</v>
          </cell>
          <cell r="AM45">
            <v>1472.5799608727305</v>
          </cell>
          <cell r="AN45">
            <v>1442.4819321350953</v>
          </cell>
          <cell r="AO45">
            <v>1359.5082188973515</v>
          </cell>
          <cell r="AP45">
            <v>1280.00164720679</v>
          </cell>
          <cell r="AQ45">
            <v>1292.5421730399576</v>
          </cell>
          <cell r="AR45">
            <v>1322.3745937064909</v>
          </cell>
          <cell r="AS45">
            <v>1349.4518116826594</v>
          </cell>
          <cell r="AT45">
            <v>1351.6834656111594</v>
          </cell>
          <cell r="AU45">
            <v>1377.387737087626</v>
          </cell>
          <cell r="AV45">
            <v>1321.0487447305225</v>
          </cell>
          <cell r="AW45">
            <v>1307.9885038256584</v>
          </cell>
          <cell r="AX45">
            <v>1321.4989092063927</v>
          </cell>
          <cell r="AY45">
            <v>1360.8548786347953</v>
          </cell>
          <cell r="AZ45">
            <v>1395.7475402061953</v>
          </cell>
          <cell r="BA45">
            <v>1395.1035096345979</v>
          </cell>
          <cell r="BB45">
            <v>1429.4425019916998</v>
          </cell>
          <cell r="BC45">
            <v>1435.6741559201971</v>
          </cell>
          <cell r="BD45">
            <v>1447.3521406344007</v>
          </cell>
        </row>
        <row r="46">
          <cell r="B46" t="str">
            <v>MTMultifamily - High RiseNew</v>
          </cell>
          <cell r="C46" t="str">
            <v>MT</v>
          </cell>
          <cell r="D46" t="str">
            <v>Multifamily - High Rise</v>
          </cell>
          <cell r="E46" t="str">
            <v>New</v>
          </cell>
          <cell r="F46">
            <v>42.174808250541538</v>
          </cell>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cell r="AF46">
            <v>105.17399903558866</v>
          </cell>
          <cell r="AG46">
            <v>93.9966300786148</v>
          </cell>
          <cell r="AH46">
            <v>113.38689758009713</v>
          </cell>
          <cell r="AI46">
            <v>125.02105808098651</v>
          </cell>
          <cell r="AJ46">
            <v>382.95453989071814</v>
          </cell>
          <cell r="AK46">
            <v>352.8718459137603</v>
          </cell>
          <cell r="AL46">
            <v>331.27874655606695</v>
          </cell>
          <cell r="AM46">
            <v>322.42003912726955</v>
          </cell>
          <cell r="AN46">
            <v>304.51806786490465</v>
          </cell>
          <cell r="AO46">
            <v>290.49178110264859</v>
          </cell>
          <cell r="AP46">
            <v>293.99835279320996</v>
          </cell>
          <cell r="AQ46">
            <v>300.45782696004244</v>
          </cell>
          <cell r="AR46">
            <v>305.62540629350912</v>
          </cell>
          <cell r="AS46">
            <v>306.54818831734065</v>
          </cell>
          <cell r="AT46">
            <v>309.31653438884064</v>
          </cell>
          <cell r="AU46">
            <v>298.61226291237398</v>
          </cell>
          <cell r="AV46">
            <v>296.95125526947754</v>
          </cell>
          <cell r="AW46">
            <v>301.01149617434152</v>
          </cell>
          <cell r="AX46">
            <v>309.50109079360732</v>
          </cell>
          <cell r="AY46">
            <v>316.14512136520466</v>
          </cell>
          <cell r="AZ46">
            <v>317.25245979380469</v>
          </cell>
          <cell r="BA46">
            <v>323.89649036540203</v>
          </cell>
          <cell r="BB46">
            <v>325.55749800830023</v>
          </cell>
          <cell r="BC46">
            <v>328.32584407980289</v>
          </cell>
          <cell r="BD46">
            <v>331.6478593655994</v>
          </cell>
        </row>
        <row r="47">
          <cell r="B47" t="str">
            <v>MTManufacturedNew</v>
          </cell>
          <cell r="C47" t="str">
            <v>MT_Other Family</v>
          </cell>
          <cell r="D47" t="str">
            <v>Manufactured</v>
          </cell>
          <cell r="E47" t="str">
            <v>New</v>
          </cell>
          <cell r="F47">
            <v>923</v>
          </cell>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cell r="AF47">
            <v>361</v>
          </cell>
          <cell r="AG47">
            <v>468</v>
          </cell>
          <cell r="AH47">
            <v>308.75</v>
          </cell>
          <cell r="AI47">
            <v>364.95833333333331</v>
          </cell>
          <cell r="AJ47">
            <v>352.95138888888891</v>
          </cell>
          <cell r="AK47">
            <v>363.44328703703701</v>
          </cell>
          <cell r="AL47">
            <v>369.85050154320987</v>
          </cell>
          <cell r="AM47">
            <v>371.32558513374482</v>
          </cell>
          <cell r="AN47">
            <v>355.2131826560356</v>
          </cell>
          <cell r="AO47">
            <v>362.95704643204158</v>
          </cell>
          <cell r="AP47">
            <v>362.62349861515963</v>
          </cell>
          <cell r="AQ47">
            <v>364.23551690287144</v>
          </cell>
          <cell r="AR47">
            <v>364.36755521384384</v>
          </cell>
          <cell r="AS47">
            <v>363.45373082561611</v>
          </cell>
          <cell r="AT47">
            <v>362.14175510759469</v>
          </cell>
          <cell r="AU47">
            <v>363.29651718285459</v>
          </cell>
          <cell r="AV47">
            <v>363.35309564132336</v>
          </cell>
          <cell r="AW47">
            <v>363.47469514568405</v>
          </cell>
          <cell r="AX47">
            <v>363.34789151948604</v>
          </cell>
          <cell r="AY47">
            <v>363.17794757042651</v>
          </cell>
          <cell r="AZ47">
            <v>363.13198369456154</v>
          </cell>
          <cell r="BA47">
            <v>363.29702179238939</v>
          </cell>
          <cell r="BB47">
            <v>363.29710589397854</v>
          </cell>
          <cell r="BC47">
            <v>363.28777426942105</v>
          </cell>
          <cell r="BD47">
            <v>363.25662079004383</v>
          </cell>
        </row>
        <row r="48">
          <cell r="B48" t="str">
            <v>MTSingle FamilyExisting</v>
          </cell>
          <cell r="C48" t="str">
            <v>MT_Single Family</v>
          </cell>
          <cell r="D48" t="str">
            <v>Single Family</v>
          </cell>
          <cell r="E48" t="str">
            <v>Existing</v>
          </cell>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v>323649.60000000009</v>
          </cell>
          <cell r="AL48">
            <v>322914.66253998509</v>
          </cell>
          <cell r="AM48">
            <v>322181.39396221231</v>
          </cell>
          <cell r="AN48">
            <v>321449.79047701514</v>
          </cell>
          <cell r="AO48">
            <v>320719.84830333246</v>
          </cell>
          <cell r="AP48">
            <v>319991.56366868917</v>
          </cell>
          <cell r="AQ48">
            <v>319264.93280917662</v>
          </cell>
          <cell r="AR48">
            <v>318539.95196943317</v>
          </cell>
          <cell r="AS48">
            <v>317816.61740262475</v>
          </cell>
          <cell r="AT48">
            <v>317094.92537042563</v>
          </cell>
          <cell r="AU48">
            <v>316374.87214299885</v>
          </cell>
          <cell r="AV48">
            <v>315656.4539989772</v>
          </cell>
          <cell r="AW48">
            <v>314939.66722544387</v>
          </cell>
          <cell r="AX48">
            <v>314224.50811791327</v>
          </cell>
          <cell r="AY48">
            <v>313510.9729803119</v>
          </cell>
          <cell r="AZ48">
            <v>312799.05812495912</v>
          </cell>
          <cell r="BA48">
            <v>312088.7598725484</v>
          </cell>
          <cell r="BB48">
            <v>311380.07455212792</v>
          </cell>
          <cell r="BC48">
            <v>310672.99850108189</v>
          </cell>
          <cell r="BD48">
            <v>309967.52806511155</v>
          </cell>
        </row>
        <row r="49">
          <cell r="B49" t="str">
            <v>MTMultifamily - Low RiseExisting</v>
          </cell>
          <cell r="C49" t="str">
            <v>MT_Multi Family</v>
          </cell>
          <cell r="D49" t="str">
            <v>Multifamily - Low Rise</v>
          </cell>
          <cell r="E49" t="str">
            <v>Existing</v>
          </cell>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v>49246.589456226939</v>
          </cell>
          <cell r="AL49">
            <v>49134.75942376897</v>
          </cell>
          <cell r="AM49">
            <v>49023.183336940492</v>
          </cell>
          <cell r="AN49">
            <v>48911.860619077241</v>
          </cell>
          <cell r="AO49">
            <v>48800.790694824464</v>
          </cell>
          <cell r="AP49">
            <v>48689.972990133923</v>
          </cell>
          <cell r="AQ49">
            <v>48579.406932260943</v>
          </cell>
          <cell r="AR49">
            <v>48469.091949761445</v>
          </cell>
          <cell r="AS49">
            <v>48359.027472489004</v>
          </cell>
          <cell r="AT49">
            <v>48249.212931591894</v>
          </cell>
          <cell r="AU49">
            <v>48139.647759510139</v>
          </cell>
          <cell r="AV49">
            <v>48030.331389972584</v>
          </cell>
          <cell r="AW49">
            <v>47921.263257993989</v>
          </cell>
          <cell r="AX49">
            <v>47812.442799872078</v>
          </cell>
          <cell r="AY49">
            <v>47703.869453184649</v>
          </cell>
          <cell r="AZ49">
            <v>47595.54265678666</v>
          </cell>
          <cell r="BA49">
            <v>47487.461850807311</v>
          </cell>
          <cell r="BB49">
            <v>47379.626476647187</v>
          </cell>
          <cell r="BC49">
            <v>47272.035976975341</v>
          </cell>
          <cell r="BD49">
            <v>47164.689795726423</v>
          </cell>
        </row>
        <row r="50">
          <cell r="B50" t="str">
            <v>MTMultifamily - High RiseExisting</v>
          </cell>
          <cell r="C50" t="str">
            <v>MT</v>
          </cell>
          <cell r="D50" t="str">
            <v>Multifamily - High Rise</v>
          </cell>
          <cell r="E50" t="str">
            <v>Existing</v>
          </cell>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v>11228.042553191075</v>
          </cell>
          <cell r="AL50">
            <v>11202.545714180957</v>
          </cell>
          <cell r="AM50">
            <v>11177.106773846983</v>
          </cell>
          <cell r="AN50">
            <v>11151.725600711807</v>
          </cell>
          <cell r="AO50">
            <v>11126.402063596644</v>
          </cell>
          <cell r="AP50">
            <v>11101.136031620596</v>
          </cell>
          <cell r="AQ50">
            <v>11075.927374199966</v>
          </cell>
          <cell r="AR50">
            <v>11050.775961047593</v>
          </cell>
          <cell r="AS50">
            <v>11025.681662172174</v>
          </cell>
          <cell r="AT50">
            <v>11000.644347877589</v>
          </cell>
          <cell r="AU50">
            <v>10975.663888762239</v>
          </cell>
          <cell r="AV50">
            <v>10950.740155718371</v>
          </cell>
          <cell r="AW50">
            <v>10925.87301993141</v>
          </cell>
          <cell r="AX50">
            <v>10901.062352879297</v>
          </cell>
          <cell r="AY50">
            <v>10876.308026331822</v>
          </cell>
          <cell r="AZ50">
            <v>10851.609912349968</v>
          </cell>
          <cell r="BA50">
            <v>10826.967883285235</v>
          </cell>
          <cell r="BB50">
            <v>10802.381811778998</v>
          </cell>
          <cell r="BC50">
            <v>10777.851570761834</v>
          </cell>
          <cell r="BD50">
            <v>10753.377033452874</v>
          </cell>
        </row>
        <row r="51">
          <cell r="B51" t="str">
            <v>MTManufacturedExisting</v>
          </cell>
          <cell r="C51" t="str">
            <v>MT_Other Family</v>
          </cell>
          <cell r="D51" t="str">
            <v>Manufactured</v>
          </cell>
          <cell r="E51" t="str">
            <v>Existing</v>
          </cell>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v>71434.103009259255</v>
          </cell>
          <cell r="AL51">
            <v>70670.687716372748</v>
          </cell>
          <cell r="AM51">
            <v>69915.431032397973</v>
          </cell>
          <cell r="AN51">
            <v>69168.245766391818</v>
          </cell>
          <cell r="AO51">
            <v>68429.045659219599</v>
          </cell>
          <cell r="AP51">
            <v>67697.74537359683</v>
          </cell>
          <cell r="AQ51">
            <v>66974.260484237457</v>
          </cell>
          <cell r="AR51">
            <v>66258.507468107273</v>
          </cell>
          <cell r="AS51">
            <v>65550.403694781649</v>
          </cell>
          <cell r="AT51">
            <v>64849.867416906163</v>
          </cell>
          <cell r="AU51">
            <v>64156.817760759273</v>
          </cell>
          <cell r="AV51">
            <v>63471.174716915804</v>
          </cell>
          <cell r="AW51">
            <v>62792.859131010227</v>
          </cell>
          <cell r="AX51">
            <v>62121.792694598647</v>
          </cell>
          <cell r="AY51">
            <v>61457.897936118447</v>
          </cell>
          <cell r="AZ51">
            <v>60801.098211944554</v>
          </cell>
          <cell r="BA51">
            <v>60151.317697541279</v>
          </cell>
          <cell r="BB51">
            <v>59508.481378708726</v>
          </cell>
          <cell r="BC51">
            <v>58872.515042922729</v>
          </cell>
          <cell r="BD51">
            <v>58243.345270767371</v>
          </cell>
        </row>
        <row r="53">
          <cell r="D53" t="str">
            <v>REGION</v>
          </cell>
          <cell r="E53"/>
          <cell r="F53"/>
          <cell r="G53"/>
          <cell r="BD53"/>
        </row>
        <row r="54">
          <cell r="B54" t="str">
            <v>RegionSingle FamilyNew</v>
          </cell>
          <cell r="C54"/>
          <cell r="D54" t="str">
            <v>Single Family</v>
          </cell>
          <cell r="E54" t="str">
            <v>New</v>
          </cell>
          <cell r="F54">
            <v>28347.41</v>
          </cell>
          <cell r="G54">
            <v>29614.268</v>
          </cell>
          <cell r="H54">
            <v>32248.535</v>
          </cell>
          <cell r="I54">
            <v>34559.442000000003</v>
          </cell>
          <cell r="J54">
            <v>42040.175999999999</v>
          </cell>
          <cell r="K54">
            <v>48415.591999999997</v>
          </cell>
          <cell r="L54">
            <v>44234.158000000003</v>
          </cell>
          <cell r="M54">
            <v>57584.008000000002</v>
          </cell>
          <cell r="N54">
            <v>61360.741000000002</v>
          </cell>
          <cell r="O54">
            <v>63637.875999999997</v>
          </cell>
          <cell r="P54">
            <v>54867.252999999997</v>
          </cell>
          <cell r="Q54">
            <v>57384.413</v>
          </cell>
          <cell r="R54">
            <v>56006.91</v>
          </cell>
          <cell r="S54">
            <v>58939.248</v>
          </cell>
          <cell r="T54">
            <v>56527.233</v>
          </cell>
          <cell r="U54">
            <v>51608.514000000003</v>
          </cell>
          <cell r="V54">
            <v>52738.447999999997</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cell r="AF54">
            <v>23007.674999999999</v>
          </cell>
          <cell r="AG54">
            <v>29744.772000000001</v>
          </cell>
          <cell r="AH54">
            <v>35486.892</v>
          </cell>
          <cell r="AI54">
            <v>44415.892999999996</v>
          </cell>
          <cell r="AJ54">
            <v>58293.71</v>
          </cell>
          <cell r="AK54">
            <v>62685.758999999998</v>
          </cell>
          <cell r="AL54">
            <v>59961.781000000003</v>
          </cell>
          <cell r="AM54">
            <v>56834.012000000002</v>
          </cell>
          <cell r="AN54">
            <v>54985.192999999999</v>
          </cell>
          <cell r="AO54">
            <v>53507.474000000002</v>
          </cell>
          <cell r="AP54">
            <v>50982.05</v>
          </cell>
          <cell r="AQ54">
            <v>49561.669000000002</v>
          </cell>
          <cell r="AR54">
            <v>49324.517999999996</v>
          </cell>
          <cell r="AS54">
            <v>48815.77</v>
          </cell>
          <cell r="AT54">
            <v>49683.252</v>
          </cell>
          <cell r="AU54">
            <v>50030.137000000002</v>
          </cell>
          <cell r="AV54">
            <v>49387.762999999999</v>
          </cell>
          <cell r="AW54">
            <v>48079.345999999998</v>
          </cell>
          <cell r="AX54">
            <v>48129.050999999999</v>
          </cell>
          <cell r="AY54">
            <v>48690.569000000003</v>
          </cell>
          <cell r="AZ54">
            <v>48482.864000000001</v>
          </cell>
          <cell r="BA54">
            <v>46879.000999999997</v>
          </cell>
          <cell r="BB54">
            <v>46798.777999999998</v>
          </cell>
          <cell r="BC54">
            <v>46917.627</v>
          </cell>
          <cell r="BD54">
            <v>47236.144999999997</v>
          </cell>
        </row>
        <row r="55">
          <cell r="B55" t="str">
            <v>RegionMultifamily - Low RiseNew</v>
          </cell>
          <cell r="C55"/>
          <cell r="D55" t="str">
            <v>Multifamily - Low Rise</v>
          </cell>
          <cell r="E55" t="str">
            <v>New</v>
          </cell>
          <cell r="F55">
            <v>20270.709108606741</v>
          </cell>
          <cell r="G55">
            <v>18929.763197074921</v>
          </cell>
          <cell r="H55">
            <v>19012.285997102455</v>
          </cell>
          <cell r="I55">
            <v>22080.053999678374</v>
          </cell>
          <cell r="J55">
            <v>28601.778161129085</v>
          </cell>
          <cell r="K55">
            <v>27202.893689869055</v>
          </cell>
          <cell r="L55">
            <v>12390.21093788289</v>
          </cell>
          <cell r="M55">
            <v>12173.152842775997</v>
          </cell>
          <cell r="N55">
            <v>12361.89700061282</v>
          </cell>
          <cell r="O55">
            <v>17122.743158401601</v>
          </cell>
          <cell r="P55">
            <v>18662.733640245107</v>
          </cell>
          <cell r="Q55">
            <v>21954.730458996564</v>
          </cell>
          <cell r="R55">
            <v>20000.57314201623</v>
          </cell>
          <cell r="S55">
            <v>20642.129902132972</v>
          </cell>
          <cell r="T55">
            <v>18328.494801049026</v>
          </cell>
          <cell r="U55">
            <v>14151.270582179823</v>
          </cell>
          <cell r="V55">
            <v>14626.267683576692</v>
          </cell>
          <cell r="W55">
            <v>12028.647109827847</v>
          </cell>
          <cell r="X55">
            <v>13046.576324182055</v>
          </cell>
          <cell r="Y55">
            <v>13957.232094298253</v>
          </cell>
          <cell r="Z55">
            <v>13931.004497270837</v>
          </cell>
          <cell r="AA55">
            <v>15900.995334173014</v>
          </cell>
          <cell r="AB55">
            <v>15570.247880584542</v>
          </cell>
          <cell r="AC55">
            <v>11944.723214001346</v>
          </cell>
          <cell r="AD55">
            <v>4141.9202192737603</v>
          </cell>
          <cell r="AE55">
            <v>4082.3550519108016</v>
          </cell>
          <cell r="AF55">
            <v>7060.5047847544756</v>
          </cell>
          <cell r="AG55">
            <v>12168.678143163897</v>
          </cell>
          <cell r="AH55">
            <v>19129.179628017948</v>
          </cell>
          <cell r="AI55">
            <v>19420.059444838447</v>
          </cell>
          <cell r="AJ55">
            <v>23068.805408245826</v>
          </cell>
          <cell r="AK55">
            <v>23280.347100904564</v>
          </cell>
          <cell r="AL55">
            <v>23017.418106038647</v>
          </cell>
          <cell r="AM55">
            <v>22811.60852767331</v>
          </cell>
          <cell r="AN55">
            <v>22085.916378202593</v>
          </cell>
          <cell r="AO55">
            <v>20817.853908138593</v>
          </cell>
          <cell r="AP55">
            <v>20070.279329962508</v>
          </cell>
          <cell r="AQ55">
            <v>19887.831284331631</v>
          </cell>
          <cell r="AR55">
            <v>20257.583209811291</v>
          </cell>
          <cell r="AS55">
            <v>20750.368029493613</v>
          </cell>
          <cell r="AT55">
            <v>21314.334279744231</v>
          </cell>
          <cell r="AU55">
            <v>21403.286239774712</v>
          </cell>
          <cell r="AV55">
            <v>21409.137516518917</v>
          </cell>
          <cell r="AW55">
            <v>21443.358292282628</v>
          </cell>
          <cell r="AX55">
            <v>21209.865626522758</v>
          </cell>
          <cell r="AY55">
            <v>20954.17798283829</v>
          </cell>
          <cell r="AZ55">
            <v>20525.44023202754</v>
          </cell>
          <cell r="BA55">
            <v>20175.505597554071</v>
          </cell>
          <cell r="BB55">
            <v>19919.723927484571</v>
          </cell>
          <cell r="BC55">
            <v>19536.194066416414</v>
          </cell>
          <cell r="BD55">
            <v>19462.287131015248</v>
          </cell>
        </row>
        <row r="56">
          <cell r="B56" t="str">
            <v>RegionMultifamily - High RiseNew</v>
          </cell>
          <cell r="D56" t="str">
            <v>Multifamily - High Rise</v>
          </cell>
          <cell r="E56" t="str">
            <v>New</v>
          </cell>
          <cell r="F56">
            <v>1479.0008913932584</v>
          </cell>
          <cell r="G56">
            <v>1541.8068029250769</v>
          </cell>
          <cell r="H56">
            <v>1789.2040028975434</v>
          </cell>
          <cell r="I56">
            <v>2697.4260003216255</v>
          </cell>
          <cell r="J56">
            <v>2452.621838870919</v>
          </cell>
          <cell r="K56">
            <v>1250.8263101309401</v>
          </cell>
          <cell r="L56">
            <v>1272.6790621171076</v>
          </cell>
          <cell r="M56">
            <v>1783.7271572240045</v>
          </cell>
          <cell r="N56">
            <v>2321.9429993871795</v>
          </cell>
          <cell r="O56">
            <v>2678.3968415983995</v>
          </cell>
          <cell r="P56">
            <v>3071.6263597548932</v>
          </cell>
          <cell r="Q56">
            <v>2881.3195410034373</v>
          </cell>
          <cell r="R56">
            <v>2811.49685798377</v>
          </cell>
          <cell r="S56">
            <v>2476.4300978670262</v>
          </cell>
          <cell r="T56">
            <v>2052.865198950974</v>
          </cell>
          <cell r="U56">
            <v>2155.6894178201746</v>
          </cell>
          <cell r="V56">
            <v>2035.7623164233071</v>
          </cell>
          <cell r="W56">
            <v>2249.9028901721549</v>
          </cell>
          <cell r="X56">
            <v>2341.7336758179449</v>
          </cell>
          <cell r="Y56">
            <v>2340.0879057017487</v>
          </cell>
          <cell r="Z56">
            <v>2581.1355027291629</v>
          </cell>
          <cell r="AA56">
            <v>2450.9446658269862</v>
          </cell>
          <cell r="AB56">
            <v>2125.3821194154557</v>
          </cell>
          <cell r="AC56">
            <v>1478.8567859986533</v>
          </cell>
          <cell r="AD56">
            <v>1471.80978072624</v>
          </cell>
          <cell r="AE56">
            <v>1909.1649480891979</v>
          </cell>
          <cell r="AF56">
            <v>3074.7952152455237</v>
          </cell>
          <cell r="AG56">
            <v>2010.1218568361005</v>
          </cell>
          <cell r="AH56">
            <v>2152.2103719820498</v>
          </cell>
          <cell r="AI56">
            <v>2768.8805551615533</v>
          </cell>
          <cell r="AJ56">
            <v>5337.8787559635048</v>
          </cell>
          <cell r="AK56">
            <v>5226.2387411561367</v>
          </cell>
          <cell r="AL56">
            <v>5239.95312759432</v>
          </cell>
          <cell r="AM56">
            <v>5271.2612760989568</v>
          </cell>
          <cell r="AN56">
            <v>4985.883552972361</v>
          </cell>
          <cell r="AO56">
            <v>4608.5912035798974</v>
          </cell>
          <cell r="AP56">
            <v>4509.6375960361838</v>
          </cell>
          <cell r="AQ56">
            <v>4481.760351096189</v>
          </cell>
          <cell r="AR56">
            <v>4621.8312800578688</v>
          </cell>
          <cell r="AS56">
            <v>4700.9782942419988</v>
          </cell>
          <cell r="AT56">
            <v>4828.2391631488581</v>
          </cell>
          <cell r="AU56">
            <v>4790.0249139778334</v>
          </cell>
          <cell r="AV56">
            <v>4782.0649962402858</v>
          </cell>
          <cell r="AW56">
            <v>4748.3908346265653</v>
          </cell>
          <cell r="AX56">
            <v>4733.4823682495089</v>
          </cell>
          <cell r="AY56">
            <v>4698.697177079107</v>
          </cell>
          <cell r="AZ56">
            <v>4599.2987885998937</v>
          </cell>
          <cell r="BA56">
            <v>4526.3104216428001</v>
          </cell>
          <cell r="BB56">
            <v>4422.0600452822764</v>
          </cell>
          <cell r="BC56">
            <v>4405.182362066379</v>
          </cell>
          <cell r="BD56">
            <v>4385.1136986120664</v>
          </cell>
        </row>
        <row r="57">
          <cell r="B57" t="str">
            <v>RegionManufacturedNew</v>
          </cell>
          <cell r="C57"/>
          <cell r="D57" t="str">
            <v>Manufactured</v>
          </cell>
          <cell r="E57" t="str">
            <v>New</v>
          </cell>
          <cell r="F57">
            <v>9693.11</v>
          </cell>
          <cell r="G57">
            <v>8065.19</v>
          </cell>
          <cell r="H57">
            <v>7680.98</v>
          </cell>
          <cell r="I57">
            <v>8859.3700000000008</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6539.39</v>
          </cell>
          <cell r="Y57">
            <v>6359.29</v>
          </cell>
          <cell r="Z57">
            <v>6381.37</v>
          </cell>
          <cell r="AA57">
            <v>6080.27</v>
          </cell>
          <cell r="AB57">
            <v>4894.01</v>
          </cell>
          <cell r="AC57">
            <v>3674.09</v>
          </cell>
          <cell r="AD57">
            <v>2014.3</v>
          </cell>
          <cell r="AE57">
            <v>1796.25</v>
          </cell>
          <cell r="AF57">
            <v>1477.77</v>
          </cell>
          <cell r="AG57">
            <v>1516.76</v>
          </cell>
          <cell r="AH57">
            <v>2391.3375000000001</v>
          </cell>
          <cell r="AI57">
            <v>2145.0845833333333</v>
          </cell>
          <cell r="AJ57">
            <v>1890.2503472222222</v>
          </cell>
          <cell r="AK57">
            <v>1869.5754050925925</v>
          </cell>
          <cell r="AL57">
            <v>1881.796305941358</v>
          </cell>
          <cell r="AM57">
            <v>1949.1340235982509</v>
          </cell>
          <cell r="AN57">
            <v>2021.1963608646258</v>
          </cell>
          <cell r="AO57">
            <v>1959.5061710087307</v>
          </cell>
          <cell r="AP57">
            <v>1928.5764356212967</v>
          </cell>
          <cell r="AQ57">
            <v>1934.9641170211423</v>
          </cell>
          <cell r="AR57">
            <v>1945.862235675901</v>
          </cell>
          <cell r="AS57">
            <v>1956.539890631658</v>
          </cell>
          <cell r="AT57">
            <v>1957.7742018038925</v>
          </cell>
          <cell r="AU57">
            <v>1947.2038419604366</v>
          </cell>
          <cell r="AV57">
            <v>1945.153453785721</v>
          </cell>
          <cell r="AW57">
            <v>1947.9162901464586</v>
          </cell>
          <cell r="AX57">
            <v>1950.0749856673444</v>
          </cell>
          <cell r="AY57">
            <v>1950.7771106659191</v>
          </cell>
          <cell r="AZ57">
            <v>1949.8166473382953</v>
          </cell>
          <cell r="BA57">
            <v>1948.4903882606959</v>
          </cell>
          <cell r="BB57">
            <v>1948.7048126440727</v>
          </cell>
          <cell r="BC57">
            <v>1949.296705787131</v>
          </cell>
          <cell r="BD57">
            <v>1949.5267750605763</v>
          </cell>
        </row>
        <row r="58">
          <cell r="B58" t="str">
            <v>RegionSingle FamilyExisting</v>
          </cell>
          <cell r="C58"/>
          <cell r="D58" t="str">
            <v>Single Family</v>
          </cell>
          <cell r="E58" t="str">
            <v>Existing</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v>4203528.2719999999</v>
          </cell>
          <cell r="AL58">
            <v>4193982.9785983553</v>
          </cell>
          <cell r="AM58">
            <v>4184459.3604704877</v>
          </cell>
          <cell r="AN58">
            <v>4174957.36839659</v>
          </cell>
          <cell r="AO58">
            <v>4165476.9532686244</v>
          </cell>
          <cell r="AP58">
            <v>4156018.0660900641</v>
          </cell>
          <cell r="AQ58">
            <v>4146580.6579756448</v>
          </cell>
          <cell r="AR58">
            <v>4137164.6801511091</v>
          </cell>
          <cell r="AS58">
            <v>4127770.0839529554</v>
          </cell>
          <cell r="AT58">
            <v>4118396.8208281873</v>
          </cell>
          <cell r="AU58">
            <v>4109044.8423340586</v>
          </cell>
          <cell r="AV58">
            <v>4099714.1001378288</v>
          </cell>
          <cell r="AW58">
            <v>4090404.5460165106</v>
          </cell>
          <cell r="AX58">
            <v>4081116.1318566194</v>
          </cell>
          <cell r="AY58">
            <v>4071848.8096539262</v>
          </cell>
          <cell r="AZ58">
            <v>4062602.5315132081</v>
          </cell>
          <cell r="BA58">
            <v>4053377.2496480034</v>
          </cell>
          <cell r="BB58">
            <v>4044172.9163803621</v>
          </cell>
          <cell r="BC58">
            <v>4034989.4841406001</v>
          </cell>
          <cell r="BD58">
            <v>4025826.9054670548</v>
          </cell>
        </row>
        <row r="59">
          <cell r="B59" t="str">
            <v>RegionMultifamily - Low RiseExisting</v>
          </cell>
          <cell r="C59"/>
          <cell r="D59" t="str">
            <v>Multifamily - Low Rise</v>
          </cell>
          <cell r="E59" t="str">
            <v>Existing</v>
          </cell>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v>926243.25609262148</v>
          </cell>
          <cell r="AL59">
            <v>924139.92640956037</v>
          </cell>
          <cell r="AM59">
            <v>922041.3730050053</v>
          </cell>
          <cell r="AN59">
            <v>919947.58503289847</v>
          </cell>
          <cell r="AO59">
            <v>917858.55167181045</v>
          </cell>
          <cell r="AP59">
            <v>915774.26212488639</v>
          </cell>
          <cell r="AQ59">
            <v>913694.70561978838</v>
          </cell>
          <cell r="AR59">
            <v>911619.87140864041</v>
          </cell>
          <cell r="AS59">
            <v>909549.74876797362</v>
          </cell>
          <cell r="AT59">
            <v>907484.32699866977</v>
          </cell>
          <cell r="AU59">
            <v>905423.59542590659</v>
          </cell>
          <cell r="AV59">
            <v>903367.54339910217</v>
          </cell>
          <cell r="AW59">
            <v>901316.16029185988</v>
          </cell>
          <cell r="AX59">
            <v>899269.43550191447</v>
          </cell>
          <cell r="AY59">
            <v>897227.35845107585</v>
          </cell>
          <cell r="AZ59">
            <v>895189.9185851753</v>
          </cell>
          <cell r="BA59">
            <v>893157.10537401051</v>
          </cell>
          <cell r="BB59">
            <v>891128.90831129183</v>
          </cell>
          <cell r="BC59">
            <v>889105.31691458682</v>
          </cell>
          <cell r="BD59">
            <v>887086.32072526717</v>
          </cell>
        </row>
        <row r="60">
          <cell r="B60" t="str">
            <v>RegionMultifamily - High RiseExisting</v>
          </cell>
          <cell r="D60" t="str">
            <v>Multifamily - High Rise</v>
          </cell>
          <cell r="E60" t="str">
            <v>Existing</v>
          </cell>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v>211180.07985625503</v>
          </cell>
          <cell r="AL60">
            <v>210700.52836963299</v>
          </cell>
          <cell r="AM60">
            <v>210222.06585706791</v>
          </cell>
          <cell r="AN60">
            <v>209744.68984569819</v>
          </cell>
          <cell r="AO60">
            <v>209268.39786827751</v>
          </cell>
          <cell r="AP60">
            <v>208793.18746316229</v>
          </cell>
          <cell r="AQ60">
            <v>208319.05617429892</v>
          </cell>
          <cell r="AR60">
            <v>207846.00155121088</v>
          </cell>
          <cell r="AS60">
            <v>207374.0211489865</v>
          </cell>
          <cell r="AT60">
            <v>206903.11252826577</v>
          </cell>
          <cell r="AU60">
            <v>206433.27325522827</v>
          </cell>
          <cell r="AV60">
            <v>205964.50090158021</v>
          </cell>
          <cell r="AW60">
            <v>205496.79304454199</v>
          </cell>
          <cell r="AX60">
            <v>205030.14726683579</v>
          </cell>
          <cell r="AY60">
            <v>204564.56115667295</v>
          </cell>
          <cell r="AZ60">
            <v>204100.03230774152</v>
          </cell>
          <cell r="BA60">
            <v>203636.55831919383</v>
          </cell>
          <cell r="BB60">
            <v>203174.13679563423</v>
          </cell>
          <cell r="BC60">
            <v>202712.76534710638</v>
          </cell>
          <cell r="BD60">
            <v>202252.44158908122</v>
          </cell>
        </row>
        <row r="61">
          <cell r="B61" t="str">
            <v>RegionManufacturedExisting</v>
          </cell>
          <cell r="C61"/>
          <cell r="D61" t="str">
            <v>Manufactured</v>
          </cell>
          <cell r="E61" t="str">
            <v>Existing</v>
          </cell>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v>572006.3278356482</v>
          </cell>
          <cell r="AL61">
            <v>565893.30394507048</v>
          </cell>
          <cell r="AM61">
            <v>559845.60985814757</v>
          </cell>
          <cell r="AN61">
            <v>553862.54739615123</v>
          </cell>
          <cell r="AO61">
            <v>547943.42584177968</v>
          </cell>
          <cell r="AP61">
            <v>542087.56185941794</v>
          </cell>
          <cell r="AQ61">
            <v>536294.27941624937</v>
          </cell>
          <cell r="AR61">
            <v>530562.90970421082</v>
          </cell>
          <cell r="AS61">
            <v>524892.79106278194</v>
          </cell>
          <cell r="AT61">
            <v>519283.26890259917</v>
          </cell>
          <cell r="AU61">
            <v>513733.69562988722</v>
          </cell>
          <cell r="AV61">
            <v>508243.4305716962</v>
          </cell>
          <cell r="AW61">
            <v>502811.8399019395</v>
          </cell>
          <cell r="AX61">
            <v>497438.2965682213</v>
          </cell>
          <cell r="AY61">
            <v>492122.18021944637</v>
          </cell>
          <cell r="AZ61">
            <v>486862.87713420321</v>
          </cell>
          <cell r="BA61">
            <v>481659.78014991269</v>
          </cell>
          <cell r="BB61">
            <v>476512.28859273402</v>
          </cell>
          <cell r="BC61">
            <v>471419.80820821953</v>
          </cell>
          <cell r="BD61">
            <v>466381.75109271082</v>
          </cell>
        </row>
      </sheetData>
      <sheetData sheetId="3"/>
      <sheetData sheetId="4"/>
      <sheetData sheetId="5"/>
      <sheetData sheetId="6"/>
      <sheetData sheetId="7"/>
      <sheetData sheetId="8"/>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Bldgs"/>
      <sheetName val="Vars"/>
      <sheetName val="Labels"/>
      <sheetName val="Lookup"/>
      <sheetName val="UEC"/>
      <sheetName val="Tracking Status"/>
      <sheetName val="Res_Master"/>
    </sheetNames>
    <definedNames>
      <definedName name="ExistingSat" refersTo="='SATS'!$B$10:$F$84"/>
      <definedName name="ResApplic" refersTo="='APPLIC'!$B$8:$F$119"/>
    </definedNames>
    <sheetDataSet>
      <sheetData sheetId="0"/>
      <sheetData sheetId="1"/>
      <sheetData sheetId="2"/>
      <sheetData sheetId="3">
        <row r="4">
          <cell r="H4">
            <v>2035</v>
          </cell>
        </row>
      </sheetData>
      <sheetData sheetId="4">
        <row r="8">
          <cell r="B8" t="str">
            <v>Measure Index Name</v>
          </cell>
          <cell r="C8" t="str">
            <v>Single Family</v>
          </cell>
          <cell r="D8" t="str">
            <v>Multifamily - Low Rise</v>
          </cell>
          <cell r="E8" t="str">
            <v>Multifamily - High Rise</v>
          </cell>
          <cell r="F8" t="str">
            <v>Manufactured</v>
          </cell>
        </row>
        <row r="9">
          <cell r="B9" t="str">
            <v>Lighting - New</v>
          </cell>
          <cell r="C9">
            <v>0.76500000000000001</v>
          </cell>
          <cell r="D9">
            <v>0.76500000000000001</v>
          </cell>
          <cell r="E9">
            <v>0.76500000000000001</v>
          </cell>
          <cell r="F9">
            <v>0.76500000000000001</v>
          </cell>
        </row>
        <row r="10">
          <cell r="B10" t="str">
            <v>Lighting - NR</v>
          </cell>
          <cell r="C10">
            <v>0.95</v>
          </cell>
          <cell r="D10">
            <v>0.95</v>
          </cell>
          <cell r="E10">
            <v>0.95</v>
          </cell>
          <cell r="F10">
            <v>0.95</v>
          </cell>
        </row>
        <row r="11">
          <cell r="B11" t="str">
            <v>Lighting - Retro</v>
          </cell>
          <cell r="C11">
            <v>0</v>
          </cell>
          <cell r="D11">
            <v>0</v>
          </cell>
          <cell r="E11">
            <v>0</v>
          </cell>
          <cell r="F11">
            <v>0</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ClothesWasher - New</v>
          </cell>
          <cell r="C14">
            <v>1</v>
          </cell>
          <cell r="D14">
            <v>0.8</v>
          </cell>
          <cell r="E14">
            <v>0.7</v>
          </cell>
          <cell r="F14">
            <v>0.81</v>
          </cell>
        </row>
        <row r="15">
          <cell r="B15" t="str">
            <v>ClothesWasher - NR</v>
          </cell>
          <cell r="C15">
            <v>0.9</v>
          </cell>
          <cell r="D15">
            <v>0.7</v>
          </cell>
          <cell r="E15">
            <v>0.6</v>
          </cell>
          <cell r="F15">
            <v>0.81</v>
          </cell>
        </row>
        <row r="16">
          <cell r="B16" t="str">
            <v>GFHX - New</v>
          </cell>
          <cell r="C16">
            <v>0.9</v>
          </cell>
          <cell r="D16">
            <v>0.5</v>
          </cell>
          <cell r="E16">
            <v>0.9</v>
          </cell>
          <cell r="F16">
            <v>0</v>
          </cell>
        </row>
        <row r="17">
          <cell r="B17" t="str">
            <v>Showerhead - New</v>
          </cell>
          <cell r="C17">
            <v>0.51600000000000001</v>
          </cell>
          <cell r="D17">
            <v>0.58000000000000007</v>
          </cell>
          <cell r="E17">
            <v>0.58000000000000007</v>
          </cell>
          <cell r="F17">
            <v>0.33999999999999997</v>
          </cell>
        </row>
        <row r="18">
          <cell r="B18" t="str">
            <v>Showerhead - Retro</v>
          </cell>
          <cell r="C18">
            <v>0.47122961690149834</v>
          </cell>
          <cell r="D18">
            <v>0.58000000000000007</v>
          </cell>
          <cell r="E18">
            <v>0.58000000000000007</v>
          </cell>
          <cell r="F18">
            <v>0.33999999999999997</v>
          </cell>
        </row>
        <row r="19">
          <cell r="B19" t="str">
            <v>HPWH - New</v>
          </cell>
          <cell r="C19">
            <v>0.94904999999999995</v>
          </cell>
          <cell r="D19">
            <v>0</v>
          </cell>
          <cell r="E19">
            <v>0</v>
          </cell>
          <cell r="F19">
            <v>0.95</v>
          </cell>
        </row>
        <row r="20">
          <cell r="B20" t="str">
            <v>HPWH - NR</v>
          </cell>
          <cell r="C20">
            <v>0.94904999999999995</v>
          </cell>
          <cell r="D20">
            <v>0</v>
          </cell>
          <cell r="E20">
            <v>0</v>
          </cell>
          <cell r="F20">
            <v>0.95</v>
          </cell>
        </row>
        <row r="21">
          <cell r="B21" t="str">
            <v>EVSE - NR</v>
          </cell>
          <cell r="C21">
            <v>0.89100000000000001</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SHW - New</v>
          </cell>
          <cell r="C28">
            <v>0</v>
          </cell>
          <cell r="D28">
            <v>0</v>
          </cell>
          <cell r="E28">
            <v>0</v>
          </cell>
          <cell r="F28">
            <v>0</v>
          </cell>
        </row>
        <row r="29">
          <cell r="B29" t="str">
            <v>SHW - NR</v>
          </cell>
          <cell r="C29">
            <v>0</v>
          </cell>
          <cell r="D29">
            <v>0</v>
          </cell>
          <cell r="E29">
            <v>0</v>
          </cell>
          <cell r="F29">
            <v>0</v>
          </cell>
        </row>
        <row r="30">
          <cell r="B30" t="str">
            <v>SHW - Retro</v>
          </cell>
          <cell r="C30">
            <v>0</v>
          </cell>
          <cell r="D30">
            <v>0</v>
          </cell>
          <cell r="E30">
            <v>0</v>
          </cell>
          <cell r="F30">
            <v>0</v>
          </cell>
        </row>
        <row r="31">
          <cell r="B31" t="str">
            <v>PV - New</v>
          </cell>
          <cell r="C31">
            <v>0</v>
          </cell>
          <cell r="D31">
            <v>0</v>
          </cell>
          <cell r="E31">
            <v>0</v>
          </cell>
          <cell r="F31">
            <v>0</v>
          </cell>
        </row>
        <row r="32">
          <cell r="B32" t="str">
            <v>PV - Retro</v>
          </cell>
          <cell r="C32">
            <v>0</v>
          </cell>
          <cell r="D32">
            <v>0</v>
          </cell>
          <cell r="E32">
            <v>0</v>
          </cell>
          <cell r="F32">
            <v>0</v>
          </cell>
        </row>
        <row r="33">
          <cell r="B33" t="str">
            <v>Electric Oven - New</v>
          </cell>
          <cell r="C33">
            <v>0.9</v>
          </cell>
          <cell r="D33">
            <v>0.9</v>
          </cell>
          <cell r="E33">
            <v>0.9</v>
          </cell>
          <cell r="F33">
            <v>0.9</v>
          </cell>
        </row>
        <row r="34">
          <cell r="B34" t="str">
            <v>Electric Oven - NR</v>
          </cell>
          <cell r="C34">
            <v>0.9</v>
          </cell>
          <cell r="D34">
            <v>0.9</v>
          </cell>
          <cell r="E34">
            <v>0.9</v>
          </cell>
          <cell r="F34">
            <v>0.9</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0.44999999999999996</v>
          </cell>
          <cell r="D37">
            <v>0.44999999999999996</v>
          </cell>
          <cell r="E37">
            <v>0.44999999999999996</v>
          </cell>
          <cell r="F37">
            <v>0.44999999999999996</v>
          </cell>
        </row>
        <row r="38">
          <cell r="B38" t="str">
            <v>Monitor - NR</v>
          </cell>
          <cell r="C38">
            <v>0.44999999999999996</v>
          </cell>
          <cell r="D38">
            <v>0.44999999999999996</v>
          </cell>
          <cell r="E38">
            <v>0.44999999999999996</v>
          </cell>
          <cell r="F38">
            <v>0.44999999999999996</v>
          </cell>
        </row>
        <row r="39">
          <cell r="B39" t="str">
            <v>Desktop - New</v>
          </cell>
          <cell r="C39">
            <v>0.75</v>
          </cell>
          <cell r="D39">
            <v>0.75</v>
          </cell>
          <cell r="E39">
            <v>0.75</v>
          </cell>
          <cell r="F39">
            <v>0.75</v>
          </cell>
        </row>
        <row r="40">
          <cell r="B40" t="str">
            <v>Desktop - NR</v>
          </cell>
          <cell r="C40">
            <v>0.75</v>
          </cell>
          <cell r="D40">
            <v>0.75</v>
          </cell>
          <cell r="E40">
            <v>0.75</v>
          </cell>
          <cell r="F40">
            <v>0.75</v>
          </cell>
        </row>
        <row r="41">
          <cell r="B41" t="str">
            <v>Laptop - New</v>
          </cell>
          <cell r="C41">
            <v>0.26</v>
          </cell>
          <cell r="D41">
            <v>0.26</v>
          </cell>
          <cell r="E41">
            <v>0.26</v>
          </cell>
          <cell r="F41">
            <v>0.26</v>
          </cell>
        </row>
        <row r="42">
          <cell r="B42" t="str">
            <v>Laptop - NR</v>
          </cell>
          <cell r="C42">
            <v>0.26</v>
          </cell>
          <cell r="D42">
            <v>0.26</v>
          </cell>
          <cell r="E42">
            <v>0.26</v>
          </cell>
          <cell r="F42">
            <v>0.26</v>
          </cell>
        </row>
        <row r="43">
          <cell r="B43" t="str">
            <v>Computer - New</v>
          </cell>
          <cell r="C43"/>
          <cell r="D43"/>
          <cell r="E43"/>
          <cell r="F43"/>
        </row>
        <row r="44">
          <cell r="B44" t="str">
            <v>Computer - NR</v>
          </cell>
          <cell r="C44"/>
          <cell r="D44"/>
          <cell r="E44"/>
          <cell r="F44"/>
        </row>
        <row r="45">
          <cell r="B45" t="str">
            <v>ASHP - New</v>
          </cell>
          <cell r="C45">
            <v>0.88200000000000001</v>
          </cell>
          <cell r="D45">
            <v>0.5</v>
          </cell>
          <cell r="E45">
            <v>0</v>
          </cell>
          <cell r="F45">
            <v>0.9</v>
          </cell>
        </row>
        <row r="46">
          <cell r="B46" t="str">
            <v>ASHP - NR</v>
          </cell>
          <cell r="C46">
            <v>0.73499999999999999</v>
          </cell>
          <cell r="D46">
            <v>0.5</v>
          </cell>
          <cell r="E46">
            <v>0</v>
          </cell>
          <cell r="F46">
            <v>0.75</v>
          </cell>
        </row>
        <row r="47">
          <cell r="B47" t="str">
            <v>HP - Retro</v>
          </cell>
          <cell r="C47">
            <v>0</v>
          </cell>
          <cell r="D47">
            <v>0</v>
          </cell>
          <cell r="E47">
            <v>0</v>
          </cell>
          <cell r="F47">
            <v>0</v>
          </cell>
        </row>
        <row r="48">
          <cell r="B48" t="str">
            <v>DHP - New</v>
          </cell>
          <cell r="C48">
            <v>0.97019999999999995</v>
          </cell>
          <cell r="D48">
            <v>0.99</v>
          </cell>
          <cell r="E48">
            <v>0</v>
          </cell>
          <cell r="F48">
            <v>0.99</v>
          </cell>
        </row>
        <row r="49">
          <cell r="B49" t="str">
            <v>DHP - NR</v>
          </cell>
          <cell r="C49">
            <v>0.97019999999999995</v>
          </cell>
          <cell r="D49">
            <v>0.99</v>
          </cell>
          <cell r="E49">
            <v>0</v>
          </cell>
          <cell r="F49">
            <v>0.99</v>
          </cell>
        </row>
        <row r="50">
          <cell r="B50" t="str">
            <v>DHP - Retro</v>
          </cell>
          <cell r="C50">
            <v>0</v>
          </cell>
          <cell r="D50">
            <v>0</v>
          </cell>
          <cell r="E50">
            <v>0</v>
          </cell>
          <cell r="F50">
            <v>0</v>
          </cell>
        </row>
        <row r="51">
          <cell r="B51" t="str">
            <v>Duct Sealing - New</v>
          </cell>
          <cell r="C51">
            <v>0.95</v>
          </cell>
          <cell r="D51">
            <v>0</v>
          </cell>
          <cell r="E51">
            <v>0</v>
          </cell>
          <cell r="F51">
            <v>0.95</v>
          </cell>
        </row>
        <row r="52">
          <cell r="B52" t="str">
            <v>Duct Sealing - Retro</v>
          </cell>
          <cell r="C52">
            <v>0.85499999999999998</v>
          </cell>
          <cell r="D52">
            <v>0</v>
          </cell>
          <cell r="E52">
            <v>0</v>
          </cell>
          <cell r="F52">
            <v>0.85499999999999998</v>
          </cell>
        </row>
        <row r="53">
          <cell r="B53" t="str">
            <v>WIFI enabled tstats - New</v>
          </cell>
          <cell r="C53">
            <v>0.6</v>
          </cell>
          <cell r="D53">
            <v>0.6</v>
          </cell>
          <cell r="E53">
            <v>0</v>
          </cell>
          <cell r="F53">
            <v>0.6</v>
          </cell>
        </row>
        <row r="54">
          <cell r="B54" t="str">
            <v>WIFI enabled tstats - Retro</v>
          </cell>
          <cell r="C54">
            <v>0.59399999999999997</v>
          </cell>
          <cell r="D54">
            <v>0.59399999999999997</v>
          </cell>
          <cell r="E54">
            <v>0</v>
          </cell>
          <cell r="F54">
            <v>0.59399999999999997</v>
          </cell>
        </row>
        <row r="55">
          <cell r="B55" t="str">
            <v>Combo DHP/HPWH units - New</v>
          </cell>
          <cell r="C55">
            <v>0</v>
          </cell>
          <cell r="D55">
            <v>0</v>
          </cell>
          <cell r="E55">
            <v>0</v>
          </cell>
          <cell r="F55">
            <v>0</v>
          </cell>
        </row>
        <row r="56">
          <cell r="B56" t="str">
            <v>Combo DHP/HPWH units - NR</v>
          </cell>
          <cell r="C56">
            <v>0</v>
          </cell>
          <cell r="D56">
            <v>0</v>
          </cell>
          <cell r="E56">
            <v>0</v>
          </cell>
          <cell r="F56">
            <v>0</v>
          </cell>
        </row>
        <row r="57">
          <cell r="B57" t="str">
            <v>Combo DHP/HPWH units - Retro</v>
          </cell>
          <cell r="C57">
            <v>0</v>
          </cell>
          <cell r="D57">
            <v>0</v>
          </cell>
          <cell r="E57">
            <v>0</v>
          </cell>
          <cell r="F57">
            <v>0</v>
          </cell>
        </row>
        <row r="58">
          <cell r="B58" t="str">
            <v>Aerator - New</v>
          </cell>
          <cell r="C58">
            <v>0.315</v>
          </cell>
          <cell r="D58">
            <v>0.315</v>
          </cell>
          <cell r="E58">
            <v>0.315</v>
          </cell>
          <cell r="F58">
            <v>0.315</v>
          </cell>
        </row>
        <row r="59">
          <cell r="B59" t="str">
            <v>Aerator - Retro</v>
          </cell>
          <cell r="C59">
            <v>0.315</v>
          </cell>
          <cell r="D59">
            <v>0.315</v>
          </cell>
          <cell r="E59">
            <v>0.315</v>
          </cell>
          <cell r="F59">
            <v>0.315</v>
          </cell>
        </row>
        <row r="60">
          <cell r="B60" t="str">
            <v>Behavior - Retro</v>
          </cell>
          <cell r="C60">
            <v>0.7</v>
          </cell>
          <cell r="D60">
            <v>0.7</v>
          </cell>
          <cell r="E60">
            <v>0.7</v>
          </cell>
          <cell r="F60">
            <v>0.7</v>
          </cell>
        </row>
        <row r="61">
          <cell r="B61" t="str">
            <v>Behavior - New</v>
          </cell>
          <cell r="C61">
            <v>0.7</v>
          </cell>
          <cell r="D61">
            <v>0.7</v>
          </cell>
          <cell r="E61">
            <v>0.7</v>
          </cell>
          <cell r="F61">
            <v>0.7</v>
          </cell>
        </row>
        <row r="62">
          <cell r="B62">
            <v>0</v>
          </cell>
          <cell r="C62">
            <v>0</v>
          </cell>
          <cell r="D62">
            <v>0</v>
          </cell>
          <cell r="E62">
            <v>0</v>
          </cell>
          <cell r="F62">
            <v>0</v>
          </cell>
        </row>
        <row r="63">
          <cell r="B63" t="str">
            <v>HRV - New</v>
          </cell>
          <cell r="C63">
            <v>0.89100000000000001</v>
          </cell>
          <cell r="D63">
            <v>0</v>
          </cell>
          <cell r="E63">
            <v>0</v>
          </cell>
          <cell r="F63">
            <v>0</v>
          </cell>
        </row>
        <row r="64">
          <cell r="B64">
            <v>0</v>
          </cell>
          <cell r="C64">
            <v>0</v>
          </cell>
          <cell r="D64">
            <v>0</v>
          </cell>
          <cell r="E64">
            <v>0</v>
          </cell>
          <cell r="F64">
            <v>0</v>
          </cell>
        </row>
        <row r="65">
          <cell r="B65">
            <v>0</v>
          </cell>
          <cell r="C65">
            <v>0</v>
          </cell>
          <cell r="D65">
            <v>0</v>
          </cell>
          <cell r="E65">
            <v>0</v>
          </cell>
          <cell r="F65">
            <v>0</v>
          </cell>
        </row>
        <row r="66">
          <cell r="B66">
            <v>0</v>
          </cell>
          <cell r="C66">
            <v>0</v>
          </cell>
          <cell r="D66">
            <v>0</v>
          </cell>
          <cell r="E66">
            <v>0</v>
          </cell>
          <cell r="F66">
            <v>0</v>
          </cell>
        </row>
        <row r="67">
          <cell r="B67" t="str">
            <v>ECM for HVAC ventilation - New</v>
          </cell>
          <cell r="C67">
            <v>0</v>
          </cell>
          <cell r="D67">
            <v>0</v>
          </cell>
          <cell r="E67">
            <v>0</v>
          </cell>
          <cell r="F67">
            <v>0</v>
          </cell>
        </row>
        <row r="68">
          <cell r="B68" t="str">
            <v>ECM for HVAC ventilation - NR</v>
          </cell>
          <cell r="C68">
            <v>0</v>
          </cell>
          <cell r="D68">
            <v>0</v>
          </cell>
          <cell r="E68">
            <v>0</v>
          </cell>
          <cell r="F68">
            <v>0</v>
          </cell>
        </row>
        <row r="69">
          <cell r="B69" t="str">
            <v>Whole house/attic fan - New</v>
          </cell>
          <cell r="C69">
            <v>0</v>
          </cell>
          <cell r="D69">
            <v>0</v>
          </cell>
          <cell r="E69">
            <v>0</v>
          </cell>
          <cell r="F69">
            <v>0</v>
          </cell>
        </row>
        <row r="70">
          <cell r="B70" t="str">
            <v>Whole house/attic fan - Retro</v>
          </cell>
          <cell r="C70">
            <v>0</v>
          </cell>
          <cell r="D70">
            <v>0</v>
          </cell>
          <cell r="E70">
            <v>0</v>
          </cell>
          <cell r="F70">
            <v>0</v>
          </cell>
        </row>
        <row r="71">
          <cell r="B71" t="str">
            <v>WH Pipe insulation - Retro</v>
          </cell>
          <cell r="C71">
            <v>0</v>
          </cell>
          <cell r="D71">
            <v>0</v>
          </cell>
          <cell r="E71">
            <v>0</v>
          </cell>
          <cell r="F71">
            <v>0</v>
          </cell>
        </row>
        <row r="72">
          <cell r="B72" t="str">
            <v>DHP Ducted - NR</v>
          </cell>
          <cell r="C72">
            <v>0.2475</v>
          </cell>
          <cell r="D72">
            <v>0</v>
          </cell>
          <cell r="E72">
            <v>0</v>
          </cell>
          <cell r="F72">
            <v>0.2475</v>
          </cell>
        </row>
        <row r="73">
          <cell r="B73" t="str">
            <v>Advanced Power Strips - New</v>
          </cell>
          <cell r="C73">
            <v>0.33660000000000001</v>
          </cell>
          <cell r="D73">
            <v>0.2475</v>
          </cell>
          <cell r="E73">
            <v>0.2475</v>
          </cell>
          <cell r="F73">
            <v>0.2475</v>
          </cell>
        </row>
        <row r="74">
          <cell r="B74" t="str">
            <v>Advanced Power Strips - Retro</v>
          </cell>
          <cell r="C74">
            <v>0.33660000000000001</v>
          </cell>
          <cell r="D74">
            <v>0.2475</v>
          </cell>
          <cell r="E74">
            <v>0.2475</v>
          </cell>
          <cell r="F74">
            <v>0.2475</v>
          </cell>
        </row>
        <row r="75">
          <cell r="B75" t="str">
            <v>Controls Commissioning and Sizing - New</v>
          </cell>
          <cell r="C75">
            <v>0.8</v>
          </cell>
          <cell r="D75">
            <v>0</v>
          </cell>
          <cell r="E75">
            <v>0</v>
          </cell>
          <cell r="F75">
            <v>0.8</v>
          </cell>
        </row>
        <row r="76">
          <cell r="B76" t="str">
            <v>Controls Commissioning and Sizing - NR</v>
          </cell>
          <cell r="C76">
            <v>0.9</v>
          </cell>
          <cell r="D76">
            <v>0</v>
          </cell>
          <cell r="E76">
            <v>0</v>
          </cell>
          <cell r="F76">
            <v>0.9</v>
          </cell>
        </row>
        <row r="77">
          <cell r="B77" t="str">
            <v>ResWx - Retro</v>
          </cell>
          <cell r="C77">
            <v>0.8</v>
          </cell>
          <cell r="D77">
            <v>1</v>
          </cell>
          <cell r="E77">
            <v>0</v>
          </cell>
          <cell r="F77">
            <v>0.8</v>
          </cell>
        </row>
        <row r="78">
          <cell r="B78" t="str">
            <v>ATTIC R0 - R19 - Retro</v>
          </cell>
          <cell r="C78">
            <v>0</v>
          </cell>
          <cell r="D78">
            <v>5.4136342171710254E-2</v>
          </cell>
          <cell r="E78">
            <v>0</v>
          </cell>
          <cell r="F78">
            <v>0</v>
          </cell>
        </row>
        <row r="79">
          <cell r="B79" t="str">
            <v>ATTIC R0 - R22 - Retro</v>
          </cell>
          <cell r="C79">
            <v>0</v>
          </cell>
          <cell r="D79">
            <v>0</v>
          </cell>
          <cell r="E79">
            <v>0</v>
          </cell>
          <cell r="F79">
            <v>1.7654231774693385E-2</v>
          </cell>
        </row>
        <row r="80">
          <cell r="B80" t="str">
            <v>ATTIC R0 - R30 - Retro</v>
          </cell>
          <cell r="C80">
            <v>0</v>
          </cell>
          <cell r="D80">
            <v>0</v>
          </cell>
          <cell r="E80">
            <v>0</v>
          </cell>
          <cell r="F80">
            <v>5.370909487280473E-2</v>
          </cell>
        </row>
        <row r="81">
          <cell r="B81" t="str">
            <v>ATTIC R0 - R38 - Retro</v>
          </cell>
          <cell r="C81">
            <v>2.8813359613924311E-2</v>
          </cell>
          <cell r="D81">
            <v>1.0754159339533284E-2</v>
          </cell>
          <cell r="E81">
            <v>0</v>
          </cell>
          <cell r="F81">
            <v>0</v>
          </cell>
        </row>
        <row r="82">
          <cell r="B82" t="str">
            <v>ATTIC R0 - R49 - Retro</v>
          </cell>
          <cell r="C82">
            <v>1.5352384954548057E-2</v>
          </cell>
          <cell r="D82">
            <v>6.4148166587866887E-2</v>
          </cell>
          <cell r="E82">
            <v>0</v>
          </cell>
          <cell r="F82">
            <v>0</v>
          </cell>
        </row>
        <row r="83">
          <cell r="B83" t="str">
            <v>ATTIC R11 - R30 - Retro</v>
          </cell>
          <cell r="C83">
            <v>0</v>
          </cell>
          <cell r="D83">
            <v>0</v>
          </cell>
          <cell r="E83">
            <v>0</v>
          </cell>
          <cell r="F83">
            <v>1.0533305070999921E-3</v>
          </cell>
        </row>
        <row r="84">
          <cell r="B84" t="str">
            <v>ATTIC R11 - R38 - Retro</v>
          </cell>
          <cell r="C84">
            <v>2.4403357864991825E-2</v>
          </cell>
          <cell r="D84">
            <v>0</v>
          </cell>
          <cell r="E84">
            <v>0</v>
          </cell>
          <cell r="F84">
            <v>0</v>
          </cell>
        </row>
        <row r="85">
          <cell r="B85" t="str">
            <v>ATTIC R11 - R49 - Retro</v>
          </cell>
          <cell r="C85">
            <v>1.9150446060856641E-2</v>
          </cell>
          <cell r="D85">
            <v>0</v>
          </cell>
          <cell r="E85">
            <v>0</v>
          </cell>
          <cell r="F85">
            <v>0</v>
          </cell>
        </row>
        <row r="86">
          <cell r="B86" t="str">
            <v>ATTIC R19 - R30 - Retro</v>
          </cell>
          <cell r="C86">
            <v>0</v>
          </cell>
          <cell r="D86">
            <v>3.7086444829429757E-2</v>
          </cell>
          <cell r="E86">
            <v>0</v>
          </cell>
          <cell r="F86">
            <v>0</v>
          </cell>
        </row>
        <row r="87">
          <cell r="B87" t="str">
            <v>ATTIC R19 - R38 - Retro</v>
          </cell>
          <cell r="C87">
            <v>1.0230432127483903E-2</v>
          </cell>
          <cell r="D87">
            <v>1.0053116760243517E-2</v>
          </cell>
          <cell r="E87">
            <v>0</v>
          </cell>
          <cell r="F87">
            <v>0</v>
          </cell>
        </row>
        <row r="88">
          <cell r="B88" t="str">
            <v>ATTIC R19 - R49 - Retro</v>
          </cell>
          <cell r="C88">
            <v>2.202732692584668E-2</v>
          </cell>
          <cell r="D88">
            <v>0.14766594591946242</v>
          </cell>
          <cell r="E88">
            <v>0</v>
          </cell>
          <cell r="F88">
            <v>0</v>
          </cell>
        </row>
        <row r="89">
          <cell r="B89" t="str">
            <v>WALL R0 - R11 - Retro</v>
          </cell>
          <cell r="C89">
            <v>7.999999999999996E-2</v>
          </cell>
          <cell r="D89">
            <v>8.6999999999999966E-2</v>
          </cell>
          <cell r="E89">
            <v>0</v>
          </cell>
          <cell r="F89">
            <v>0</v>
          </cell>
        </row>
        <row r="90">
          <cell r="B90" t="str">
            <v>FLOOR R0 - R19 - Retro</v>
          </cell>
          <cell r="C90">
            <v>7.8967487269190173E-2</v>
          </cell>
          <cell r="D90">
            <v>2.1455163910870823E-2</v>
          </cell>
          <cell r="E90">
            <v>0</v>
          </cell>
          <cell r="F90">
            <v>0</v>
          </cell>
        </row>
        <row r="91">
          <cell r="B91" t="str">
            <v>FLOOR R0 - R22 - Retro</v>
          </cell>
          <cell r="C91">
            <v>0</v>
          </cell>
          <cell r="D91">
            <v>0</v>
          </cell>
          <cell r="E91">
            <v>0</v>
          </cell>
          <cell r="F91">
            <v>1.0665247527328225E-2</v>
          </cell>
        </row>
        <row r="92">
          <cell r="B92" t="str">
            <v>FLOOR R0 - R25 - Retro</v>
          </cell>
          <cell r="C92">
            <v>4.5658784244216107E-2</v>
          </cell>
          <cell r="D92">
            <v>0</v>
          </cell>
          <cell r="E92">
            <v>0</v>
          </cell>
          <cell r="F92">
            <v>0</v>
          </cell>
        </row>
        <row r="93">
          <cell r="B93" t="str">
            <v>FLOOR R0 - R30 - Retro</v>
          </cell>
          <cell r="C93">
            <v>0.10537372848659371</v>
          </cell>
          <cell r="D93">
            <v>0.23754483608912919</v>
          </cell>
          <cell r="E93">
            <v>0</v>
          </cell>
          <cell r="F93">
            <v>0</v>
          </cell>
        </row>
        <row r="94">
          <cell r="B94" t="str">
            <v>FLOOR R11 - R22 - Retro</v>
          </cell>
          <cell r="C94">
            <v>0</v>
          </cell>
          <cell r="D94">
            <v>0</v>
          </cell>
          <cell r="E94">
            <v>0</v>
          </cell>
          <cell r="F94">
            <v>1.6234206236719673E-2</v>
          </cell>
        </row>
        <row r="95">
          <cell r="B95" t="str">
            <v>WINDOW CL30 Prime Window Replacement of Single Pane Base - Retro</v>
          </cell>
          <cell r="C95">
            <v>3.5442601061513916E-2</v>
          </cell>
          <cell r="D95">
            <v>0.12758359544917094</v>
          </cell>
          <cell r="E95">
            <v>0</v>
          </cell>
          <cell r="F95">
            <v>1.3677383586228942E-2</v>
          </cell>
        </row>
        <row r="96">
          <cell r="B96" t="str">
            <v>WINDOW CL30 Prime Window Replacement of Double Pane Base - Retro</v>
          </cell>
          <cell r="C96">
            <v>0.74240695226153941</v>
          </cell>
          <cell r="D96">
            <v>0.66296155480151864</v>
          </cell>
          <cell r="E96">
            <v>0</v>
          </cell>
          <cell r="F96">
            <v>6.9568000974991058E-4</v>
          </cell>
        </row>
        <row r="97">
          <cell r="B97" t="str">
            <v>WINDOW CL22 Prime Window Replacement of Single Pane Base - Retro</v>
          </cell>
          <cell r="C97">
            <v>8.860650265378479E-3</v>
          </cell>
          <cell r="D97">
            <v>3.1895898862292736E-2</v>
          </cell>
          <cell r="E97">
            <v>0</v>
          </cell>
          <cell r="F97">
            <v>3.4193458965572354E-3</v>
          </cell>
        </row>
        <row r="98">
          <cell r="B98" t="str">
            <v>WINDOW CL22 Prime Window Replacement of Double Pane Base - Retro</v>
          </cell>
          <cell r="C98">
            <v>0.18560173806538485</v>
          </cell>
          <cell r="D98">
            <v>0.16574038870037966</v>
          </cell>
          <cell r="E98">
            <v>0</v>
          </cell>
          <cell r="F98">
            <v>1.7392000243747764E-4</v>
          </cell>
        </row>
        <row r="99">
          <cell r="B99" t="str">
            <v>CFM50 Infiltration Reduction - Retro</v>
          </cell>
          <cell r="C99">
            <v>0.3489194352936118</v>
          </cell>
          <cell r="D99">
            <v>0.5</v>
          </cell>
          <cell r="E99">
            <v>0</v>
          </cell>
          <cell r="F99">
            <v>8.366655018171143E-2</v>
          </cell>
        </row>
        <row r="100">
          <cell r="B100"/>
          <cell r="C100">
            <v>0</v>
          </cell>
          <cell r="D100">
            <v>0</v>
          </cell>
          <cell r="E100">
            <v>0</v>
          </cell>
          <cell r="F100">
            <v>0</v>
          </cell>
        </row>
        <row r="101">
          <cell r="B101"/>
        </row>
        <row r="102">
          <cell r="B102"/>
        </row>
        <row r="103">
          <cell r="B103"/>
        </row>
        <row r="104">
          <cell r="B104"/>
        </row>
        <row r="105">
          <cell r="B105"/>
        </row>
        <row r="106">
          <cell r="B106"/>
        </row>
        <row r="107">
          <cell r="B107"/>
        </row>
        <row r="108">
          <cell r="B108"/>
        </row>
        <row r="109">
          <cell r="B109"/>
        </row>
        <row r="110">
          <cell r="B110"/>
        </row>
        <row r="111">
          <cell r="B111"/>
        </row>
        <row r="112">
          <cell r="B112"/>
        </row>
        <row r="113">
          <cell r="B113"/>
        </row>
        <row r="114">
          <cell r="B114"/>
        </row>
        <row r="115">
          <cell r="B115"/>
        </row>
        <row r="116">
          <cell r="B116"/>
        </row>
        <row r="117">
          <cell r="B117"/>
        </row>
        <row r="118">
          <cell r="B118"/>
        </row>
        <row r="119">
          <cell r="B119"/>
        </row>
        <row r="120">
          <cell r="B120"/>
        </row>
        <row r="121">
          <cell r="B121"/>
        </row>
        <row r="122">
          <cell r="B122"/>
        </row>
        <row r="123">
          <cell r="B123"/>
        </row>
        <row r="124">
          <cell r="B124"/>
        </row>
        <row r="125">
          <cell r="B125"/>
        </row>
        <row r="126">
          <cell r="B126"/>
        </row>
        <row r="127">
          <cell r="B127"/>
        </row>
        <row r="128">
          <cell r="B128"/>
        </row>
        <row r="129">
          <cell r="B129"/>
        </row>
        <row r="130">
          <cell r="B130"/>
        </row>
        <row r="131">
          <cell r="B131"/>
        </row>
        <row r="132">
          <cell r="B132"/>
        </row>
        <row r="133">
          <cell r="B133"/>
        </row>
        <row r="134">
          <cell r="B134"/>
        </row>
        <row r="135">
          <cell r="B135"/>
        </row>
        <row r="136">
          <cell r="B136"/>
        </row>
        <row r="137">
          <cell r="B137"/>
        </row>
        <row r="138">
          <cell r="B138"/>
        </row>
        <row r="139">
          <cell r="B139"/>
        </row>
        <row r="140">
          <cell r="B140"/>
        </row>
        <row r="141">
          <cell r="B141"/>
        </row>
        <row r="142">
          <cell r="B142"/>
        </row>
        <row r="143">
          <cell r="B143"/>
        </row>
        <row r="144">
          <cell r="B144"/>
        </row>
        <row r="145">
          <cell r="B145"/>
        </row>
        <row r="146">
          <cell r="B146"/>
        </row>
        <row r="147">
          <cell r="B147"/>
        </row>
        <row r="148">
          <cell r="B148"/>
        </row>
        <row r="149">
          <cell r="B149"/>
        </row>
        <row r="150">
          <cell r="B150"/>
        </row>
        <row r="151">
          <cell r="B151"/>
        </row>
        <row r="152">
          <cell r="B152"/>
        </row>
        <row r="153">
          <cell r="B153"/>
        </row>
        <row r="154">
          <cell r="B154"/>
        </row>
        <row r="155">
          <cell r="B155"/>
        </row>
        <row r="156">
          <cell r="B156"/>
        </row>
      </sheetData>
      <sheetData sheetId="5"/>
      <sheetData sheetId="6"/>
      <sheetData sheetId="7"/>
      <sheetData sheetId="8"/>
      <sheetData sheetId="9">
        <row r="9">
          <cell r="C9" t="str">
            <v>Retro6Slow</v>
          </cell>
          <cell r="D9">
            <v>4.2999999999999997E-2</v>
          </cell>
          <cell r="E9">
            <v>5.279714228027832E-2</v>
          </cell>
          <cell r="F9">
            <v>6.4608251467478173E-2</v>
          </cell>
          <cell r="G9">
            <v>7.4999999999999997E-2</v>
          </cell>
          <cell r="H9">
            <v>8.5546997470333563E-2</v>
          </cell>
          <cell r="I9">
            <v>0.10001472303820647</v>
          </cell>
          <cell r="J9">
            <v>0.10971770435235073</v>
          </cell>
          <cell r="K9">
            <v>0.11208438511970376</v>
          </cell>
          <cell r="L9">
            <v>0.10562608162722853</v>
          </cell>
          <cell r="M9">
            <v>9.0794563997872335E-2</v>
          </cell>
          <cell r="N9">
            <v>7.0260666991849297E-2</v>
          </cell>
          <cell r="O9">
            <v>4.8218360404944538E-2</v>
          </cell>
          <cell r="P9">
            <v>2.8854234614640095E-2</v>
          </cell>
          <cell r="Q9">
            <v>1.4773964924806759E-2</v>
          </cell>
          <cell r="R9">
            <v>6.3385343681182649E-3</v>
          </cell>
          <cell r="S9">
            <v>2.2268577196306039E-3</v>
          </cell>
          <cell r="T9">
            <v>6.2471001963848583E-4</v>
          </cell>
          <cell r="U9">
            <v>1.3615841889635938E-4</v>
          </cell>
          <cell r="V9">
            <v>2.2380636622298944E-5</v>
          </cell>
          <cell r="W9">
            <v>2.68643837586513E-6</v>
          </cell>
          <cell r="X9"/>
        </row>
        <row r="10">
          <cell r="C10" t="str">
            <v>Retro2Slow</v>
          </cell>
          <cell r="D10">
            <v>2.5643970768378654E-3</v>
          </cell>
          <cell r="E10">
            <v>5.1260615529385989E-3</v>
          </cell>
          <cell r="F10">
            <v>9.1015544176433795E-3</v>
          </cell>
          <cell r="G10">
            <v>1.4804925730045659E-2</v>
          </cell>
          <cell r="H10">
            <v>2.2471809420486211E-2</v>
          </cell>
          <cell r="I10">
            <v>3.2184432813882391E-2</v>
          </cell>
          <cell r="J10">
            <v>4.3779667172004086E-2</v>
          </cell>
          <cell r="K10">
            <v>5.675426075474499E-2</v>
          </cell>
          <cell r="L10">
            <v>7.0195239068707532E-2</v>
          </cell>
          <cell r="M10">
            <v>8.2776861842756788E-2</v>
          </cell>
          <cell r="N10">
            <v>9.2870259507494834E-2</v>
          </cell>
          <cell r="O10">
            <v>9.8796470678915727E-2</v>
          </cell>
          <cell r="P10">
            <v>9.9208932889988999E-2</v>
          </cell>
          <cell r="Q10">
            <v>9.3521150494244254E-2</v>
          </cell>
          <cell r="R10">
            <v>8.2226007896862296E-2</v>
          </cell>
          <cell r="S10">
            <v>6.6933566027365665E-2</v>
          </cell>
          <cell r="T10">
            <v>5.0029565143448806E-2</v>
          </cell>
          <cell r="U10">
            <v>3.402486521893211E-2</v>
          </cell>
          <cell r="V10">
            <v>2.0846059340774659E-2</v>
          </cell>
          <cell r="W10">
            <v>0.01</v>
          </cell>
          <cell r="X10"/>
        </row>
        <row r="11">
          <cell r="C11" t="str">
            <v>Retro50Fast</v>
          </cell>
          <cell r="D11">
            <v>0.45</v>
          </cell>
          <cell r="E11">
            <v>0.21</v>
          </cell>
          <cell r="F11">
            <v>0.14000000000000001</v>
          </cell>
          <cell r="G11">
            <v>0.09</v>
          </cell>
          <cell r="H11">
            <v>5.9540362609726505E-2</v>
          </cell>
          <cell r="I11">
            <v>2.9770181304863419E-2</v>
          </cell>
          <cell r="J11">
            <v>1.3231191691050248E-2</v>
          </cell>
          <cell r="K11">
            <v>5.2924766764202991E-3</v>
          </cell>
          <cell r="L11">
            <v>1.9245369732436846E-3</v>
          </cell>
          <cell r="M11">
            <v>6.415123244144505E-4</v>
          </cell>
          <cell r="N11">
            <v>1.9738840751215569E-4</v>
          </cell>
          <cell r="O11">
            <v>5.6396687860615913E-5</v>
          </cell>
          <cell r="P11">
            <v>1.5039116763038152E-5</v>
          </cell>
          <cell r="Q11">
            <v>3.7597791905374933E-6</v>
          </cell>
          <cell r="R11">
            <v>8.8465392733549919E-7</v>
          </cell>
          <cell r="S11">
            <v>1.9658976146974538E-7</v>
          </cell>
          <cell r="T11">
            <v>4.13873183502389E-8</v>
          </cell>
          <cell r="U11">
            <v>8.2774636034343985E-9</v>
          </cell>
          <cell r="V11">
            <v>1.5766598027155965E-9</v>
          </cell>
          <cell r="W11">
            <v>2.8666535811794347E-10</v>
          </cell>
          <cell r="X11"/>
        </row>
        <row r="12">
          <cell r="C12" t="str">
            <v>Retro20Fast</v>
          </cell>
          <cell r="D12">
            <v>0.22119921692859512</v>
          </cell>
          <cell r="E12">
            <v>0.17227012335877145</v>
          </cell>
          <cell r="F12">
            <v>0.13416410697161874</v>
          </cell>
          <cell r="G12">
            <v>0.10448711156957236</v>
          </cell>
          <cell r="H12">
            <v>8.1374644311252187E-2</v>
          </cell>
          <cell r="I12">
            <v>6.3374636711760357E-2</v>
          </cell>
          <cell r="J12">
            <v>4.9356216697984623E-2</v>
          </cell>
          <cell r="K12">
            <v>3.8438660213832465E-2</v>
          </cell>
          <cell r="L12">
            <v>2.9936058674748356E-2</v>
          </cell>
          <cell r="M12">
            <v>2.3314225937965505E-2</v>
          </cell>
          <cell r="N12">
            <v>1.8157137417191271E-2</v>
          </cell>
          <cell r="O12">
            <v>1.4140792838843619E-2</v>
          </cell>
          <cell r="P12">
            <v>1.1012860536141922E-2</v>
          </cell>
          <cell r="Q12">
            <v>8.5768244094035495E-3</v>
          </cell>
          <cell r="R12">
            <v>6.6796375663094043E-3</v>
          </cell>
          <cell r="S12">
            <v>5.2021069672748554E-3</v>
          </cell>
          <cell r="T12">
            <v>4.051404979734996E-3</v>
          </cell>
          <cell r="U12">
            <v>3.1552373707569581E-3</v>
          </cell>
          <cell r="V12">
            <v>2.4573013351216755E-3</v>
          </cell>
          <cell r="W12">
            <v>1.913748204035115E-3</v>
          </cell>
          <cell r="X12"/>
        </row>
        <row r="13">
          <cell r="C13" t="str">
            <v>RetroEven20</v>
          </cell>
          <cell r="D13">
            <v>0.05</v>
          </cell>
          <cell r="E13">
            <v>0.05</v>
          </cell>
          <cell r="F13">
            <v>0.05</v>
          </cell>
          <cell r="G13">
            <v>0.05</v>
          </cell>
          <cell r="H13">
            <v>0.05</v>
          </cell>
          <cell r="I13">
            <v>0.05</v>
          </cell>
          <cell r="J13">
            <v>0.05</v>
          </cell>
          <cell r="K13">
            <v>0.05</v>
          </cell>
          <cell r="L13">
            <v>0.05</v>
          </cell>
          <cell r="M13">
            <v>0.05</v>
          </cell>
          <cell r="N13">
            <v>0.05</v>
          </cell>
          <cell r="O13">
            <v>0.05</v>
          </cell>
          <cell r="P13">
            <v>0.05</v>
          </cell>
          <cell r="Q13">
            <v>0.05</v>
          </cell>
          <cell r="R13">
            <v>0.05</v>
          </cell>
          <cell r="S13">
            <v>0.05</v>
          </cell>
          <cell r="T13">
            <v>0.05</v>
          </cell>
          <cell r="U13">
            <v>0.05</v>
          </cell>
          <cell r="V13">
            <v>0.05</v>
          </cell>
          <cell r="W13">
            <v>0.05</v>
          </cell>
          <cell r="X13"/>
        </row>
        <row r="14">
          <cell r="C14" t="str">
            <v>RetroMax60</v>
          </cell>
          <cell r="D14">
            <v>0.01</v>
          </cell>
          <cell r="E14">
            <v>1.9799999999999998E-2</v>
          </cell>
          <cell r="F14">
            <v>2.9106E-2</v>
          </cell>
          <cell r="G14">
            <v>3.7643759999999998E-2</v>
          </cell>
          <cell r="H14">
            <v>4.5172511999999984E-2</v>
          </cell>
          <cell r="I14">
            <v>4.8635737920000005E-2</v>
          </cell>
          <cell r="J14">
            <v>4.587971277120001E-2</v>
          </cell>
          <cell r="K14">
            <v>4.3279862380832007E-2</v>
          </cell>
          <cell r="L14">
            <v>4.0827336845918161E-2</v>
          </cell>
          <cell r="M14">
            <v>3.8513787757982809E-2</v>
          </cell>
          <cell r="N14">
            <v>3.6331339785030448E-2</v>
          </cell>
          <cell r="O14">
            <v>3.4272563863878724E-2</v>
          </cell>
          <cell r="P14">
            <v>3.2330451911592284E-2</v>
          </cell>
          <cell r="Q14">
            <v>3.0498392969935395E-2</v>
          </cell>
          <cell r="R14">
            <v>2.8770150701639075E-2</v>
          </cell>
          <cell r="S14">
            <v>2.7139842161879479E-2</v>
          </cell>
          <cell r="T14">
            <v>2.5601917772706373E-2</v>
          </cell>
          <cell r="U14">
            <v>2.4151142432252914E-2</v>
          </cell>
          <cell r="V14">
            <v>2.2782577694425266E-2</v>
          </cell>
          <cell r="W14">
            <v>2.1491564958407872E-2</v>
          </cell>
          <cell r="X14"/>
        </row>
        <row r="15">
          <cell r="B15"/>
          <cell r="C15"/>
          <cell r="D15"/>
          <cell r="E15"/>
          <cell r="F15"/>
          <cell r="G15"/>
          <cell r="H15"/>
          <cell r="I15"/>
          <cell r="J15"/>
          <cell r="K15"/>
          <cell r="L15"/>
          <cell r="M15"/>
          <cell r="N15"/>
          <cell r="O15"/>
          <cell r="P15"/>
          <cell r="Q15"/>
          <cell r="R15"/>
          <cell r="S15"/>
          <cell r="T15"/>
          <cell r="U15"/>
          <cell r="V15"/>
          <cell r="W15"/>
          <cell r="X15"/>
        </row>
        <row r="16">
          <cell r="B16" t="str">
            <v>Measure Index Name</v>
          </cell>
          <cell r="C16" t="str">
            <v>Ramp</v>
          </cell>
          <cell r="D16">
            <v>2016</v>
          </cell>
          <cell r="E16">
            <v>2017</v>
          </cell>
          <cell r="F16">
            <v>2018</v>
          </cell>
          <cell r="G16">
            <v>2019</v>
          </cell>
          <cell r="H16">
            <v>2020</v>
          </cell>
          <cell r="I16">
            <v>2021</v>
          </cell>
          <cell r="J16">
            <v>2022</v>
          </cell>
          <cell r="K16">
            <v>2023</v>
          </cell>
          <cell r="L16">
            <v>2024</v>
          </cell>
          <cell r="M16">
            <v>2025</v>
          </cell>
          <cell r="N16">
            <v>2026</v>
          </cell>
          <cell r="O16">
            <v>2027</v>
          </cell>
          <cell r="P16">
            <v>2028</v>
          </cell>
          <cell r="Q16">
            <v>2029</v>
          </cell>
          <cell r="R16">
            <v>2030</v>
          </cell>
          <cell r="S16">
            <v>2031</v>
          </cell>
          <cell r="T16">
            <v>2032</v>
          </cell>
          <cell r="U16">
            <v>2033</v>
          </cell>
          <cell r="V16">
            <v>2034</v>
          </cell>
          <cell r="W16">
            <v>2035</v>
          </cell>
          <cell r="X16"/>
        </row>
        <row r="17">
          <cell r="B17" t="str">
            <v>Lighting - New</v>
          </cell>
          <cell r="C17" t="str">
            <v>LO20Fast</v>
          </cell>
          <cell r="D17">
            <v>0.22119921692859512</v>
          </cell>
          <cell r="E17">
            <v>0.39346934028736658</v>
          </cell>
          <cell r="F17">
            <v>0.52763344725898531</v>
          </cell>
          <cell r="G17">
            <v>0.63212055882855767</v>
          </cell>
          <cell r="H17">
            <v>0.71349520313980985</v>
          </cell>
          <cell r="I17">
            <v>0.77686983985157021</v>
          </cell>
          <cell r="J17">
            <v>0.82622605654955483</v>
          </cell>
          <cell r="K17">
            <v>0.8646647167633873</v>
          </cell>
          <cell r="L17">
            <v>0.89460077543813565</v>
          </cell>
          <cell r="M17">
            <v>0.91791500137610116</v>
          </cell>
          <cell r="N17">
            <v>0.93607213879329243</v>
          </cell>
          <cell r="O17">
            <v>0.95021293163213605</v>
          </cell>
          <cell r="P17">
            <v>0.96122579216827797</v>
          </cell>
          <cell r="Q17">
            <v>0.96980261657768152</v>
          </cell>
          <cell r="R17">
            <v>0.97648225414399092</v>
          </cell>
          <cell r="S17">
            <v>0.98168436111126578</v>
          </cell>
          <cell r="T17">
            <v>0.98573576609100078</v>
          </cell>
          <cell r="U17">
            <v>0.98889100346175773</v>
          </cell>
          <cell r="V17">
            <v>0.99134830479687941</v>
          </cell>
          <cell r="W17">
            <v>0.99326205300091452</v>
          </cell>
          <cell r="X17"/>
        </row>
        <row r="18">
          <cell r="B18" t="str">
            <v>Lighting - NR</v>
          </cell>
          <cell r="C18" t="str">
            <v>LO20Fast</v>
          </cell>
          <cell r="D18">
            <v>0.22119921692859512</v>
          </cell>
          <cell r="E18">
            <v>0.39346934028736658</v>
          </cell>
          <cell r="F18">
            <v>0.52763344725898531</v>
          </cell>
          <cell r="G18">
            <v>0.63212055882855767</v>
          </cell>
          <cell r="H18">
            <v>0.71349520313980985</v>
          </cell>
          <cell r="I18">
            <v>0.77686983985157021</v>
          </cell>
          <cell r="J18">
            <v>0.82622605654955483</v>
          </cell>
          <cell r="K18">
            <v>0.8646647167633873</v>
          </cell>
          <cell r="L18">
            <v>0.89460077543813565</v>
          </cell>
          <cell r="M18">
            <v>0.91791500137610116</v>
          </cell>
          <cell r="N18">
            <v>0.93607213879329243</v>
          </cell>
          <cell r="O18">
            <v>0.95021293163213605</v>
          </cell>
          <cell r="P18">
            <v>0.96122579216827797</v>
          </cell>
          <cell r="Q18">
            <v>0.96980261657768152</v>
          </cell>
          <cell r="R18">
            <v>0.97648225414399092</v>
          </cell>
          <cell r="S18">
            <v>0.98168436111126578</v>
          </cell>
          <cell r="T18">
            <v>0.98573576609100078</v>
          </cell>
          <cell r="U18">
            <v>0.98889100346175773</v>
          </cell>
          <cell r="V18">
            <v>0.99134830479687941</v>
          </cell>
          <cell r="W18">
            <v>0.99326205300091452</v>
          </cell>
          <cell r="X18"/>
        </row>
        <row r="19">
          <cell r="B19" t="str">
            <v>Lighting - Retro</v>
          </cell>
          <cell r="C19" t="str">
            <v>Retro20Fast</v>
          </cell>
          <cell r="D19">
            <v>0.22119921692859512</v>
          </cell>
          <cell r="E19">
            <v>0.17227012335877145</v>
          </cell>
          <cell r="F19">
            <v>0.13416410697161874</v>
          </cell>
          <cell r="G19">
            <v>0.10448711156957236</v>
          </cell>
          <cell r="H19">
            <v>8.1374644311252187E-2</v>
          </cell>
          <cell r="I19">
            <v>6.3374636711760357E-2</v>
          </cell>
          <cell r="J19">
            <v>4.9356216697984623E-2</v>
          </cell>
          <cell r="K19">
            <v>3.8438660213832465E-2</v>
          </cell>
          <cell r="L19">
            <v>2.9936058674748356E-2</v>
          </cell>
          <cell r="M19">
            <v>2.3314225937965505E-2</v>
          </cell>
          <cell r="N19">
            <v>1.8157137417191271E-2</v>
          </cell>
          <cell r="O19">
            <v>1.4140792838843619E-2</v>
          </cell>
          <cell r="P19">
            <v>1.1012860536141922E-2</v>
          </cell>
          <cell r="Q19">
            <v>8.5768244094035495E-3</v>
          </cell>
          <cell r="R19">
            <v>6.6796375663094043E-3</v>
          </cell>
          <cell r="S19">
            <v>5.2021069672748554E-3</v>
          </cell>
          <cell r="T19">
            <v>4.051404979734996E-3</v>
          </cell>
          <cell r="U19">
            <v>3.1552373707569581E-3</v>
          </cell>
          <cell r="V19">
            <v>2.4573013351216755E-3</v>
          </cell>
          <cell r="W19">
            <v>1.913748204035115E-3</v>
          </cell>
          <cell r="X19"/>
        </row>
        <row r="20">
          <cell r="B20" t="str">
            <v>Dishwasher - New</v>
          </cell>
          <cell r="C20" t="str">
            <v>LO12Med</v>
          </cell>
          <cell r="D20">
            <v>0.10937459468255628</v>
          </cell>
          <cell r="E20">
            <v>0.23437459468255628</v>
          </cell>
          <cell r="F20">
            <v>0.37109283803575166</v>
          </cell>
          <cell r="G20">
            <v>0.51409283803575168</v>
          </cell>
          <cell r="H20">
            <v>0.65142143068963099</v>
          </cell>
          <cell r="I20">
            <v>0.76586192456786373</v>
          </cell>
          <cell r="J20">
            <v>0.85169229497653831</v>
          </cell>
          <cell r="K20">
            <v>0.91021300207336175</v>
          </cell>
          <cell r="L20">
            <v>0.94678844400887652</v>
          </cell>
          <cell r="M20">
            <v>0.96788966051013492</v>
          </cell>
          <cell r="N20">
            <v>0.97919388363580917</v>
          </cell>
          <cell r="O20">
            <v>0.98484599519864635</v>
          </cell>
          <cell r="P20">
            <v>0.98749542249372613</v>
          </cell>
          <cell r="Q20">
            <v>0.98866428747684965</v>
          </cell>
          <cell r="R20">
            <v>0.98915131455315108</v>
          </cell>
          <cell r="S20">
            <v>0.98934356208327012</v>
          </cell>
          <cell r="T20">
            <v>0.98941565490706473</v>
          </cell>
          <cell r="U20">
            <v>0.98944140234413425</v>
          </cell>
          <cell r="V20">
            <v>0.9894501798794989</v>
          </cell>
          <cell r="W20">
            <v>0.98945304211929175</v>
          </cell>
          <cell r="X20"/>
        </row>
        <row r="21">
          <cell r="B21" t="str">
            <v>Dishwasher - NR</v>
          </cell>
          <cell r="C21" t="str">
            <v>LO12Med</v>
          </cell>
          <cell r="D21">
            <v>0.10937459468255628</v>
          </cell>
          <cell r="E21">
            <v>0.23437459468255628</v>
          </cell>
          <cell r="F21">
            <v>0.37109283803575166</v>
          </cell>
          <cell r="G21">
            <v>0.51409283803575168</v>
          </cell>
          <cell r="H21">
            <v>0.65142143068963099</v>
          </cell>
          <cell r="I21">
            <v>0.76586192456786373</v>
          </cell>
          <cell r="J21">
            <v>0.85169229497653831</v>
          </cell>
          <cell r="K21">
            <v>0.91021300207336175</v>
          </cell>
          <cell r="L21">
            <v>0.94678844400887652</v>
          </cell>
          <cell r="M21">
            <v>0.96788966051013492</v>
          </cell>
          <cell r="N21">
            <v>0.97919388363580917</v>
          </cell>
          <cell r="O21">
            <v>0.98484599519864635</v>
          </cell>
          <cell r="P21">
            <v>0.98749542249372613</v>
          </cell>
          <cell r="Q21">
            <v>0.98866428747684965</v>
          </cell>
          <cell r="R21">
            <v>0.98915131455315108</v>
          </cell>
          <cell r="S21">
            <v>0.98934356208327012</v>
          </cell>
          <cell r="T21">
            <v>0.98941565490706473</v>
          </cell>
          <cell r="U21">
            <v>0.98944140234413425</v>
          </cell>
          <cell r="V21">
            <v>0.9894501798794989</v>
          </cell>
          <cell r="W21">
            <v>0.98945304211929175</v>
          </cell>
          <cell r="X21"/>
        </row>
        <row r="22">
          <cell r="B22" t="str">
            <v>ClothesWasher - New</v>
          </cell>
          <cell r="C22" t="str">
            <v>LO2Slow</v>
          </cell>
          <cell r="D22">
            <v>2.5643970768378654E-3</v>
          </cell>
          <cell r="E22">
            <v>7.6904586297764643E-3</v>
          </cell>
          <cell r="F22">
            <v>1.6792013047419844E-2</v>
          </cell>
          <cell r="G22">
            <v>3.15969387774655E-2</v>
          </cell>
          <cell r="H22">
            <v>5.406874819795171E-2</v>
          </cell>
          <cell r="I22">
            <v>8.6253181011834101E-2</v>
          </cell>
          <cell r="J22">
            <v>0.1300328481838382</v>
          </cell>
          <cell r="K22">
            <v>0.18678710893858319</v>
          </cell>
          <cell r="L22">
            <v>0.2569823480072907</v>
          </cell>
          <cell r="M22">
            <v>0.33975920985004748</v>
          </cell>
          <cell r="N22">
            <v>0.43262946935754232</v>
          </cell>
          <cell r="O22">
            <v>0.53142594003645804</v>
          </cell>
          <cell r="P22">
            <v>0.63063487292644704</v>
          </cell>
          <cell r="Q22">
            <v>0.7241560234206913</v>
          </cell>
          <cell r="R22">
            <v>0.80638203131755359</v>
          </cell>
          <cell r="S22">
            <v>0.87331559734491926</v>
          </cell>
          <cell r="T22">
            <v>0.92334516248836807</v>
          </cell>
          <cell r="U22">
            <v>0.95737002770730018</v>
          </cell>
          <cell r="V22">
            <v>0.97821608704807483</v>
          </cell>
          <cell r="W22">
            <v>0.98821608704807484</v>
          </cell>
          <cell r="X22"/>
        </row>
        <row r="23">
          <cell r="B23" t="str">
            <v>ClothesWasher - NR</v>
          </cell>
          <cell r="C23" t="str">
            <v>LO2Slow</v>
          </cell>
          <cell r="D23">
            <v>2.5643970768378654E-3</v>
          </cell>
          <cell r="E23">
            <v>7.6904586297764643E-3</v>
          </cell>
          <cell r="F23">
            <v>1.6792013047419844E-2</v>
          </cell>
          <cell r="G23">
            <v>3.15969387774655E-2</v>
          </cell>
          <cell r="H23">
            <v>5.406874819795171E-2</v>
          </cell>
          <cell r="I23">
            <v>8.6253181011834101E-2</v>
          </cell>
          <cell r="J23">
            <v>0.1300328481838382</v>
          </cell>
          <cell r="K23">
            <v>0.18678710893858319</v>
          </cell>
          <cell r="L23">
            <v>0.2569823480072907</v>
          </cell>
          <cell r="M23">
            <v>0.33975920985004748</v>
          </cell>
          <cell r="N23">
            <v>0.43262946935754232</v>
          </cell>
          <cell r="O23">
            <v>0.53142594003645804</v>
          </cell>
          <cell r="P23">
            <v>0.63063487292644704</v>
          </cell>
          <cell r="Q23">
            <v>0.7241560234206913</v>
          </cell>
          <cell r="R23">
            <v>0.80638203131755359</v>
          </cell>
          <cell r="S23">
            <v>0.87331559734491926</v>
          </cell>
          <cell r="T23">
            <v>0.92334516248836807</v>
          </cell>
          <cell r="U23">
            <v>0.95737002770730018</v>
          </cell>
          <cell r="V23">
            <v>0.97821608704807483</v>
          </cell>
          <cell r="W23">
            <v>0.98821608704807484</v>
          </cell>
          <cell r="X23"/>
        </row>
        <row r="24">
          <cell r="B24" t="str">
            <v>GFHX - New</v>
          </cell>
          <cell r="C24" t="str">
            <v>LO2Slow</v>
          </cell>
          <cell r="D24">
            <v>2.5643970768378654E-3</v>
          </cell>
          <cell r="E24">
            <v>7.6904586297764643E-3</v>
          </cell>
          <cell r="F24">
            <v>1.6792013047419844E-2</v>
          </cell>
          <cell r="G24">
            <v>3.15969387774655E-2</v>
          </cell>
          <cell r="H24">
            <v>5.406874819795171E-2</v>
          </cell>
          <cell r="I24">
            <v>8.6253181011834101E-2</v>
          </cell>
          <cell r="J24">
            <v>0.1300328481838382</v>
          </cell>
          <cell r="K24">
            <v>0.18678710893858319</v>
          </cell>
          <cell r="L24">
            <v>0.2569823480072907</v>
          </cell>
          <cell r="M24">
            <v>0.33975920985004748</v>
          </cell>
          <cell r="N24">
            <v>0.43262946935754232</v>
          </cell>
          <cell r="O24">
            <v>0.53142594003645804</v>
          </cell>
          <cell r="P24">
            <v>0.63063487292644704</v>
          </cell>
          <cell r="Q24">
            <v>0.7241560234206913</v>
          </cell>
          <cell r="R24">
            <v>0.80638203131755359</v>
          </cell>
          <cell r="S24">
            <v>0.87331559734491926</v>
          </cell>
          <cell r="T24">
            <v>0.92334516248836807</v>
          </cell>
          <cell r="U24">
            <v>0.95737002770730018</v>
          </cell>
          <cell r="V24">
            <v>0.97821608704807483</v>
          </cell>
          <cell r="W24">
            <v>0.98821608704807484</v>
          </cell>
          <cell r="X24"/>
        </row>
        <row r="25">
          <cell r="B25" t="str">
            <v>Showerhead - New</v>
          </cell>
          <cell r="C25" t="str">
            <v>LO20Fast</v>
          </cell>
          <cell r="D25">
            <v>0.22119921692859512</v>
          </cell>
          <cell r="E25">
            <v>0.39346934028736658</v>
          </cell>
          <cell r="F25">
            <v>0.52763344725898531</v>
          </cell>
          <cell r="G25">
            <v>0.63212055882855767</v>
          </cell>
          <cell r="H25">
            <v>0.71349520313980985</v>
          </cell>
          <cell r="I25">
            <v>0.77686983985157021</v>
          </cell>
          <cell r="J25">
            <v>0.82622605654955483</v>
          </cell>
          <cell r="K25">
            <v>0.8646647167633873</v>
          </cell>
          <cell r="L25">
            <v>0.89460077543813565</v>
          </cell>
          <cell r="M25">
            <v>0.91791500137610116</v>
          </cell>
          <cell r="N25">
            <v>0.93607213879329243</v>
          </cell>
          <cell r="O25">
            <v>0.95021293163213605</v>
          </cell>
          <cell r="P25">
            <v>0.96122579216827797</v>
          </cell>
          <cell r="Q25">
            <v>0.96980261657768152</v>
          </cell>
          <cell r="R25">
            <v>0.97648225414399092</v>
          </cell>
          <cell r="S25">
            <v>0.98168436111126578</v>
          </cell>
          <cell r="T25">
            <v>0.98573576609100078</v>
          </cell>
          <cell r="U25">
            <v>0.98889100346175773</v>
          </cell>
          <cell r="V25">
            <v>0.99134830479687941</v>
          </cell>
          <cell r="W25">
            <v>0.99326205300091452</v>
          </cell>
          <cell r="X25"/>
        </row>
        <row r="26">
          <cell r="B26" t="str">
            <v>Showerhead - Retro</v>
          </cell>
          <cell r="C26" t="str">
            <v>Retro20Fast</v>
          </cell>
          <cell r="D26">
            <v>0.22119921692859512</v>
          </cell>
          <cell r="E26">
            <v>0.17227012335877145</v>
          </cell>
          <cell r="F26">
            <v>0.13416410697161874</v>
          </cell>
          <cell r="G26">
            <v>0.10448711156957236</v>
          </cell>
          <cell r="H26">
            <v>8.1374644311252187E-2</v>
          </cell>
          <cell r="I26">
            <v>6.3374636711760357E-2</v>
          </cell>
          <cell r="J26">
            <v>4.9356216697984623E-2</v>
          </cell>
          <cell r="K26">
            <v>3.8438660213832465E-2</v>
          </cell>
          <cell r="L26">
            <v>2.9936058674748356E-2</v>
          </cell>
          <cell r="M26">
            <v>2.3314225937965505E-2</v>
          </cell>
          <cell r="N26">
            <v>1.8157137417191271E-2</v>
          </cell>
          <cell r="O26">
            <v>1.4140792838843619E-2</v>
          </cell>
          <cell r="P26">
            <v>1.1012860536141922E-2</v>
          </cell>
          <cell r="Q26">
            <v>8.5768244094035495E-3</v>
          </cell>
          <cell r="R26">
            <v>6.6796375663094043E-3</v>
          </cell>
          <cell r="S26">
            <v>5.2021069672748554E-3</v>
          </cell>
          <cell r="T26">
            <v>4.051404979734996E-3</v>
          </cell>
          <cell r="U26">
            <v>3.1552373707569581E-3</v>
          </cell>
          <cell r="V26">
            <v>2.4573013351216755E-3</v>
          </cell>
          <cell r="W26">
            <v>1.913748204035115E-3</v>
          </cell>
          <cell r="X26"/>
        </row>
        <row r="27">
          <cell r="B27" t="str">
            <v>HPWH - New</v>
          </cell>
          <cell r="C27" t="str">
            <v>LO2Slow</v>
          </cell>
          <cell r="D27">
            <v>2.5643970768378654E-3</v>
          </cell>
          <cell r="E27">
            <v>7.6904586297764643E-3</v>
          </cell>
          <cell r="F27">
            <v>1.6792013047419844E-2</v>
          </cell>
          <cell r="G27">
            <v>3.15969387774655E-2</v>
          </cell>
          <cell r="H27">
            <v>5.406874819795171E-2</v>
          </cell>
          <cell r="I27">
            <v>8.6253181011834101E-2</v>
          </cell>
          <cell r="J27">
            <v>0.1300328481838382</v>
          </cell>
          <cell r="K27">
            <v>0.18678710893858319</v>
          </cell>
          <cell r="L27">
            <v>0.2569823480072907</v>
          </cell>
          <cell r="M27">
            <v>0.33975920985004748</v>
          </cell>
          <cell r="N27">
            <v>0.43262946935754232</v>
          </cell>
          <cell r="O27">
            <v>0.53142594003645804</v>
          </cell>
          <cell r="P27">
            <v>0.63063487292644704</v>
          </cell>
          <cell r="Q27">
            <v>0.7241560234206913</v>
          </cell>
          <cell r="R27">
            <v>0.80638203131755359</v>
          </cell>
          <cell r="S27">
            <v>0.87331559734491926</v>
          </cell>
          <cell r="T27">
            <v>0.92334516248836807</v>
          </cell>
          <cell r="U27">
            <v>0.95737002770730018</v>
          </cell>
          <cell r="V27">
            <v>0.97821608704807483</v>
          </cell>
          <cell r="W27">
            <v>0.98821608704807484</v>
          </cell>
          <cell r="X27"/>
        </row>
        <row r="28">
          <cell r="B28" t="str">
            <v>HPWH - NR</v>
          </cell>
          <cell r="C28" t="str">
            <v>LO2Slow</v>
          </cell>
          <cell r="D28">
            <v>2.5643970768378654E-3</v>
          </cell>
          <cell r="E28">
            <v>7.6904586297764643E-3</v>
          </cell>
          <cell r="F28">
            <v>1.6792013047419844E-2</v>
          </cell>
          <cell r="G28">
            <v>3.15969387774655E-2</v>
          </cell>
          <cell r="H28">
            <v>5.406874819795171E-2</v>
          </cell>
          <cell r="I28">
            <v>8.6253181011834101E-2</v>
          </cell>
          <cell r="J28">
            <v>0.1300328481838382</v>
          </cell>
          <cell r="K28">
            <v>0.18678710893858319</v>
          </cell>
          <cell r="L28">
            <v>0.2569823480072907</v>
          </cell>
          <cell r="M28">
            <v>0.33975920985004748</v>
          </cell>
          <cell r="N28">
            <v>0.43262946935754232</v>
          </cell>
          <cell r="O28">
            <v>0.53142594003645804</v>
          </cell>
          <cell r="P28">
            <v>0.63063487292644704</v>
          </cell>
          <cell r="Q28">
            <v>0.7241560234206913</v>
          </cell>
          <cell r="R28">
            <v>0.80638203131755359</v>
          </cell>
          <cell r="S28">
            <v>0.87331559734491926</v>
          </cell>
          <cell r="T28">
            <v>0.92334516248836807</v>
          </cell>
          <cell r="U28">
            <v>0.95737002770730018</v>
          </cell>
          <cell r="V28">
            <v>0.97821608704807483</v>
          </cell>
          <cell r="W28">
            <v>0.98821608704807484</v>
          </cell>
          <cell r="X28"/>
        </row>
        <row r="29">
          <cell r="B29" t="str">
            <v>EVSE - NR</v>
          </cell>
          <cell r="C29" t="str">
            <v>LO12Med</v>
          </cell>
          <cell r="D29">
            <v>0.10937459468255628</v>
          </cell>
          <cell r="E29">
            <v>0.23437459468255628</v>
          </cell>
          <cell r="F29">
            <v>0.37109283803575166</v>
          </cell>
          <cell r="G29">
            <v>0.51409283803575168</v>
          </cell>
          <cell r="H29">
            <v>0.65142143068963099</v>
          </cell>
          <cell r="I29">
            <v>0.76586192456786373</v>
          </cell>
          <cell r="J29">
            <v>0.85169229497653831</v>
          </cell>
          <cell r="K29">
            <v>0.91021300207336175</v>
          </cell>
          <cell r="L29">
            <v>0.94678844400887652</v>
          </cell>
          <cell r="M29">
            <v>0.96788966051013492</v>
          </cell>
          <cell r="N29">
            <v>0.97919388363580917</v>
          </cell>
          <cell r="O29">
            <v>0.98484599519864635</v>
          </cell>
          <cell r="P29">
            <v>0.98749542249372613</v>
          </cell>
          <cell r="Q29">
            <v>0.98866428747684965</v>
          </cell>
          <cell r="R29">
            <v>0.98915131455315108</v>
          </cell>
          <cell r="S29">
            <v>0.98934356208327012</v>
          </cell>
          <cell r="T29">
            <v>0.98941565490706473</v>
          </cell>
          <cell r="U29">
            <v>0.98944140234413425</v>
          </cell>
          <cell r="V29">
            <v>0.9894501798794989</v>
          </cell>
          <cell r="W29">
            <v>0.98945304211929175</v>
          </cell>
          <cell r="X29"/>
        </row>
        <row r="30">
          <cell r="B30" t="str">
            <v>Clothes Dryer - New</v>
          </cell>
          <cell r="C30" t="str">
            <v>LOMax60</v>
          </cell>
          <cell r="D30">
            <v>0.01</v>
          </cell>
          <cell r="E30">
            <v>2.98E-2</v>
          </cell>
          <cell r="F30">
            <v>5.8906E-2</v>
          </cell>
          <cell r="G30">
            <v>9.6549759999999998E-2</v>
          </cell>
          <cell r="H30">
            <v>0.14172227199999998</v>
          </cell>
          <cell r="I30">
            <v>0.19035800991999999</v>
          </cell>
          <cell r="J30">
            <v>0.2362377226912</v>
          </cell>
          <cell r="K30">
            <v>0.279517585072032</v>
          </cell>
          <cell r="L30">
            <v>0.32034492191795017</v>
          </cell>
          <cell r="M30">
            <v>0.35885870967593297</v>
          </cell>
          <cell r="N30">
            <v>0.39519004946096342</v>
          </cell>
          <cell r="O30">
            <v>0.42946261332484215</v>
          </cell>
          <cell r="P30">
            <v>0.46179306523643443</v>
          </cell>
          <cell r="Q30">
            <v>0.49229145820636983</v>
          </cell>
          <cell r="R30">
            <v>0.5210616089080089</v>
          </cell>
          <cell r="S30">
            <v>0.54820145106988838</v>
          </cell>
          <cell r="T30">
            <v>0.57380336884259475</v>
          </cell>
          <cell r="U30">
            <v>0.59795451127484767</v>
          </cell>
          <cell r="V30">
            <v>0.62073708896927293</v>
          </cell>
          <cell r="W30">
            <v>0.6422286539276808</v>
          </cell>
          <cell r="X30"/>
        </row>
        <row r="31">
          <cell r="B31" t="str">
            <v>Clothes Dryer - NR</v>
          </cell>
          <cell r="C31" t="str">
            <v>LOMax60</v>
          </cell>
          <cell r="D31">
            <v>0.01</v>
          </cell>
          <cell r="E31">
            <v>2.98E-2</v>
          </cell>
          <cell r="F31">
            <v>5.8906E-2</v>
          </cell>
          <cell r="G31">
            <v>9.6549759999999998E-2</v>
          </cell>
          <cell r="H31">
            <v>0.14172227199999998</v>
          </cell>
          <cell r="I31">
            <v>0.19035800991999999</v>
          </cell>
          <cell r="J31">
            <v>0.2362377226912</v>
          </cell>
          <cell r="K31">
            <v>0.279517585072032</v>
          </cell>
          <cell r="L31">
            <v>0.32034492191795017</v>
          </cell>
          <cell r="M31">
            <v>0.35885870967593297</v>
          </cell>
          <cell r="N31">
            <v>0.39519004946096342</v>
          </cell>
          <cell r="O31">
            <v>0.42946261332484215</v>
          </cell>
          <cell r="P31">
            <v>0.46179306523643443</v>
          </cell>
          <cell r="Q31">
            <v>0.49229145820636983</v>
          </cell>
          <cell r="R31">
            <v>0.5210616089080089</v>
          </cell>
          <cell r="S31">
            <v>0.54820145106988838</v>
          </cell>
          <cell r="T31">
            <v>0.57380336884259475</v>
          </cell>
          <cell r="U31">
            <v>0.59795451127484767</v>
          </cell>
          <cell r="V31">
            <v>0.62073708896927293</v>
          </cell>
          <cell r="W31">
            <v>0.6422286539276808</v>
          </cell>
          <cell r="X31"/>
        </row>
        <row r="32">
          <cell r="B32" t="str">
            <v>Refrigerator - New</v>
          </cell>
          <cell r="C32" t="str">
            <v>LO2Slow</v>
          </cell>
          <cell r="D32">
            <v>2.5643970768378654E-3</v>
          </cell>
          <cell r="E32">
            <v>7.6904586297764643E-3</v>
          </cell>
          <cell r="F32">
            <v>1.6792013047419844E-2</v>
          </cell>
          <cell r="G32">
            <v>3.15969387774655E-2</v>
          </cell>
          <cell r="H32">
            <v>5.406874819795171E-2</v>
          </cell>
          <cell r="I32">
            <v>8.6253181011834101E-2</v>
          </cell>
          <cell r="J32">
            <v>0.1300328481838382</v>
          </cell>
          <cell r="K32">
            <v>0.18678710893858319</v>
          </cell>
          <cell r="L32">
            <v>0.2569823480072907</v>
          </cell>
          <cell r="M32">
            <v>0.33975920985004748</v>
          </cell>
          <cell r="N32">
            <v>0.43262946935754232</v>
          </cell>
          <cell r="O32">
            <v>0.53142594003645804</v>
          </cell>
          <cell r="P32">
            <v>0.63063487292644704</v>
          </cell>
          <cell r="Q32">
            <v>0.7241560234206913</v>
          </cell>
          <cell r="R32">
            <v>0.80638203131755359</v>
          </cell>
          <cell r="S32">
            <v>0.87331559734491926</v>
          </cell>
          <cell r="T32">
            <v>0.92334516248836807</v>
          </cell>
          <cell r="U32">
            <v>0.95737002770730018</v>
          </cell>
          <cell r="V32">
            <v>0.97821608704807483</v>
          </cell>
          <cell r="W32">
            <v>0.98821608704807484</v>
          </cell>
          <cell r="X32"/>
        </row>
        <row r="33">
          <cell r="B33" t="str">
            <v>Refrigerator - NR</v>
          </cell>
          <cell r="C33" t="str">
            <v>LO2Slow</v>
          </cell>
          <cell r="D33">
            <v>2.5643970768378654E-3</v>
          </cell>
          <cell r="E33">
            <v>7.6904586297764643E-3</v>
          </cell>
          <cell r="F33">
            <v>1.6792013047419844E-2</v>
          </cell>
          <cell r="G33">
            <v>3.15969387774655E-2</v>
          </cell>
          <cell r="H33">
            <v>5.406874819795171E-2</v>
          </cell>
          <cell r="I33">
            <v>8.6253181011834101E-2</v>
          </cell>
          <cell r="J33">
            <v>0.1300328481838382</v>
          </cell>
          <cell r="K33">
            <v>0.18678710893858319</v>
          </cell>
          <cell r="L33">
            <v>0.2569823480072907</v>
          </cell>
          <cell r="M33">
            <v>0.33975920985004748</v>
          </cell>
          <cell r="N33">
            <v>0.43262946935754232</v>
          </cell>
          <cell r="O33">
            <v>0.53142594003645804</v>
          </cell>
          <cell r="P33">
            <v>0.63063487292644704</v>
          </cell>
          <cell r="Q33">
            <v>0.7241560234206913</v>
          </cell>
          <cell r="R33">
            <v>0.80638203131755359</v>
          </cell>
          <cell r="S33">
            <v>0.87331559734491926</v>
          </cell>
          <cell r="T33">
            <v>0.92334516248836807</v>
          </cell>
          <cell r="U33">
            <v>0.95737002770730018</v>
          </cell>
          <cell r="V33">
            <v>0.97821608704807483</v>
          </cell>
          <cell r="W33">
            <v>0.98821608704807484</v>
          </cell>
          <cell r="X33"/>
        </row>
        <row r="34">
          <cell r="B34" t="str">
            <v>Freezer - New</v>
          </cell>
          <cell r="C34" t="str">
            <v>LO2Slow</v>
          </cell>
          <cell r="D34">
            <v>2.5643970768378654E-3</v>
          </cell>
          <cell r="E34">
            <v>7.6904586297764643E-3</v>
          </cell>
          <cell r="F34">
            <v>1.6792013047419844E-2</v>
          </cell>
          <cell r="G34">
            <v>3.15969387774655E-2</v>
          </cell>
          <cell r="H34">
            <v>5.406874819795171E-2</v>
          </cell>
          <cell r="I34">
            <v>8.6253181011834101E-2</v>
          </cell>
          <cell r="J34">
            <v>0.1300328481838382</v>
          </cell>
          <cell r="K34">
            <v>0.18678710893858319</v>
          </cell>
          <cell r="L34">
            <v>0.2569823480072907</v>
          </cell>
          <cell r="M34">
            <v>0.33975920985004748</v>
          </cell>
          <cell r="N34">
            <v>0.43262946935754232</v>
          </cell>
          <cell r="O34">
            <v>0.53142594003645804</v>
          </cell>
          <cell r="P34">
            <v>0.63063487292644704</v>
          </cell>
          <cell r="Q34">
            <v>0.7241560234206913</v>
          </cell>
          <cell r="R34">
            <v>0.80638203131755359</v>
          </cell>
          <cell r="S34">
            <v>0.87331559734491926</v>
          </cell>
          <cell r="T34">
            <v>0.92334516248836807</v>
          </cell>
          <cell r="U34">
            <v>0.95737002770730018</v>
          </cell>
          <cell r="V34">
            <v>0.97821608704807483</v>
          </cell>
          <cell r="W34">
            <v>0.98821608704807484</v>
          </cell>
          <cell r="X34"/>
        </row>
        <row r="35">
          <cell r="B35" t="str">
            <v>Freezer - NR</v>
          </cell>
          <cell r="C35" t="str">
            <v>LO2Slow</v>
          </cell>
          <cell r="D35">
            <v>2.5643970768378654E-3</v>
          </cell>
          <cell r="E35">
            <v>7.6904586297764643E-3</v>
          </cell>
          <cell r="F35">
            <v>1.6792013047419844E-2</v>
          </cell>
          <cell r="G35">
            <v>3.15969387774655E-2</v>
          </cell>
          <cell r="H35">
            <v>5.406874819795171E-2</v>
          </cell>
          <cell r="I35">
            <v>8.6253181011834101E-2</v>
          </cell>
          <cell r="J35">
            <v>0.1300328481838382</v>
          </cell>
          <cell r="K35">
            <v>0.18678710893858319</v>
          </cell>
          <cell r="L35">
            <v>0.2569823480072907</v>
          </cell>
          <cell r="M35">
            <v>0.33975920985004748</v>
          </cell>
          <cell r="N35">
            <v>0.43262946935754232</v>
          </cell>
          <cell r="O35">
            <v>0.53142594003645804</v>
          </cell>
          <cell r="P35">
            <v>0.63063487292644704</v>
          </cell>
          <cell r="Q35">
            <v>0.7241560234206913</v>
          </cell>
          <cell r="R35">
            <v>0.80638203131755359</v>
          </cell>
          <cell r="S35">
            <v>0.87331559734491926</v>
          </cell>
          <cell r="T35">
            <v>0.92334516248836807</v>
          </cell>
          <cell r="U35">
            <v>0.95737002770730018</v>
          </cell>
          <cell r="V35">
            <v>0.97821608704807483</v>
          </cell>
          <cell r="W35">
            <v>0.98821608704807484</v>
          </cell>
          <cell r="X35"/>
        </row>
        <row r="36">
          <cell r="B36" t="str">
            <v>SHW - New</v>
          </cell>
          <cell r="C36" t="str">
            <v>LOMax60</v>
          </cell>
          <cell r="D36">
            <v>0.01</v>
          </cell>
          <cell r="E36">
            <v>2.98E-2</v>
          </cell>
          <cell r="F36">
            <v>5.8906E-2</v>
          </cell>
          <cell r="G36">
            <v>9.6549759999999998E-2</v>
          </cell>
          <cell r="H36">
            <v>0.14172227199999998</v>
          </cell>
          <cell r="I36">
            <v>0.19035800991999999</v>
          </cell>
          <cell r="J36">
            <v>0.2362377226912</v>
          </cell>
          <cell r="K36">
            <v>0.279517585072032</v>
          </cell>
          <cell r="L36">
            <v>0.32034492191795017</v>
          </cell>
          <cell r="M36">
            <v>0.35885870967593297</v>
          </cell>
          <cell r="N36">
            <v>0.39519004946096342</v>
          </cell>
          <cell r="O36">
            <v>0.42946261332484215</v>
          </cell>
          <cell r="P36">
            <v>0.46179306523643443</v>
          </cell>
          <cell r="Q36">
            <v>0.49229145820636983</v>
          </cell>
          <cell r="R36">
            <v>0.5210616089080089</v>
          </cell>
          <cell r="S36">
            <v>0.54820145106988838</v>
          </cell>
          <cell r="T36">
            <v>0.57380336884259475</v>
          </cell>
          <cell r="U36">
            <v>0.59795451127484767</v>
          </cell>
          <cell r="V36">
            <v>0.62073708896927293</v>
          </cell>
          <cell r="W36">
            <v>0.6422286539276808</v>
          </cell>
          <cell r="X36"/>
        </row>
        <row r="37">
          <cell r="B37" t="str">
            <v>SHW - NR</v>
          </cell>
          <cell r="C37" t="str">
            <v>LOMax60</v>
          </cell>
          <cell r="D37">
            <v>0.01</v>
          </cell>
          <cell r="E37">
            <v>2.98E-2</v>
          </cell>
          <cell r="F37">
            <v>5.8906E-2</v>
          </cell>
          <cell r="G37">
            <v>9.6549759999999998E-2</v>
          </cell>
          <cell r="H37">
            <v>0.14172227199999998</v>
          </cell>
          <cell r="I37">
            <v>0.19035800991999999</v>
          </cell>
          <cell r="J37">
            <v>0.2362377226912</v>
          </cell>
          <cell r="K37">
            <v>0.279517585072032</v>
          </cell>
          <cell r="L37">
            <v>0.32034492191795017</v>
          </cell>
          <cell r="M37">
            <v>0.35885870967593297</v>
          </cell>
          <cell r="N37">
            <v>0.39519004946096342</v>
          </cell>
          <cell r="O37">
            <v>0.42946261332484215</v>
          </cell>
          <cell r="P37">
            <v>0.46179306523643443</v>
          </cell>
          <cell r="Q37">
            <v>0.49229145820636983</v>
          </cell>
          <cell r="R37">
            <v>0.5210616089080089</v>
          </cell>
          <cell r="S37">
            <v>0.54820145106988838</v>
          </cell>
          <cell r="T37">
            <v>0.57380336884259475</v>
          </cell>
          <cell r="U37">
            <v>0.59795451127484767</v>
          </cell>
          <cell r="V37">
            <v>0.62073708896927293</v>
          </cell>
          <cell r="W37">
            <v>0.6422286539276808</v>
          </cell>
          <cell r="X37"/>
        </row>
        <row r="38">
          <cell r="B38" t="str">
            <v>SHW - Retro</v>
          </cell>
          <cell r="C38" t="str">
            <v>RetroMax60</v>
          </cell>
          <cell r="D38">
            <v>0.01</v>
          </cell>
          <cell r="E38">
            <v>1.9799999999999998E-2</v>
          </cell>
          <cell r="F38">
            <v>2.9106E-2</v>
          </cell>
          <cell r="G38">
            <v>3.7643759999999998E-2</v>
          </cell>
          <cell r="H38">
            <v>4.5172511999999984E-2</v>
          </cell>
          <cell r="I38">
            <v>4.8635737920000005E-2</v>
          </cell>
          <cell r="J38">
            <v>4.587971277120001E-2</v>
          </cell>
          <cell r="K38">
            <v>4.3279862380832007E-2</v>
          </cell>
          <cell r="L38">
            <v>4.0827336845918161E-2</v>
          </cell>
          <cell r="M38">
            <v>3.8513787757982809E-2</v>
          </cell>
          <cell r="N38">
            <v>3.6331339785030448E-2</v>
          </cell>
          <cell r="O38">
            <v>3.4272563863878724E-2</v>
          </cell>
          <cell r="P38">
            <v>3.2330451911592284E-2</v>
          </cell>
          <cell r="Q38">
            <v>3.0498392969935395E-2</v>
          </cell>
          <cell r="R38">
            <v>2.8770150701639075E-2</v>
          </cell>
          <cell r="S38">
            <v>2.7139842161879479E-2</v>
          </cell>
          <cell r="T38">
            <v>2.5601917772706373E-2</v>
          </cell>
          <cell r="U38">
            <v>2.4151142432252914E-2</v>
          </cell>
          <cell r="V38">
            <v>2.2782577694425266E-2</v>
          </cell>
          <cell r="W38">
            <v>2.1491564958407872E-2</v>
          </cell>
          <cell r="X38"/>
        </row>
        <row r="39">
          <cell r="B39" t="str">
            <v>PV - New</v>
          </cell>
          <cell r="C39" t="str">
            <v>LOMax60</v>
          </cell>
          <cell r="D39">
            <v>0.01</v>
          </cell>
          <cell r="E39">
            <v>2.98E-2</v>
          </cell>
          <cell r="F39">
            <v>5.8906E-2</v>
          </cell>
          <cell r="G39">
            <v>9.6549759999999998E-2</v>
          </cell>
          <cell r="H39">
            <v>0.14172227199999998</v>
          </cell>
          <cell r="I39">
            <v>0.19035800991999999</v>
          </cell>
          <cell r="J39">
            <v>0.2362377226912</v>
          </cell>
          <cell r="K39">
            <v>0.279517585072032</v>
          </cell>
          <cell r="L39">
            <v>0.32034492191795017</v>
          </cell>
          <cell r="M39">
            <v>0.35885870967593297</v>
          </cell>
          <cell r="N39">
            <v>0.39519004946096342</v>
          </cell>
          <cell r="O39">
            <v>0.42946261332484215</v>
          </cell>
          <cell r="P39">
            <v>0.46179306523643443</v>
          </cell>
          <cell r="Q39">
            <v>0.49229145820636983</v>
          </cell>
          <cell r="R39">
            <v>0.5210616089080089</v>
          </cell>
          <cell r="S39">
            <v>0.54820145106988838</v>
          </cell>
          <cell r="T39">
            <v>0.57380336884259475</v>
          </cell>
          <cell r="U39">
            <v>0.59795451127484767</v>
          </cell>
          <cell r="V39">
            <v>0.62073708896927293</v>
          </cell>
          <cell r="W39">
            <v>0.6422286539276808</v>
          </cell>
          <cell r="X39"/>
        </row>
        <row r="40">
          <cell r="B40" t="str">
            <v>PV - Retro</v>
          </cell>
          <cell r="C40" t="str">
            <v>RetroMax60</v>
          </cell>
          <cell r="D40">
            <v>0.01</v>
          </cell>
          <cell r="E40">
            <v>1.9799999999999998E-2</v>
          </cell>
          <cell r="F40">
            <v>2.9106E-2</v>
          </cell>
          <cell r="G40">
            <v>3.7643759999999998E-2</v>
          </cell>
          <cell r="H40">
            <v>4.5172511999999984E-2</v>
          </cell>
          <cell r="I40">
            <v>4.8635737920000005E-2</v>
          </cell>
          <cell r="J40">
            <v>4.587971277120001E-2</v>
          </cell>
          <cell r="K40">
            <v>4.3279862380832007E-2</v>
          </cell>
          <cell r="L40">
            <v>4.0827336845918161E-2</v>
          </cell>
          <cell r="M40">
            <v>3.8513787757982809E-2</v>
          </cell>
          <cell r="N40">
            <v>3.6331339785030448E-2</v>
          </cell>
          <cell r="O40">
            <v>3.4272563863878724E-2</v>
          </cell>
          <cell r="P40">
            <v>3.2330451911592284E-2</v>
          </cell>
          <cell r="Q40">
            <v>3.0498392969935395E-2</v>
          </cell>
          <cell r="R40">
            <v>2.8770150701639075E-2</v>
          </cell>
          <cell r="S40">
            <v>2.7139842161879479E-2</v>
          </cell>
          <cell r="T40">
            <v>2.5601917772706373E-2</v>
          </cell>
          <cell r="U40">
            <v>2.4151142432252914E-2</v>
          </cell>
          <cell r="V40">
            <v>2.2782577694425266E-2</v>
          </cell>
          <cell r="W40">
            <v>2.1491564958407872E-2</v>
          </cell>
          <cell r="X40"/>
        </row>
        <row r="41">
          <cell r="B41" t="str">
            <v>Electric Oven - New</v>
          </cell>
          <cell r="C41" t="str">
            <v>LO20Fast</v>
          </cell>
          <cell r="D41">
            <v>0.22119921692859512</v>
          </cell>
          <cell r="E41">
            <v>0.39346934028736658</v>
          </cell>
          <cell r="F41">
            <v>0.52763344725898531</v>
          </cell>
          <cell r="G41">
            <v>0.63212055882855767</v>
          </cell>
          <cell r="H41">
            <v>0.71349520313980985</v>
          </cell>
          <cell r="I41">
            <v>0.77686983985157021</v>
          </cell>
          <cell r="J41">
            <v>0.82622605654955483</v>
          </cell>
          <cell r="K41">
            <v>0.8646647167633873</v>
          </cell>
          <cell r="L41">
            <v>0.89460077543813565</v>
          </cell>
          <cell r="M41">
            <v>0.91791500137610116</v>
          </cell>
          <cell r="N41">
            <v>0.93607213879329243</v>
          </cell>
          <cell r="O41">
            <v>0.95021293163213605</v>
          </cell>
          <cell r="P41">
            <v>0.96122579216827797</v>
          </cell>
          <cell r="Q41">
            <v>0.96980261657768152</v>
          </cell>
          <cell r="R41">
            <v>0.97648225414399092</v>
          </cell>
          <cell r="S41">
            <v>0.98168436111126578</v>
          </cell>
          <cell r="T41">
            <v>0.98573576609100078</v>
          </cell>
          <cell r="U41">
            <v>0.98889100346175773</v>
          </cell>
          <cell r="V41">
            <v>0.99134830479687941</v>
          </cell>
          <cell r="W41">
            <v>0.99326205300091452</v>
          </cell>
          <cell r="X41"/>
        </row>
        <row r="42">
          <cell r="B42" t="str">
            <v>Electric Oven - NR</v>
          </cell>
          <cell r="C42" t="str">
            <v>LO20Fast</v>
          </cell>
          <cell r="D42">
            <v>0.22119921692859512</v>
          </cell>
          <cell r="E42">
            <v>0.39346934028736658</v>
          </cell>
          <cell r="F42">
            <v>0.52763344725898531</v>
          </cell>
          <cell r="G42">
            <v>0.63212055882855767</v>
          </cell>
          <cell r="H42">
            <v>0.71349520313980985</v>
          </cell>
          <cell r="I42">
            <v>0.77686983985157021</v>
          </cell>
          <cell r="J42">
            <v>0.82622605654955483</v>
          </cell>
          <cell r="K42">
            <v>0.8646647167633873</v>
          </cell>
          <cell r="L42">
            <v>0.89460077543813565</v>
          </cell>
          <cell r="M42">
            <v>0.91791500137610116</v>
          </cell>
          <cell r="N42">
            <v>0.93607213879329243</v>
          </cell>
          <cell r="O42">
            <v>0.95021293163213605</v>
          </cell>
          <cell r="P42">
            <v>0.96122579216827797</v>
          </cell>
          <cell r="Q42">
            <v>0.96980261657768152</v>
          </cell>
          <cell r="R42">
            <v>0.97648225414399092</v>
          </cell>
          <cell r="S42">
            <v>0.98168436111126578</v>
          </cell>
          <cell r="T42">
            <v>0.98573576609100078</v>
          </cell>
          <cell r="U42">
            <v>0.98889100346175773</v>
          </cell>
          <cell r="V42">
            <v>0.99134830479687941</v>
          </cell>
          <cell r="W42">
            <v>0.99326205300091452</v>
          </cell>
          <cell r="X42"/>
        </row>
        <row r="43">
          <cell r="B43" t="str">
            <v>Microwave - New</v>
          </cell>
          <cell r="C43" t="str">
            <v>LO12Med</v>
          </cell>
          <cell r="D43">
            <v>0.10937459468255628</v>
          </cell>
          <cell r="E43">
            <v>0.23437459468255628</v>
          </cell>
          <cell r="F43">
            <v>0.37109283803575166</v>
          </cell>
          <cell r="G43">
            <v>0.51409283803575168</v>
          </cell>
          <cell r="H43">
            <v>0.65142143068963099</v>
          </cell>
          <cell r="I43">
            <v>0.76586192456786373</v>
          </cell>
          <cell r="J43">
            <v>0.85169229497653831</v>
          </cell>
          <cell r="K43">
            <v>0.91021300207336175</v>
          </cell>
          <cell r="L43">
            <v>0.94678844400887652</v>
          </cell>
          <cell r="M43">
            <v>0.96788966051013492</v>
          </cell>
          <cell r="N43">
            <v>0.97919388363580917</v>
          </cell>
          <cell r="O43">
            <v>0.98484599519864635</v>
          </cell>
          <cell r="P43">
            <v>0.98749542249372613</v>
          </cell>
          <cell r="Q43">
            <v>0.98866428747684965</v>
          </cell>
          <cell r="R43">
            <v>0.98915131455315108</v>
          </cell>
          <cell r="S43">
            <v>0.98934356208327012</v>
          </cell>
          <cell r="T43">
            <v>0.98941565490706473</v>
          </cell>
          <cell r="U43">
            <v>0.98944140234413425</v>
          </cell>
          <cell r="V43">
            <v>0.9894501798794989</v>
          </cell>
          <cell r="W43">
            <v>0.98945304211929175</v>
          </cell>
          <cell r="X43"/>
        </row>
        <row r="44">
          <cell r="B44" t="str">
            <v>Microwave - NR</v>
          </cell>
          <cell r="C44" t="str">
            <v>LO12Med</v>
          </cell>
          <cell r="D44">
            <v>0.10937459468255628</v>
          </cell>
          <cell r="E44">
            <v>0.23437459468255628</v>
          </cell>
          <cell r="F44">
            <v>0.37109283803575166</v>
          </cell>
          <cell r="G44">
            <v>0.51409283803575168</v>
          </cell>
          <cell r="H44">
            <v>0.65142143068963099</v>
          </cell>
          <cell r="I44">
            <v>0.76586192456786373</v>
          </cell>
          <cell r="J44">
            <v>0.85169229497653831</v>
          </cell>
          <cell r="K44">
            <v>0.91021300207336175</v>
          </cell>
          <cell r="L44">
            <v>0.94678844400887652</v>
          </cell>
          <cell r="M44">
            <v>0.96788966051013492</v>
          </cell>
          <cell r="N44">
            <v>0.97919388363580917</v>
          </cell>
          <cell r="O44">
            <v>0.98484599519864635</v>
          </cell>
          <cell r="P44">
            <v>0.98749542249372613</v>
          </cell>
          <cell r="Q44">
            <v>0.98866428747684965</v>
          </cell>
          <cell r="R44">
            <v>0.98915131455315108</v>
          </cell>
          <cell r="S44">
            <v>0.98934356208327012</v>
          </cell>
          <cell r="T44">
            <v>0.98941565490706473</v>
          </cell>
          <cell r="U44">
            <v>0.98944140234413425</v>
          </cell>
          <cell r="V44">
            <v>0.9894501798794989</v>
          </cell>
          <cell r="W44">
            <v>0.98945304211929175</v>
          </cell>
          <cell r="X44"/>
        </row>
        <row r="45">
          <cell r="B45" t="str">
            <v>Monitor - New</v>
          </cell>
          <cell r="C45" t="str">
            <v>LO50Fast</v>
          </cell>
          <cell r="D45">
            <v>0.45</v>
          </cell>
          <cell r="E45">
            <v>0.66</v>
          </cell>
          <cell r="F45">
            <v>0.8</v>
          </cell>
          <cell r="G45">
            <v>0.89</v>
          </cell>
          <cell r="H45">
            <v>0.94954036260972652</v>
          </cell>
          <cell r="I45">
            <v>0.97931054391458994</v>
          </cell>
          <cell r="J45">
            <v>0.99254173560564019</v>
          </cell>
          <cell r="K45">
            <v>0.99783421228206048</v>
          </cell>
          <cell r="L45">
            <v>0.99975874925530417</v>
          </cell>
          <cell r="M45">
            <v>1.0004002615797187</v>
          </cell>
          <cell r="N45">
            <v>1.0005976499872309</v>
          </cell>
          <cell r="O45">
            <v>1.0006540466750915</v>
          </cell>
          <cell r="P45">
            <v>1.0006690857918545</v>
          </cell>
          <cell r="Q45">
            <v>1.000672845571045</v>
          </cell>
          <cell r="R45">
            <v>1.0006737302249724</v>
          </cell>
          <cell r="S45">
            <v>1.0006739268147338</v>
          </cell>
          <cell r="T45">
            <v>1.0006739682020522</v>
          </cell>
          <cell r="U45">
            <v>1.0006739764795158</v>
          </cell>
          <cell r="V45">
            <v>1.0006739780561755</v>
          </cell>
          <cell r="W45">
            <v>1.0006739783428409</v>
          </cell>
          <cell r="X45"/>
        </row>
        <row r="46">
          <cell r="B46" t="str">
            <v>Monitor - NR</v>
          </cell>
          <cell r="C46" t="str">
            <v>LO50Fast</v>
          </cell>
          <cell r="D46">
            <v>0.45</v>
          </cell>
          <cell r="E46">
            <v>0.66</v>
          </cell>
          <cell r="F46">
            <v>0.8</v>
          </cell>
          <cell r="G46">
            <v>0.89</v>
          </cell>
          <cell r="H46">
            <v>0.94954036260972652</v>
          </cell>
          <cell r="I46">
            <v>0.97931054391458994</v>
          </cell>
          <cell r="J46">
            <v>0.99254173560564019</v>
          </cell>
          <cell r="K46">
            <v>0.99783421228206048</v>
          </cell>
          <cell r="L46">
            <v>0.99975874925530417</v>
          </cell>
          <cell r="M46">
            <v>1.0004002615797187</v>
          </cell>
          <cell r="N46">
            <v>1.0005976499872309</v>
          </cell>
          <cell r="O46">
            <v>1.0006540466750915</v>
          </cell>
          <cell r="P46">
            <v>1.0006690857918545</v>
          </cell>
          <cell r="Q46">
            <v>1.000672845571045</v>
          </cell>
          <cell r="R46">
            <v>1.0006737302249724</v>
          </cell>
          <cell r="S46">
            <v>1.0006739268147338</v>
          </cell>
          <cell r="T46">
            <v>1.0006739682020522</v>
          </cell>
          <cell r="U46">
            <v>1.0006739764795158</v>
          </cell>
          <cell r="V46">
            <v>1.0006739780561755</v>
          </cell>
          <cell r="W46">
            <v>1.0006739783428409</v>
          </cell>
          <cell r="X46"/>
        </row>
        <row r="47">
          <cell r="B47" t="str">
            <v>Desktop - New</v>
          </cell>
          <cell r="C47" t="str">
            <v>LO50Fast</v>
          </cell>
          <cell r="D47">
            <v>0.45</v>
          </cell>
          <cell r="E47">
            <v>0.66</v>
          </cell>
          <cell r="F47">
            <v>0.8</v>
          </cell>
          <cell r="G47">
            <v>0.89</v>
          </cell>
          <cell r="H47">
            <v>0.94954036260972652</v>
          </cell>
          <cell r="I47">
            <v>0.97931054391458994</v>
          </cell>
          <cell r="J47">
            <v>0.99254173560564019</v>
          </cell>
          <cell r="K47">
            <v>0.99783421228206048</v>
          </cell>
          <cell r="L47">
            <v>0.99975874925530417</v>
          </cell>
          <cell r="M47">
            <v>1.0004002615797187</v>
          </cell>
          <cell r="N47">
            <v>1.0005976499872309</v>
          </cell>
          <cell r="O47">
            <v>1.0006540466750915</v>
          </cell>
          <cell r="P47">
            <v>1.0006690857918545</v>
          </cell>
          <cell r="Q47">
            <v>1.000672845571045</v>
          </cell>
          <cell r="R47">
            <v>1.0006737302249724</v>
          </cell>
          <cell r="S47">
            <v>1.0006739268147338</v>
          </cell>
          <cell r="T47">
            <v>1.0006739682020522</v>
          </cell>
          <cell r="U47">
            <v>1.0006739764795158</v>
          </cell>
          <cell r="V47">
            <v>1.0006739780561755</v>
          </cell>
          <cell r="W47">
            <v>1.0006739783428409</v>
          </cell>
          <cell r="X47"/>
        </row>
        <row r="48">
          <cell r="B48" t="str">
            <v>Desktop - NR</v>
          </cell>
          <cell r="C48" t="str">
            <v>LO50Fast</v>
          </cell>
          <cell r="D48">
            <v>0.45</v>
          </cell>
          <cell r="E48">
            <v>0.66</v>
          </cell>
          <cell r="F48">
            <v>0.8</v>
          </cell>
          <cell r="G48">
            <v>0.89</v>
          </cell>
          <cell r="H48">
            <v>0.94954036260972652</v>
          </cell>
          <cell r="I48">
            <v>0.97931054391458994</v>
          </cell>
          <cell r="J48">
            <v>0.99254173560564019</v>
          </cell>
          <cell r="K48">
            <v>0.99783421228206048</v>
          </cell>
          <cell r="L48">
            <v>0.99975874925530417</v>
          </cell>
          <cell r="M48">
            <v>1.0004002615797187</v>
          </cell>
          <cell r="N48">
            <v>1.0005976499872309</v>
          </cell>
          <cell r="O48">
            <v>1.0006540466750915</v>
          </cell>
          <cell r="P48">
            <v>1.0006690857918545</v>
          </cell>
          <cell r="Q48">
            <v>1.000672845571045</v>
          </cell>
          <cell r="R48">
            <v>1.0006737302249724</v>
          </cell>
          <cell r="S48">
            <v>1.0006739268147338</v>
          </cell>
          <cell r="T48">
            <v>1.0006739682020522</v>
          </cell>
          <cell r="U48">
            <v>1.0006739764795158</v>
          </cell>
          <cell r="V48">
            <v>1.0006739780561755</v>
          </cell>
          <cell r="W48">
            <v>1.0006739783428409</v>
          </cell>
          <cell r="X48"/>
        </row>
        <row r="49">
          <cell r="B49" t="str">
            <v>Laptop - New</v>
          </cell>
          <cell r="C49" t="str">
            <v>LO50Fast</v>
          </cell>
          <cell r="D49">
            <v>0.45</v>
          </cell>
          <cell r="E49">
            <v>0.66</v>
          </cell>
          <cell r="F49">
            <v>0.8</v>
          </cell>
          <cell r="G49">
            <v>0.89</v>
          </cell>
          <cell r="H49">
            <v>0.94954036260972652</v>
          </cell>
          <cell r="I49">
            <v>0.97931054391458994</v>
          </cell>
          <cell r="J49">
            <v>0.99254173560564019</v>
          </cell>
          <cell r="K49">
            <v>0.99783421228206048</v>
          </cell>
          <cell r="L49">
            <v>0.99975874925530417</v>
          </cell>
          <cell r="M49">
            <v>1.0004002615797187</v>
          </cell>
          <cell r="N49">
            <v>1.0005976499872309</v>
          </cell>
          <cell r="O49">
            <v>1.0006540466750915</v>
          </cell>
          <cell r="P49">
            <v>1.0006690857918545</v>
          </cell>
          <cell r="Q49">
            <v>1.000672845571045</v>
          </cell>
          <cell r="R49">
            <v>1.0006737302249724</v>
          </cell>
          <cell r="S49">
            <v>1.0006739268147338</v>
          </cell>
          <cell r="T49">
            <v>1.0006739682020522</v>
          </cell>
          <cell r="U49">
            <v>1.0006739764795158</v>
          </cell>
          <cell r="V49">
            <v>1.0006739780561755</v>
          </cell>
          <cell r="W49">
            <v>1.0006739783428409</v>
          </cell>
          <cell r="X49"/>
        </row>
        <row r="50">
          <cell r="B50" t="str">
            <v>Laptop - NR</v>
          </cell>
          <cell r="C50" t="str">
            <v>LO50Fast</v>
          </cell>
          <cell r="D50">
            <v>0.45</v>
          </cell>
          <cell r="E50">
            <v>0.66</v>
          </cell>
          <cell r="F50">
            <v>0.8</v>
          </cell>
          <cell r="G50">
            <v>0.89</v>
          </cell>
          <cell r="H50">
            <v>0.94954036260972652</v>
          </cell>
          <cell r="I50">
            <v>0.97931054391458994</v>
          </cell>
          <cell r="J50">
            <v>0.99254173560564019</v>
          </cell>
          <cell r="K50">
            <v>0.99783421228206048</v>
          </cell>
          <cell r="L50">
            <v>0.99975874925530417</v>
          </cell>
          <cell r="M50">
            <v>1.0004002615797187</v>
          </cell>
          <cell r="N50">
            <v>1.0005976499872309</v>
          </cell>
          <cell r="O50">
            <v>1.0006540466750915</v>
          </cell>
          <cell r="P50">
            <v>1.0006690857918545</v>
          </cell>
          <cell r="Q50">
            <v>1.000672845571045</v>
          </cell>
          <cell r="R50">
            <v>1.0006737302249724</v>
          </cell>
          <cell r="S50">
            <v>1.0006739268147338</v>
          </cell>
          <cell r="T50">
            <v>1.0006739682020522</v>
          </cell>
          <cell r="U50">
            <v>1.0006739764795158</v>
          </cell>
          <cell r="V50">
            <v>1.0006739780561755</v>
          </cell>
          <cell r="W50">
            <v>1.0006739783428409</v>
          </cell>
          <cell r="X50"/>
        </row>
        <row r="51">
          <cell r="B51" t="str">
            <v>Computer - New</v>
          </cell>
          <cell r="C51" t="str">
            <v>LO50Fast</v>
          </cell>
          <cell r="D51">
            <v>0.45</v>
          </cell>
          <cell r="E51">
            <v>0.66</v>
          </cell>
          <cell r="F51">
            <v>0.8</v>
          </cell>
          <cell r="G51">
            <v>0.89</v>
          </cell>
          <cell r="H51">
            <v>0.94954036260972652</v>
          </cell>
          <cell r="I51">
            <v>0.97931054391458994</v>
          </cell>
          <cell r="J51">
            <v>0.99254173560564019</v>
          </cell>
          <cell r="K51">
            <v>0.99783421228206048</v>
          </cell>
          <cell r="L51">
            <v>0.99975874925530417</v>
          </cell>
          <cell r="M51">
            <v>1.0004002615797187</v>
          </cell>
          <cell r="N51">
            <v>1.0005976499872309</v>
          </cell>
          <cell r="O51">
            <v>1.0006540466750915</v>
          </cell>
          <cell r="P51">
            <v>1.0006690857918545</v>
          </cell>
          <cell r="Q51">
            <v>1.000672845571045</v>
          </cell>
          <cell r="R51">
            <v>1.0006737302249724</v>
          </cell>
          <cell r="S51">
            <v>1.0006739268147338</v>
          </cell>
          <cell r="T51">
            <v>1.0006739682020522</v>
          </cell>
          <cell r="U51">
            <v>1.0006739764795158</v>
          </cell>
          <cell r="V51">
            <v>1.0006739780561755</v>
          </cell>
          <cell r="W51">
            <v>1.0006739783428409</v>
          </cell>
          <cell r="X51"/>
        </row>
        <row r="52">
          <cell r="B52" t="str">
            <v>Computer - NR</v>
          </cell>
          <cell r="C52" t="str">
            <v>LO50Fast</v>
          </cell>
          <cell r="D52">
            <v>0.45</v>
          </cell>
          <cell r="E52">
            <v>0.66</v>
          </cell>
          <cell r="F52">
            <v>0.8</v>
          </cell>
          <cell r="G52">
            <v>0.89</v>
          </cell>
          <cell r="H52">
            <v>0.94954036260972652</v>
          </cell>
          <cell r="I52">
            <v>0.97931054391458994</v>
          </cell>
          <cell r="J52">
            <v>0.99254173560564019</v>
          </cell>
          <cell r="K52">
            <v>0.99783421228206048</v>
          </cell>
          <cell r="L52">
            <v>0.99975874925530417</v>
          </cell>
          <cell r="M52">
            <v>1.0004002615797187</v>
          </cell>
          <cell r="N52">
            <v>1.0005976499872309</v>
          </cell>
          <cell r="O52">
            <v>1.0006540466750915</v>
          </cell>
          <cell r="P52">
            <v>1.0006690857918545</v>
          </cell>
          <cell r="Q52">
            <v>1.000672845571045</v>
          </cell>
          <cell r="R52">
            <v>1.0006737302249724</v>
          </cell>
          <cell r="S52">
            <v>1.0006739268147338</v>
          </cell>
          <cell r="T52">
            <v>1.0006739682020522</v>
          </cell>
          <cell r="U52">
            <v>1.0006739764795158</v>
          </cell>
          <cell r="V52">
            <v>1.0006739780561755</v>
          </cell>
          <cell r="W52">
            <v>1.0006739783428409</v>
          </cell>
          <cell r="X52"/>
        </row>
        <row r="53">
          <cell r="B53" t="str">
            <v>ASHP - New</v>
          </cell>
          <cell r="C53" t="str">
            <v>LO6Slow</v>
          </cell>
          <cell r="D53">
            <v>4.2999999999999997E-2</v>
          </cell>
          <cell r="E53">
            <v>9.5797142280278316E-2</v>
          </cell>
          <cell r="F53">
            <v>0.16040539374775648</v>
          </cell>
          <cell r="G53">
            <v>0.23540539374775649</v>
          </cell>
          <cell r="H53">
            <v>0.32095239121809005</v>
          </cell>
          <cell r="I53">
            <v>0.42096711425629652</v>
          </cell>
          <cell r="J53">
            <v>0.53068481860864725</v>
          </cell>
          <cell r="K53">
            <v>0.642769203728351</v>
          </cell>
          <cell r="L53">
            <v>0.74839528535557953</v>
          </cell>
          <cell r="M53">
            <v>0.83918984935345187</v>
          </cell>
          <cell r="N53">
            <v>0.90945051634530116</v>
          </cell>
          <cell r="O53">
            <v>0.9576688767502457</v>
          </cell>
          <cell r="P53">
            <v>0.9865231113648858</v>
          </cell>
          <cell r="Q53">
            <v>1.0012970762896924</v>
          </cell>
          <cell r="R53">
            <v>1.0076356106578106</v>
          </cell>
          <cell r="S53">
            <v>1.0098624683774413</v>
          </cell>
          <cell r="T53">
            <v>1.0104871783970797</v>
          </cell>
          <cell r="U53">
            <v>1.010623336815976</v>
          </cell>
          <cell r="V53">
            <v>1.0106457174525985</v>
          </cell>
          <cell r="W53">
            <v>1.0106484038909742</v>
          </cell>
          <cell r="X53"/>
        </row>
        <row r="54">
          <cell r="B54" t="str">
            <v>ASHP - NR</v>
          </cell>
          <cell r="C54" t="str">
            <v>LO6Slow</v>
          </cell>
          <cell r="D54">
            <v>4.2999999999999997E-2</v>
          </cell>
          <cell r="E54">
            <v>9.5797142280278316E-2</v>
          </cell>
          <cell r="F54">
            <v>0.16040539374775648</v>
          </cell>
          <cell r="G54">
            <v>0.23540539374775649</v>
          </cell>
          <cell r="H54">
            <v>0.32095239121809005</v>
          </cell>
          <cell r="I54">
            <v>0.42096711425629652</v>
          </cell>
          <cell r="J54">
            <v>0.53068481860864725</v>
          </cell>
          <cell r="K54">
            <v>0.642769203728351</v>
          </cell>
          <cell r="L54">
            <v>0.74839528535557953</v>
          </cell>
          <cell r="M54">
            <v>0.83918984935345187</v>
          </cell>
          <cell r="N54">
            <v>0.90945051634530116</v>
          </cell>
          <cell r="O54">
            <v>0.9576688767502457</v>
          </cell>
          <cell r="P54">
            <v>0.9865231113648858</v>
          </cell>
          <cell r="Q54">
            <v>1.0012970762896924</v>
          </cell>
          <cell r="R54">
            <v>1.0076356106578106</v>
          </cell>
          <cell r="S54">
            <v>1.0098624683774413</v>
          </cell>
          <cell r="T54">
            <v>1.0104871783970797</v>
          </cell>
          <cell r="U54">
            <v>1.010623336815976</v>
          </cell>
          <cell r="V54">
            <v>1.0106457174525985</v>
          </cell>
          <cell r="W54">
            <v>1.0106484038909742</v>
          </cell>
          <cell r="X54"/>
        </row>
        <row r="55">
          <cell r="B55" t="str">
            <v>HP - Retro</v>
          </cell>
          <cell r="C55" t="str">
            <v>Retro12Med</v>
          </cell>
          <cell r="D55">
            <v>0.10937459468255628</v>
          </cell>
          <cell r="E55">
            <v>0.125</v>
          </cell>
          <cell r="F55">
            <v>0.13671824335319538</v>
          </cell>
          <cell r="G55">
            <v>0.14299999999999999</v>
          </cell>
          <cell r="H55">
            <v>0.13732859265387931</v>
          </cell>
          <cell r="I55">
            <v>0.11444049387823274</v>
          </cell>
          <cell r="J55">
            <v>8.5830370408674583E-2</v>
          </cell>
          <cell r="K55">
            <v>5.8520707096823443E-2</v>
          </cell>
          <cell r="L55">
            <v>3.6575441935514763E-2</v>
          </cell>
          <cell r="M55">
            <v>2.1101216501258402E-2</v>
          </cell>
          <cell r="N55">
            <v>1.1304223125674251E-2</v>
          </cell>
          <cell r="O55">
            <v>5.652111562837181E-3</v>
          </cell>
          <cell r="P55">
            <v>2.6494272950797759E-3</v>
          </cell>
          <cell r="Q55">
            <v>1.1688649831235187E-3</v>
          </cell>
          <cell r="R55">
            <v>4.8702707630143838E-4</v>
          </cell>
          <cell r="S55">
            <v>1.922475301190385E-4</v>
          </cell>
          <cell r="T55">
            <v>7.2092823794611682E-5</v>
          </cell>
          <cell r="U55">
            <v>2.5747437069512102E-5</v>
          </cell>
          <cell r="V55">
            <v>8.7775353646568632E-6</v>
          </cell>
          <cell r="W55">
            <v>2.8622397928446119E-6</v>
          </cell>
          <cell r="X55"/>
        </row>
        <row r="56">
          <cell r="B56" t="str">
            <v>DHP - New</v>
          </cell>
          <cell r="C56" t="str">
            <v>LO6Slow</v>
          </cell>
          <cell r="D56">
            <v>4.2999999999999997E-2</v>
          </cell>
          <cell r="E56">
            <v>9.5797142280278316E-2</v>
          </cell>
          <cell r="F56">
            <v>0.16040539374775648</v>
          </cell>
          <cell r="G56">
            <v>0.23540539374775649</v>
          </cell>
          <cell r="H56">
            <v>0.32095239121809005</v>
          </cell>
          <cell r="I56">
            <v>0.42096711425629652</v>
          </cell>
          <cell r="J56">
            <v>0.53068481860864725</v>
          </cell>
          <cell r="K56">
            <v>0.642769203728351</v>
          </cell>
          <cell r="L56">
            <v>0.74839528535557953</v>
          </cell>
          <cell r="M56">
            <v>0.83918984935345187</v>
          </cell>
          <cell r="N56">
            <v>0.90945051634530116</v>
          </cell>
          <cell r="O56">
            <v>0.9576688767502457</v>
          </cell>
          <cell r="P56">
            <v>0.9865231113648858</v>
          </cell>
          <cell r="Q56">
            <v>1.0012970762896924</v>
          </cell>
          <cell r="R56">
            <v>1.0076356106578106</v>
          </cell>
          <cell r="S56">
            <v>1.0098624683774413</v>
          </cell>
          <cell r="T56">
            <v>1.0104871783970797</v>
          </cell>
          <cell r="U56">
            <v>1.010623336815976</v>
          </cell>
          <cell r="V56">
            <v>1.0106457174525985</v>
          </cell>
          <cell r="W56">
            <v>1.0106484038909742</v>
          </cell>
          <cell r="X56"/>
        </row>
        <row r="57">
          <cell r="B57" t="str">
            <v>DHP - NR</v>
          </cell>
          <cell r="C57" t="str">
            <v>LO6Slow</v>
          </cell>
          <cell r="D57">
            <v>4.2999999999999997E-2</v>
          </cell>
          <cell r="E57">
            <v>9.5797142280278316E-2</v>
          </cell>
          <cell r="F57">
            <v>0.16040539374775648</v>
          </cell>
          <cell r="G57">
            <v>0.23540539374775649</v>
          </cell>
          <cell r="H57">
            <v>0.32095239121809005</v>
          </cell>
          <cell r="I57">
            <v>0.42096711425629652</v>
          </cell>
          <cell r="J57">
            <v>0.53068481860864725</v>
          </cell>
          <cell r="K57">
            <v>0.642769203728351</v>
          </cell>
          <cell r="L57">
            <v>0.74839528535557953</v>
          </cell>
          <cell r="M57">
            <v>0.83918984935345187</v>
          </cell>
          <cell r="N57">
            <v>0.90945051634530116</v>
          </cell>
          <cell r="O57">
            <v>0.9576688767502457</v>
          </cell>
          <cell r="P57">
            <v>0.9865231113648858</v>
          </cell>
          <cell r="Q57">
            <v>1.0012970762896924</v>
          </cell>
          <cell r="R57">
            <v>1.0076356106578106</v>
          </cell>
          <cell r="S57">
            <v>1.0098624683774413</v>
          </cell>
          <cell r="T57">
            <v>1.0104871783970797</v>
          </cell>
          <cell r="U57">
            <v>1.010623336815976</v>
          </cell>
          <cell r="V57">
            <v>1.0106457174525985</v>
          </cell>
          <cell r="W57">
            <v>1.0106484038909742</v>
          </cell>
          <cell r="X57"/>
        </row>
        <row r="58">
          <cell r="B58" t="str">
            <v>DHP - Retro</v>
          </cell>
          <cell r="C58" t="str">
            <v>Retro6Slow</v>
          </cell>
          <cell r="D58">
            <v>4.2999999999999997E-2</v>
          </cell>
          <cell r="E58">
            <v>5.279714228027832E-2</v>
          </cell>
          <cell r="F58">
            <v>6.4608251467478173E-2</v>
          </cell>
          <cell r="G58">
            <v>7.4999999999999997E-2</v>
          </cell>
          <cell r="H58">
            <v>8.5546997470333563E-2</v>
          </cell>
          <cell r="I58">
            <v>0.10001472303820647</v>
          </cell>
          <cell r="J58">
            <v>0.10971770435235073</v>
          </cell>
          <cell r="K58">
            <v>0.11208438511970376</v>
          </cell>
          <cell r="L58">
            <v>0.10562608162722853</v>
          </cell>
          <cell r="M58">
            <v>9.0794563997872335E-2</v>
          </cell>
          <cell r="N58">
            <v>7.0260666991849297E-2</v>
          </cell>
          <cell r="O58">
            <v>4.8218360404944538E-2</v>
          </cell>
          <cell r="P58">
            <v>2.8854234614640095E-2</v>
          </cell>
          <cell r="Q58">
            <v>1.4773964924806759E-2</v>
          </cell>
          <cell r="R58">
            <v>6.3385343681182649E-3</v>
          </cell>
          <cell r="S58">
            <v>2.2268577196306039E-3</v>
          </cell>
          <cell r="T58">
            <v>6.2471001963848583E-4</v>
          </cell>
          <cell r="U58">
            <v>1.3615841889635938E-4</v>
          </cell>
          <cell r="V58">
            <v>2.2380636622298944E-5</v>
          </cell>
          <cell r="W58">
            <v>2.68643837586513E-6</v>
          </cell>
          <cell r="X58"/>
        </row>
        <row r="59">
          <cell r="B59" t="str">
            <v>Duct Sealing - New</v>
          </cell>
          <cell r="C59" t="str">
            <v>LO12Med</v>
          </cell>
          <cell r="D59">
            <v>0.10937459468255628</v>
          </cell>
          <cell r="E59">
            <v>0.23437459468255628</v>
          </cell>
          <cell r="F59">
            <v>0.37109283803575166</v>
          </cell>
          <cell r="G59">
            <v>0.51409283803575168</v>
          </cell>
          <cell r="H59">
            <v>0.65142143068963099</v>
          </cell>
          <cell r="I59">
            <v>0.76586192456786373</v>
          </cell>
          <cell r="J59">
            <v>0.85169229497653831</v>
          </cell>
          <cell r="K59">
            <v>0.91021300207336175</v>
          </cell>
          <cell r="L59">
            <v>0.94678844400887652</v>
          </cell>
          <cell r="M59">
            <v>0.96788966051013492</v>
          </cell>
          <cell r="N59">
            <v>0.97919388363580917</v>
          </cell>
          <cell r="O59">
            <v>0.98484599519864635</v>
          </cell>
          <cell r="P59">
            <v>0.98749542249372613</v>
          </cell>
          <cell r="Q59">
            <v>0.98866428747684965</v>
          </cell>
          <cell r="R59">
            <v>0.98915131455315108</v>
          </cell>
          <cell r="S59">
            <v>0.98934356208327012</v>
          </cell>
          <cell r="T59">
            <v>0.98941565490706473</v>
          </cell>
          <cell r="U59">
            <v>0.98944140234413425</v>
          </cell>
          <cell r="V59">
            <v>0.9894501798794989</v>
          </cell>
          <cell r="W59">
            <v>0.98945304211929175</v>
          </cell>
          <cell r="X59"/>
        </row>
        <row r="60">
          <cell r="B60" t="str">
            <v>Duct Sealing - Retro</v>
          </cell>
          <cell r="C60" t="str">
            <v>Retro12Med</v>
          </cell>
          <cell r="D60">
            <v>0.10937459468255628</v>
          </cell>
          <cell r="E60">
            <v>0.125</v>
          </cell>
          <cell r="F60">
            <v>0.13671824335319538</v>
          </cell>
          <cell r="G60">
            <v>0.14299999999999999</v>
          </cell>
          <cell r="H60">
            <v>0.13732859265387931</v>
          </cell>
          <cell r="I60">
            <v>0.11444049387823274</v>
          </cell>
          <cell r="J60">
            <v>8.5830370408674583E-2</v>
          </cell>
          <cell r="K60">
            <v>5.8520707096823443E-2</v>
          </cell>
          <cell r="L60">
            <v>3.6575441935514763E-2</v>
          </cell>
          <cell r="M60">
            <v>2.1101216501258402E-2</v>
          </cell>
          <cell r="N60">
            <v>1.1304223125674251E-2</v>
          </cell>
          <cell r="O60">
            <v>5.652111562837181E-3</v>
          </cell>
          <cell r="P60">
            <v>2.6494272950797759E-3</v>
          </cell>
          <cell r="Q60">
            <v>1.1688649831235187E-3</v>
          </cell>
          <cell r="R60">
            <v>4.8702707630143838E-4</v>
          </cell>
          <cell r="S60">
            <v>1.922475301190385E-4</v>
          </cell>
          <cell r="T60">
            <v>7.2092823794611682E-5</v>
          </cell>
          <cell r="U60">
            <v>2.5747437069512102E-5</v>
          </cell>
          <cell r="V60">
            <v>8.7775353646568632E-6</v>
          </cell>
          <cell r="W60">
            <v>2.8622397928446119E-6</v>
          </cell>
          <cell r="X60"/>
        </row>
        <row r="61">
          <cell r="B61" t="str">
            <v>WIFI enabled tstats - New</v>
          </cell>
          <cell r="C61" t="str">
            <v>LO12Med</v>
          </cell>
          <cell r="D61">
            <v>0.10937459468255628</v>
          </cell>
          <cell r="E61">
            <v>0.23437459468255628</v>
          </cell>
          <cell r="F61">
            <v>0.37109283803575166</v>
          </cell>
          <cell r="G61">
            <v>0.51409283803575168</v>
          </cell>
          <cell r="H61">
            <v>0.65142143068963099</v>
          </cell>
          <cell r="I61">
            <v>0.76586192456786373</v>
          </cell>
          <cell r="J61">
            <v>0.85169229497653831</v>
          </cell>
          <cell r="K61">
            <v>0.91021300207336175</v>
          </cell>
          <cell r="L61">
            <v>0.94678844400887652</v>
          </cell>
          <cell r="M61">
            <v>0.96788966051013492</v>
          </cell>
          <cell r="N61">
            <v>0.97919388363580917</v>
          </cell>
          <cell r="O61">
            <v>0.98484599519864635</v>
          </cell>
          <cell r="P61">
            <v>0.98749542249372613</v>
          </cell>
          <cell r="Q61">
            <v>0.98866428747684965</v>
          </cell>
          <cell r="R61">
            <v>0.98915131455315108</v>
          </cell>
          <cell r="S61">
            <v>0.98934356208327012</v>
          </cell>
          <cell r="T61">
            <v>0.98941565490706473</v>
          </cell>
          <cell r="U61">
            <v>0.98944140234413425</v>
          </cell>
          <cell r="V61">
            <v>0.9894501798794989</v>
          </cell>
          <cell r="W61">
            <v>0.98945304211929175</v>
          </cell>
          <cell r="X61"/>
        </row>
        <row r="62">
          <cell r="B62" t="str">
            <v>WIFI enabled tstats - Retro</v>
          </cell>
          <cell r="C62" t="str">
            <v>Retro12Med</v>
          </cell>
          <cell r="D62">
            <v>0.10937459468255628</v>
          </cell>
          <cell r="E62">
            <v>0.125</v>
          </cell>
          <cell r="F62">
            <v>0.13671824335319538</v>
          </cell>
          <cell r="G62">
            <v>0.14299999999999999</v>
          </cell>
          <cell r="H62">
            <v>0.13732859265387931</v>
          </cell>
          <cell r="I62">
            <v>0.11444049387823274</v>
          </cell>
          <cell r="J62">
            <v>8.5830370408674583E-2</v>
          </cell>
          <cell r="K62">
            <v>5.8520707096823443E-2</v>
          </cell>
          <cell r="L62">
            <v>3.6575441935514763E-2</v>
          </cell>
          <cell r="M62">
            <v>2.1101216501258402E-2</v>
          </cell>
          <cell r="N62">
            <v>1.1304223125674251E-2</v>
          </cell>
          <cell r="O62">
            <v>5.652111562837181E-3</v>
          </cell>
          <cell r="P62">
            <v>2.6494272950797759E-3</v>
          </cell>
          <cell r="Q62">
            <v>1.1688649831235187E-3</v>
          </cell>
          <cell r="R62">
            <v>4.8702707630143838E-4</v>
          </cell>
          <cell r="S62">
            <v>1.922475301190385E-4</v>
          </cell>
          <cell r="T62">
            <v>7.2092823794611682E-5</v>
          </cell>
          <cell r="U62">
            <v>2.5747437069512102E-5</v>
          </cell>
          <cell r="V62">
            <v>8.7775353646568632E-6</v>
          </cell>
          <cell r="W62">
            <v>2.8622397928446119E-6</v>
          </cell>
          <cell r="X62"/>
        </row>
        <row r="63">
          <cell r="B63" t="str">
            <v>Combo DHP/HPWH units - New</v>
          </cell>
          <cell r="C63" t="str">
            <v>LO6Slow</v>
          </cell>
          <cell r="D63">
            <v>4.2999999999999997E-2</v>
          </cell>
          <cell r="E63">
            <v>9.5797142280278316E-2</v>
          </cell>
          <cell r="F63">
            <v>0.16040539374775648</v>
          </cell>
          <cell r="G63">
            <v>0.23540539374775649</v>
          </cell>
          <cell r="H63">
            <v>0.32095239121809005</v>
          </cell>
          <cell r="I63">
            <v>0.42096711425629652</v>
          </cell>
          <cell r="J63">
            <v>0.53068481860864725</v>
          </cell>
          <cell r="K63">
            <v>0.642769203728351</v>
          </cell>
          <cell r="L63">
            <v>0.74839528535557953</v>
          </cell>
          <cell r="M63">
            <v>0.83918984935345187</v>
          </cell>
          <cell r="N63">
            <v>0.90945051634530116</v>
          </cell>
          <cell r="O63">
            <v>0.9576688767502457</v>
          </cell>
          <cell r="P63">
            <v>0.9865231113648858</v>
          </cell>
          <cell r="Q63">
            <v>1.0012970762896924</v>
          </cell>
          <cell r="R63">
            <v>1.0076356106578106</v>
          </cell>
          <cell r="S63">
            <v>1.0098624683774413</v>
          </cell>
          <cell r="T63">
            <v>1.0104871783970797</v>
          </cell>
          <cell r="U63">
            <v>1.010623336815976</v>
          </cell>
          <cell r="V63">
            <v>1.0106457174525985</v>
          </cell>
          <cell r="W63">
            <v>1.0106484038909742</v>
          </cell>
          <cell r="X63"/>
        </row>
        <row r="64">
          <cell r="B64" t="str">
            <v>Combo DHP/HPWH units - NR</v>
          </cell>
          <cell r="C64" t="str">
            <v>LO6Slow</v>
          </cell>
          <cell r="D64">
            <v>4.2999999999999997E-2</v>
          </cell>
          <cell r="E64">
            <v>9.5797142280278316E-2</v>
          </cell>
          <cell r="F64">
            <v>0.16040539374775648</v>
          </cell>
          <cell r="G64">
            <v>0.23540539374775649</v>
          </cell>
          <cell r="H64">
            <v>0.32095239121809005</v>
          </cell>
          <cell r="I64">
            <v>0.42096711425629652</v>
          </cell>
          <cell r="J64">
            <v>0.53068481860864725</v>
          </cell>
          <cell r="K64">
            <v>0.642769203728351</v>
          </cell>
          <cell r="L64">
            <v>0.74839528535557953</v>
          </cell>
          <cell r="M64">
            <v>0.83918984935345187</v>
          </cell>
          <cell r="N64">
            <v>0.90945051634530116</v>
          </cell>
          <cell r="O64">
            <v>0.9576688767502457</v>
          </cell>
          <cell r="P64">
            <v>0.9865231113648858</v>
          </cell>
          <cell r="Q64">
            <v>1.0012970762896924</v>
          </cell>
          <cell r="R64">
            <v>1.0076356106578106</v>
          </cell>
          <cell r="S64">
            <v>1.0098624683774413</v>
          </cell>
          <cell r="T64">
            <v>1.0104871783970797</v>
          </cell>
          <cell r="U64">
            <v>1.010623336815976</v>
          </cell>
          <cell r="V64">
            <v>1.0106457174525985</v>
          </cell>
          <cell r="W64">
            <v>1.0106484038909742</v>
          </cell>
          <cell r="X64"/>
        </row>
        <row r="65">
          <cell r="B65" t="str">
            <v>Combo DHP/HPWH units - Retro</v>
          </cell>
          <cell r="C65" t="str">
            <v>Retro6Slow</v>
          </cell>
          <cell r="D65">
            <v>4.2999999999999997E-2</v>
          </cell>
          <cell r="E65">
            <v>5.279714228027832E-2</v>
          </cell>
          <cell r="F65">
            <v>6.4608251467478173E-2</v>
          </cell>
          <cell r="G65">
            <v>7.4999999999999997E-2</v>
          </cell>
          <cell r="H65">
            <v>8.5546997470333563E-2</v>
          </cell>
          <cell r="I65">
            <v>0.10001472303820647</v>
          </cell>
          <cell r="J65">
            <v>0.10971770435235073</v>
          </cell>
          <cell r="K65">
            <v>0.11208438511970376</v>
          </cell>
          <cell r="L65">
            <v>0.10562608162722853</v>
          </cell>
          <cell r="M65">
            <v>9.0794563997872335E-2</v>
          </cell>
          <cell r="N65">
            <v>7.0260666991849297E-2</v>
          </cell>
          <cell r="O65">
            <v>4.8218360404944538E-2</v>
          </cell>
          <cell r="P65">
            <v>2.8854234614640095E-2</v>
          </cell>
          <cell r="Q65">
            <v>1.4773964924806759E-2</v>
          </cell>
          <cell r="R65">
            <v>6.3385343681182649E-3</v>
          </cell>
          <cell r="S65">
            <v>2.2268577196306039E-3</v>
          </cell>
          <cell r="T65">
            <v>6.2471001963848583E-4</v>
          </cell>
          <cell r="U65">
            <v>1.3615841889635938E-4</v>
          </cell>
          <cell r="V65">
            <v>2.2380636622298944E-5</v>
          </cell>
          <cell r="W65">
            <v>2.68643837586513E-6</v>
          </cell>
          <cell r="X65"/>
        </row>
        <row r="66">
          <cell r="B66" t="str">
            <v>Aerator - New</v>
          </cell>
          <cell r="C66" t="str">
            <v>LO6Slow</v>
          </cell>
          <cell r="D66">
            <v>4.2999999999999997E-2</v>
          </cell>
          <cell r="E66">
            <v>9.5797142280278316E-2</v>
          </cell>
          <cell r="F66">
            <v>0.16040539374775648</v>
          </cell>
          <cell r="G66">
            <v>0.23540539374775649</v>
          </cell>
          <cell r="H66">
            <v>0.32095239121809005</v>
          </cell>
          <cell r="I66">
            <v>0.42096711425629652</v>
          </cell>
          <cell r="J66">
            <v>0.53068481860864725</v>
          </cell>
          <cell r="K66">
            <v>0.642769203728351</v>
          </cell>
          <cell r="L66">
            <v>0.74839528535557953</v>
          </cell>
          <cell r="M66">
            <v>0.83918984935345187</v>
          </cell>
          <cell r="N66">
            <v>0.90945051634530116</v>
          </cell>
          <cell r="O66">
            <v>0.9576688767502457</v>
          </cell>
          <cell r="P66">
            <v>0.9865231113648858</v>
          </cell>
          <cell r="Q66">
            <v>1.0012970762896924</v>
          </cell>
          <cell r="R66">
            <v>1.0076356106578106</v>
          </cell>
          <cell r="S66">
            <v>1.0098624683774413</v>
          </cell>
          <cell r="T66">
            <v>1.0104871783970797</v>
          </cell>
          <cell r="U66">
            <v>1.010623336815976</v>
          </cell>
          <cell r="V66">
            <v>1.0106457174525985</v>
          </cell>
          <cell r="W66">
            <v>1.0106484038909742</v>
          </cell>
          <cell r="X66"/>
        </row>
        <row r="67">
          <cell r="B67" t="str">
            <v>Aerator - Retro</v>
          </cell>
          <cell r="C67" t="str">
            <v>Retro6Slow</v>
          </cell>
          <cell r="D67">
            <v>4.2999999999999997E-2</v>
          </cell>
          <cell r="E67">
            <v>5.279714228027832E-2</v>
          </cell>
          <cell r="F67">
            <v>6.4608251467478173E-2</v>
          </cell>
          <cell r="G67">
            <v>7.4999999999999997E-2</v>
          </cell>
          <cell r="H67">
            <v>8.5546997470333563E-2</v>
          </cell>
          <cell r="I67">
            <v>0.10001472303820647</v>
          </cell>
          <cell r="J67">
            <v>0.10971770435235073</v>
          </cell>
          <cell r="K67">
            <v>0.11208438511970376</v>
          </cell>
          <cell r="L67">
            <v>0.10562608162722853</v>
          </cell>
          <cell r="M67">
            <v>9.0794563997872335E-2</v>
          </cell>
          <cell r="N67">
            <v>7.0260666991849297E-2</v>
          </cell>
          <cell r="O67">
            <v>4.8218360404944538E-2</v>
          </cell>
          <cell r="P67">
            <v>2.8854234614640095E-2</v>
          </cell>
          <cell r="Q67">
            <v>1.4773964924806759E-2</v>
          </cell>
          <cell r="R67">
            <v>6.3385343681182649E-3</v>
          </cell>
          <cell r="S67">
            <v>2.2268577196306039E-3</v>
          </cell>
          <cell r="T67">
            <v>6.2471001963848583E-4</v>
          </cell>
          <cell r="U67">
            <v>1.3615841889635938E-4</v>
          </cell>
          <cell r="V67">
            <v>2.2380636622298944E-5</v>
          </cell>
          <cell r="W67">
            <v>2.68643837586513E-6</v>
          </cell>
          <cell r="X67"/>
        </row>
        <row r="68">
          <cell r="B68" t="str">
            <v>Behavior - Retro</v>
          </cell>
          <cell r="C68" t="str">
            <v>Retro6Slow</v>
          </cell>
          <cell r="D68">
            <v>4.2999999999999997E-2</v>
          </cell>
          <cell r="E68">
            <v>5.279714228027832E-2</v>
          </cell>
          <cell r="F68">
            <v>6.4608251467478173E-2</v>
          </cell>
          <cell r="G68">
            <v>7.4999999999999997E-2</v>
          </cell>
          <cell r="H68">
            <v>8.5546997470333563E-2</v>
          </cell>
          <cell r="I68">
            <v>0.10001472303820647</v>
          </cell>
          <cell r="J68">
            <v>0.10971770435235073</v>
          </cell>
          <cell r="K68">
            <v>0.11208438511970376</v>
          </cell>
          <cell r="L68">
            <v>0.10562608162722853</v>
          </cell>
          <cell r="M68">
            <v>9.0794563997872335E-2</v>
          </cell>
          <cell r="N68">
            <v>7.0260666991849297E-2</v>
          </cell>
          <cell r="O68">
            <v>4.8218360404944538E-2</v>
          </cell>
          <cell r="P68">
            <v>2.8854234614640095E-2</v>
          </cell>
          <cell r="Q68">
            <v>1.4773964924806759E-2</v>
          </cell>
          <cell r="R68">
            <v>6.3385343681182649E-3</v>
          </cell>
          <cell r="S68">
            <v>2.2268577196306039E-3</v>
          </cell>
          <cell r="T68">
            <v>6.2471001963848583E-4</v>
          </cell>
          <cell r="U68">
            <v>1.3615841889635938E-4</v>
          </cell>
          <cell r="V68">
            <v>2.2380636622298944E-5</v>
          </cell>
          <cell r="W68">
            <v>2.68643837586513E-6</v>
          </cell>
          <cell r="X68"/>
        </row>
        <row r="69">
          <cell r="B69" t="str">
            <v>Behavior - New</v>
          </cell>
          <cell r="C69" t="str">
            <v>LO6Slow</v>
          </cell>
          <cell r="D69">
            <v>4.2999999999999997E-2</v>
          </cell>
          <cell r="E69">
            <v>9.5797142280278316E-2</v>
          </cell>
          <cell r="F69">
            <v>0.16040539374775648</v>
          </cell>
          <cell r="G69">
            <v>0.23540539374775649</v>
          </cell>
          <cell r="H69">
            <v>0.32095239121809005</v>
          </cell>
          <cell r="I69">
            <v>0.42096711425629652</v>
          </cell>
          <cell r="J69">
            <v>0.53068481860864725</v>
          </cell>
          <cell r="K69">
            <v>0.642769203728351</v>
          </cell>
          <cell r="L69">
            <v>0.74839528535557953</v>
          </cell>
          <cell r="M69">
            <v>0.83918984935345187</v>
          </cell>
          <cell r="N69">
            <v>0.90945051634530116</v>
          </cell>
          <cell r="O69">
            <v>0.9576688767502457</v>
          </cell>
          <cell r="P69">
            <v>0.9865231113648858</v>
          </cell>
          <cell r="Q69">
            <v>1.0012970762896924</v>
          </cell>
          <cell r="R69">
            <v>1.0076356106578106</v>
          </cell>
          <cell r="S69">
            <v>1.0098624683774413</v>
          </cell>
          <cell r="T69">
            <v>1.0104871783970797</v>
          </cell>
          <cell r="U69">
            <v>1.010623336815976</v>
          </cell>
          <cell r="V69">
            <v>1.0106457174525985</v>
          </cell>
          <cell r="W69">
            <v>1.0106484038909742</v>
          </cell>
          <cell r="X69"/>
        </row>
        <row r="70">
          <cell r="B70">
            <v>0</v>
          </cell>
          <cell r="C70" t="str">
            <v>Retro2Slow</v>
          </cell>
          <cell r="D70">
            <v>2.5643970768378654E-3</v>
          </cell>
          <cell r="E70">
            <v>5.1260615529385989E-3</v>
          </cell>
          <cell r="F70">
            <v>9.1015544176433795E-3</v>
          </cell>
          <cell r="G70">
            <v>1.4804925730045659E-2</v>
          </cell>
          <cell r="H70">
            <v>2.2471809420486211E-2</v>
          </cell>
          <cell r="I70">
            <v>3.2184432813882391E-2</v>
          </cell>
          <cell r="J70">
            <v>4.3779667172004086E-2</v>
          </cell>
          <cell r="K70">
            <v>5.675426075474499E-2</v>
          </cell>
          <cell r="L70">
            <v>7.0195239068707532E-2</v>
          </cell>
          <cell r="M70">
            <v>8.2776861842756788E-2</v>
          </cell>
          <cell r="N70">
            <v>9.2870259507494834E-2</v>
          </cell>
          <cell r="O70">
            <v>9.8796470678915727E-2</v>
          </cell>
          <cell r="P70">
            <v>9.9208932889988999E-2</v>
          </cell>
          <cell r="Q70">
            <v>9.3521150494244254E-2</v>
          </cell>
          <cell r="R70">
            <v>8.2226007896862296E-2</v>
          </cell>
          <cell r="S70">
            <v>6.6933566027365665E-2</v>
          </cell>
          <cell r="T70">
            <v>5.0029565143448806E-2</v>
          </cell>
          <cell r="U70">
            <v>3.402486521893211E-2</v>
          </cell>
          <cell r="V70">
            <v>2.0846059340774659E-2</v>
          </cell>
          <cell r="W70">
            <v>0.01</v>
          </cell>
          <cell r="X70"/>
        </row>
        <row r="71">
          <cell r="B71" t="str">
            <v>HRV - New</v>
          </cell>
          <cell r="C71" t="str">
            <v>LO2Slow</v>
          </cell>
          <cell r="D71">
            <v>2.5643970768378654E-3</v>
          </cell>
          <cell r="E71">
            <v>7.6904586297764643E-3</v>
          </cell>
          <cell r="F71">
            <v>1.6792013047419844E-2</v>
          </cell>
          <cell r="G71">
            <v>3.15969387774655E-2</v>
          </cell>
          <cell r="H71">
            <v>5.406874819795171E-2</v>
          </cell>
          <cell r="I71">
            <v>8.6253181011834101E-2</v>
          </cell>
          <cell r="J71">
            <v>0.1300328481838382</v>
          </cell>
          <cell r="K71">
            <v>0.18678710893858319</v>
          </cell>
          <cell r="L71">
            <v>0.2569823480072907</v>
          </cell>
          <cell r="M71">
            <v>0.33975920985004748</v>
          </cell>
          <cell r="N71">
            <v>0.43262946935754232</v>
          </cell>
          <cell r="O71">
            <v>0.53142594003645804</v>
          </cell>
          <cell r="P71">
            <v>0.63063487292644704</v>
          </cell>
          <cell r="Q71">
            <v>0.7241560234206913</v>
          </cell>
          <cell r="R71">
            <v>0.80638203131755359</v>
          </cell>
          <cell r="S71">
            <v>0.87331559734491926</v>
          </cell>
          <cell r="T71">
            <v>0.92334516248836807</v>
          </cell>
          <cell r="U71">
            <v>0.95737002770730018</v>
          </cell>
          <cell r="V71">
            <v>0.97821608704807483</v>
          </cell>
          <cell r="W71">
            <v>0.98821608704807484</v>
          </cell>
          <cell r="X71"/>
        </row>
        <row r="72">
          <cell r="B72">
            <v>0</v>
          </cell>
          <cell r="C72" t="str">
            <v>LO6Slow</v>
          </cell>
          <cell r="D72">
            <v>4.2999999999999997E-2</v>
          </cell>
          <cell r="E72">
            <v>9.5797142280278316E-2</v>
          </cell>
          <cell r="F72">
            <v>0.16040539374775648</v>
          </cell>
          <cell r="G72">
            <v>0.23540539374775649</v>
          </cell>
          <cell r="H72">
            <v>0.32095239121809005</v>
          </cell>
          <cell r="I72">
            <v>0.42096711425629652</v>
          </cell>
          <cell r="J72">
            <v>0.53068481860864725</v>
          </cell>
          <cell r="K72">
            <v>0.642769203728351</v>
          </cell>
          <cell r="L72">
            <v>0.74839528535557953</v>
          </cell>
          <cell r="M72">
            <v>0.83918984935345187</v>
          </cell>
          <cell r="N72">
            <v>0.90945051634530116</v>
          </cell>
          <cell r="O72">
            <v>0.9576688767502457</v>
          </cell>
          <cell r="P72">
            <v>0.9865231113648858</v>
          </cell>
          <cell r="Q72">
            <v>1.0012970762896924</v>
          </cell>
          <cell r="R72">
            <v>1.0076356106578106</v>
          </cell>
          <cell r="S72">
            <v>1.0098624683774413</v>
          </cell>
          <cell r="T72">
            <v>1.0104871783970797</v>
          </cell>
          <cell r="U72">
            <v>1.010623336815976</v>
          </cell>
          <cell r="V72">
            <v>1.0106457174525985</v>
          </cell>
          <cell r="W72">
            <v>1.0106484038909742</v>
          </cell>
          <cell r="X72"/>
        </row>
        <row r="73">
          <cell r="B73">
            <v>0</v>
          </cell>
          <cell r="C73" t="str">
            <v>LO6Slow</v>
          </cell>
          <cell r="D73">
            <v>4.2999999999999997E-2</v>
          </cell>
          <cell r="E73">
            <v>9.5797142280278316E-2</v>
          </cell>
          <cell r="F73">
            <v>0.16040539374775648</v>
          </cell>
          <cell r="G73">
            <v>0.23540539374775649</v>
          </cell>
          <cell r="H73">
            <v>0.32095239121809005</v>
          </cell>
          <cell r="I73">
            <v>0.42096711425629652</v>
          </cell>
          <cell r="J73">
            <v>0.53068481860864725</v>
          </cell>
          <cell r="K73">
            <v>0.642769203728351</v>
          </cell>
          <cell r="L73">
            <v>0.74839528535557953</v>
          </cell>
          <cell r="M73">
            <v>0.83918984935345187</v>
          </cell>
          <cell r="N73">
            <v>0.90945051634530116</v>
          </cell>
          <cell r="O73">
            <v>0.9576688767502457</v>
          </cell>
          <cell r="P73">
            <v>0.9865231113648858</v>
          </cell>
          <cell r="Q73">
            <v>1.0012970762896924</v>
          </cell>
          <cell r="R73">
            <v>1.0076356106578106</v>
          </cell>
          <cell r="S73">
            <v>1.0098624683774413</v>
          </cell>
          <cell r="T73">
            <v>1.0104871783970797</v>
          </cell>
          <cell r="U73">
            <v>1.010623336815976</v>
          </cell>
          <cell r="V73">
            <v>1.0106457174525985</v>
          </cell>
          <cell r="W73">
            <v>1.0106484038909742</v>
          </cell>
          <cell r="X73"/>
        </row>
        <row r="74">
          <cell r="B74">
            <v>0</v>
          </cell>
          <cell r="C74" t="str">
            <v>Retro6Slow</v>
          </cell>
          <cell r="D74">
            <v>4.2999999999999997E-2</v>
          </cell>
          <cell r="E74">
            <v>5.279714228027832E-2</v>
          </cell>
          <cell r="F74">
            <v>6.4608251467478173E-2</v>
          </cell>
          <cell r="G74">
            <v>7.4999999999999997E-2</v>
          </cell>
          <cell r="H74">
            <v>8.5546997470333563E-2</v>
          </cell>
          <cell r="I74">
            <v>0.10001472303820647</v>
          </cell>
          <cell r="J74">
            <v>0.10971770435235073</v>
          </cell>
          <cell r="K74">
            <v>0.11208438511970376</v>
          </cell>
          <cell r="L74">
            <v>0.10562608162722853</v>
          </cell>
          <cell r="M74">
            <v>9.0794563997872335E-2</v>
          </cell>
          <cell r="N74">
            <v>7.0260666991849297E-2</v>
          </cell>
          <cell r="O74">
            <v>4.8218360404944538E-2</v>
          </cell>
          <cell r="P74">
            <v>2.8854234614640095E-2</v>
          </cell>
          <cell r="Q74">
            <v>1.4773964924806759E-2</v>
          </cell>
          <cell r="R74">
            <v>6.3385343681182649E-3</v>
          </cell>
          <cell r="S74">
            <v>2.2268577196306039E-3</v>
          </cell>
          <cell r="T74">
            <v>6.2471001963848583E-4</v>
          </cell>
          <cell r="U74">
            <v>1.3615841889635938E-4</v>
          </cell>
          <cell r="V74">
            <v>2.2380636622298944E-5</v>
          </cell>
          <cell r="W74">
            <v>2.68643837586513E-6</v>
          </cell>
          <cell r="X74"/>
        </row>
        <row r="75">
          <cell r="B75" t="str">
            <v>ECM for HVAC ventilation - New</v>
          </cell>
          <cell r="C75" t="str">
            <v>LO12Med</v>
          </cell>
          <cell r="D75">
            <v>0.10937459468255628</v>
          </cell>
          <cell r="E75">
            <v>0.23437459468255628</v>
          </cell>
          <cell r="F75">
            <v>0.37109283803575166</v>
          </cell>
          <cell r="G75">
            <v>0.51409283803575168</v>
          </cell>
          <cell r="H75">
            <v>0.65142143068963099</v>
          </cell>
          <cell r="I75">
            <v>0.76586192456786373</v>
          </cell>
          <cell r="J75">
            <v>0.85169229497653831</v>
          </cell>
          <cell r="K75">
            <v>0.91021300207336175</v>
          </cell>
          <cell r="L75">
            <v>0.94678844400887652</v>
          </cell>
          <cell r="M75">
            <v>0.96788966051013492</v>
          </cell>
          <cell r="N75">
            <v>0.97919388363580917</v>
          </cell>
          <cell r="O75">
            <v>0.98484599519864635</v>
          </cell>
          <cell r="P75">
            <v>0.98749542249372613</v>
          </cell>
          <cell r="Q75">
            <v>0.98866428747684965</v>
          </cell>
          <cell r="R75">
            <v>0.98915131455315108</v>
          </cell>
          <cell r="S75">
            <v>0.98934356208327012</v>
          </cell>
          <cell r="T75">
            <v>0.98941565490706473</v>
          </cell>
          <cell r="U75">
            <v>0.98944140234413425</v>
          </cell>
          <cell r="V75">
            <v>0.9894501798794989</v>
          </cell>
          <cell r="W75">
            <v>0.98945304211929175</v>
          </cell>
          <cell r="X75"/>
        </row>
        <row r="76">
          <cell r="B76" t="str">
            <v>ECM for HVAC ventilation - NR</v>
          </cell>
          <cell r="C76" t="str">
            <v>LO12Med</v>
          </cell>
          <cell r="D76">
            <v>0.10937459468255628</v>
          </cell>
          <cell r="E76">
            <v>0.23437459468255628</v>
          </cell>
          <cell r="F76">
            <v>0.37109283803575166</v>
          </cell>
          <cell r="G76">
            <v>0.51409283803575168</v>
          </cell>
          <cell r="H76">
            <v>0.65142143068963099</v>
          </cell>
          <cell r="I76">
            <v>0.76586192456786373</v>
          </cell>
          <cell r="J76">
            <v>0.85169229497653831</v>
          </cell>
          <cell r="K76">
            <v>0.91021300207336175</v>
          </cell>
          <cell r="L76">
            <v>0.94678844400887652</v>
          </cell>
          <cell r="M76">
            <v>0.96788966051013492</v>
          </cell>
          <cell r="N76">
            <v>0.97919388363580917</v>
          </cell>
          <cell r="O76">
            <v>0.98484599519864635</v>
          </cell>
          <cell r="P76">
            <v>0.98749542249372613</v>
          </cell>
          <cell r="Q76">
            <v>0.98866428747684965</v>
          </cell>
          <cell r="R76">
            <v>0.98915131455315108</v>
          </cell>
          <cell r="S76">
            <v>0.98934356208327012</v>
          </cell>
          <cell r="T76">
            <v>0.98941565490706473</v>
          </cell>
          <cell r="U76">
            <v>0.98944140234413425</v>
          </cell>
          <cell r="V76">
            <v>0.9894501798794989</v>
          </cell>
          <cell r="W76">
            <v>0.98945304211929175</v>
          </cell>
          <cell r="X76"/>
        </row>
        <row r="77">
          <cell r="B77" t="str">
            <v>Whole house/attic fan - New</v>
          </cell>
          <cell r="C77" t="str">
            <v>LO12Med</v>
          </cell>
          <cell r="D77">
            <v>0.10937459468255628</v>
          </cell>
          <cell r="E77">
            <v>0.23437459468255628</v>
          </cell>
          <cell r="F77">
            <v>0.37109283803575166</v>
          </cell>
          <cell r="G77">
            <v>0.51409283803575168</v>
          </cell>
          <cell r="H77">
            <v>0.65142143068963099</v>
          </cell>
          <cell r="I77">
            <v>0.76586192456786373</v>
          </cell>
          <cell r="J77">
            <v>0.85169229497653831</v>
          </cell>
          <cell r="K77">
            <v>0.91021300207336175</v>
          </cell>
          <cell r="L77">
            <v>0.94678844400887652</v>
          </cell>
          <cell r="M77">
            <v>0.96788966051013492</v>
          </cell>
          <cell r="N77">
            <v>0.97919388363580917</v>
          </cell>
          <cell r="O77">
            <v>0.98484599519864635</v>
          </cell>
          <cell r="P77">
            <v>0.98749542249372613</v>
          </cell>
          <cell r="Q77">
            <v>0.98866428747684965</v>
          </cell>
          <cell r="R77">
            <v>0.98915131455315108</v>
          </cell>
          <cell r="S77">
            <v>0.98934356208327012</v>
          </cell>
          <cell r="T77">
            <v>0.98941565490706473</v>
          </cell>
          <cell r="U77">
            <v>0.98944140234413425</v>
          </cell>
          <cell r="V77">
            <v>0.9894501798794989</v>
          </cell>
          <cell r="W77">
            <v>0.98945304211929175</v>
          </cell>
          <cell r="X77"/>
        </row>
        <row r="78">
          <cell r="B78" t="str">
            <v>Whole house/attic fan - Retro</v>
          </cell>
          <cell r="C78" t="str">
            <v>Retro12Med</v>
          </cell>
          <cell r="D78">
            <v>0.10937459468255628</v>
          </cell>
          <cell r="E78">
            <v>0.125</v>
          </cell>
          <cell r="F78">
            <v>0.13671824335319538</v>
          </cell>
          <cell r="G78">
            <v>0.14299999999999999</v>
          </cell>
          <cell r="H78">
            <v>0.13732859265387931</v>
          </cell>
          <cell r="I78">
            <v>0.11444049387823274</v>
          </cell>
          <cell r="J78">
            <v>8.5830370408674583E-2</v>
          </cell>
          <cell r="K78">
            <v>5.8520707096823443E-2</v>
          </cell>
          <cell r="L78">
            <v>3.6575441935514763E-2</v>
          </cell>
          <cell r="M78">
            <v>2.1101216501258402E-2</v>
          </cell>
          <cell r="N78">
            <v>1.1304223125674251E-2</v>
          </cell>
          <cell r="O78">
            <v>5.652111562837181E-3</v>
          </cell>
          <cell r="P78">
            <v>2.6494272950797759E-3</v>
          </cell>
          <cell r="Q78">
            <v>1.1688649831235187E-3</v>
          </cell>
          <cell r="R78">
            <v>4.8702707630143838E-4</v>
          </cell>
          <cell r="S78">
            <v>1.922475301190385E-4</v>
          </cell>
          <cell r="T78">
            <v>7.2092823794611682E-5</v>
          </cell>
          <cell r="U78">
            <v>2.5747437069512102E-5</v>
          </cell>
          <cell r="V78">
            <v>8.7775353646568632E-6</v>
          </cell>
          <cell r="W78">
            <v>2.8622397928446119E-6</v>
          </cell>
          <cell r="X78"/>
        </row>
        <row r="79">
          <cell r="B79" t="str">
            <v>WH Pipe insulation - Retro</v>
          </cell>
          <cell r="C79" t="str">
            <v>Retro12Med</v>
          </cell>
          <cell r="D79">
            <v>0.10937459468255628</v>
          </cell>
          <cell r="E79">
            <v>0.125</v>
          </cell>
          <cell r="F79">
            <v>0.13671824335319538</v>
          </cell>
          <cell r="G79">
            <v>0.14299999999999999</v>
          </cell>
          <cell r="H79">
            <v>0.13732859265387931</v>
          </cell>
          <cell r="I79">
            <v>0.11444049387823274</v>
          </cell>
          <cell r="J79">
            <v>8.5830370408674583E-2</v>
          </cell>
          <cell r="K79">
            <v>5.8520707096823443E-2</v>
          </cell>
          <cell r="L79">
            <v>3.6575441935514763E-2</v>
          </cell>
          <cell r="M79">
            <v>2.1101216501258402E-2</v>
          </cell>
          <cell r="N79">
            <v>1.1304223125674251E-2</v>
          </cell>
          <cell r="O79">
            <v>5.652111562837181E-3</v>
          </cell>
          <cell r="P79">
            <v>2.6494272950797759E-3</v>
          </cell>
          <cell r="Q79">
            <v>1.1688649831235187E-3</v>
          </cell>
          <cell r="R79">
            <v>4.8702707630143838E-4</v>
          </cell>
          <cell r="S79">
            <v>1.922475301190385E-4</v>
          </cell>
          <cell r="T79">
            <v>7.2092823794611682E-5</v>
          </cell>
          <cell r="U79">
            <v>2.5747437069512102E-5</v>
          </cell>
          <cell r="V79">
            <v>8.7775353646568632E-6</v>
          </cell>
          <cell r="W79">
            <v>2.8622397928446119E-6</v>
          </cell>
          <cell r="X79"/>
        </row>
        <row r="80">
          <cell r="B80" t="str">
            <v>DHP Ducted - NR</v>
          </cell>
          <cell r="C80" t="str">
            <v>LO6Slow</v>
          </cell>
          <cell r="D80">
            <v>4.2999999999999997E-2</v>
          </cell>
          <cell r="E80">
            <v>9.5797142280278316E-2</v>
          </cell>
          <cell r="F80">
            <v>0.16040539374775648</v>
          </cell>
          <cell r="G80">
            <v>0.23540539374775649</v>
          </cell>
          <cell r="H80">
            <v>0.32095239121809005</v>
          </cell>
          <cell r="I80">
            <v>0.42096711425629652</v>
          </cell>
          <cell r="J80">
            <v>0.53068481860864725</v>
          </cell>
          <cell r="K80">
            <v>0.642769203728351</v>
          </cell>
          <cell r="L80">
            <v>0.74839528535557953</v>
          </cell>
          <cell r="M80">
            <v>0.83918984935345187</v>
          </cell>
          <cell r="N80">
            <v>0.90945051634530116</v>
          </cell>
          <cell r="O80">
            <v>0.9576688767502457</v>
          </cell>
          <cell r="P80">
            <v>0.9865231113648858</v>
          </cell>
          <cell r="Q80">
            <v>1.0012970762896924</v>
          </cell>
          <cell r="R80">
            <v>1.0076356106578106</v>
          </cell>
          <cell r="S80">
            <v>1.0098624683774413</v>
          </cell>
          <cell r="T80">
            <v>1.0104871783970797</v>
          </cell>
          <cell r="U80">
            <v>1.010623336815976</v>
          </cell>
          <cell r="V80">
            <v>1.0106457174525985</v>
          </cell>
          <cell r="W80">
            <v>1.0106484038909742</v>
          </cell>
          <cell r="X80"/>
        </row>
        <row r="81">
          <cell r="B81" t="str">
            <v>Advanced Power Strips - New</v>
          </cell>
          <cell r="C81" t="str">
            <v>LO12Med</v>
          </cell>
          <cell r="D81">
            <v>0.10937459468255628</v>
          </cell>
          <cell r="E81">
            <v>0.23437459468255628</v>
          </cell>
          <cell r="F81">
            <v>0.37109283803575166</v>
          </cell>
          <cell r="G81">
            <v>0.51409283803575168</v>
          </cell>
          <cell r="H81">
            <v>0.65142143068963099</v>
          </cell>
          <cell r="I81">
            <v>0.76586192456786373</v>
          </cell>
          <cell r="J81">
            <v>0.85169229497653831</v>
          </cell>
          <cell r="K81">
            <v>0.91021300207336175</v>
          </cell>
          <cell r="L81">
            <v>0.94678844400887652</v>
          </cell>
          <cell r="M81">
            <v>0.96788966051013492</v>
          </cell>
          <cell r="N81">
            <v>0.97919388363580917</v>
          </cell>
          <cell r="O81">
            <v>0.98484599519864635</v>
          </cell>
          <cell r="P81">
            <v>0.98749542249372613</v>
          </cell>
          <cell r="Q81">
            <v>0.98866428747684965</v>
          </cell>
          <cell r="R81">
            <v>0.98915131455315108</v>
          </cell>
          <cell r="S81">
            <v>0.98934356208327012</v>
          </cell>
          <cell r="T81">
            <v>0.98941565490706473</v>
          </cell>
          <cell r="U81">
            <v>0.98944140234413425</v>
          </cell>
          <cell r="V81">
            <v>0.9894501798794989</v>
          </cell>
          <cell r="W81">
            <v>0.98945304211929175</v>
          </cell>
          <cell r="X81"/>
        </row>
        <row r="82">
          <cell r="B82" t="str">
            <v>Advanced Power Strips - Retro</v>
          </cell>
          <cell r="C82" t="str">
            <v>Retro12Med</v>
          </cell>
          <cell r="D82">
            <v>0.10937459468255628</v>
          </cell>
          <cell r="E82">
            <v>0.125</v>
          </cell>
          <cell r="F82">
            <v>0.13671824335319538</v>
          </cell>
          <cell r="G82">
            <v>0.14299999999999999</v>
          </cell>
          <cell r="H82">
            <v>0.13732859265387931</v>
          </cell>
          <cell r="I82">
            <v>0.11444049387823274</v>
          </cell>
          <cell r="J82">
            <v>8.5830370408674583E-2</v>
          </cell>
          <cell r="K82">
            <v>5.8520707096823443E-2</v>
          </cell>
          <cell r="L82">
            <v>3.6575441935514763E-2</v>
          </cell>
          <cell r="M82">
            <v>2.1101216501258402E-2</v>
          </cell>
          <cell r="N82">
            <v>1.1304223125674251E-2</v>
          </cell>
          <cell r="O82">
            <v>5.652111562837181E-3</v>
          </cell>
          <cell r="P82">
            <v>2.6494272950797759E-3</v>
          </cell>
          <cell r="Q82">
            <v>1.1688649831235187E-3</v>
          </cell>
          <cell r="R82">
            <v>4.8702707630143838E-4</v>
          </cell>
          <cell r="S82">
            <v>1.922475301190385E-4</v>
          </cell>
          <cell r="T82">
            <v>7.2092823794611682E-5</v>
          </cell>
          <cell r="U82">
            <v>2.5747437069512102E-5</v>
          </cell>
          <cell r="V82">
            <v>8.7775353646568632E-6</v>
          </cell>
          <cell r="W82">
            <v>2.8622397928446119E-6</v>
          </cell>
          <cell r="X82"/>
        </row>
        <row r="83">
          <cell r="B83" t="str">
            <v>Controls Commissioning and Sizing - New</v>
          </cell>
          <cell r="C83" t="str">
            <v>LO6Slow</v>
          </cell>
          <cell r="D83">
            <v>4.2999999999999997E-2</v>
          </cell>
          <cell r="E83">
            <v>9.5797142280278316E-2</v>
          </cell>
          <cell r="F83">
            <v>0.16040539374775648</v>
          </cell>
          <cell r="G83">
            <v>0.23540539374775649</v>
          </cell>
          <cell r="H83">
            <v>0.32095239121809005</v>
          </cell>
          <cell r="I83">
            <v>0.42096711425629652</v>
          </cell>
          <cell r="J83">
            <v>0.53068481860864725</v>
          </cell>
          <cell r="K83">
            <v>0.642769203728351</v>
          </cell>
          <cell r="L83">
            <v>0.74839528535557953</v>
          </cell>
          <cell r="M83">
            <v>0.83918984935345187</v>
          </cell>
          <cell r="N83">
            <v>0.90945051634530116</v>
          </cell>
          <cell r="O83">
            <v>0.9576688767502457</v>
          </cell>
          <cell r="P83">
            <v>0.9865231113648858</v>
          </cell>
          <cell r="Q83">
            <v>1.0012970762896924</v>
          </cell>
          <cell r="R83">
            <v>1.0076356106578106</v>
          </cell>
          <cell r="S83">
            <v>1.0098624683774413</v>
          </cell>
          <cell r="T83">
            <v>1.0104871783970797</v>
          </cell>
          <cell r="U83">
            <v>1.010623336815976</v>
          </cell>
          <cell r="V83">
            <v>1.0106457174525985</v>
          </cell>
          <cell r="W83">
            <v>1.0106484038909742</v>
          </cell>
          <cell r="X83"/>
        </row>
        <row r="84">
          <cell r="B84" t="str">
            <v>Controls Commissioning and Sizing - NR</v>
          </cell>
          <cell r="C84" t="str">
            <v>LO6Slow</v>
          </cell>
          <cell r="D84">
            <v>4.2999999999999997E-2</v>
          </cell>
          <cell r="E84">
            <v>9.5797142280278316E-2</v>
          </cell>
          <cell r="F84">
            <v>0.16040539374775648</v>
          </cell>
          <cell r="G84">
            <v>0.23540539374775649</v>
          </cell>
          <cell r="H84">
            <v>0.32095239121809005</v>
          </cell>
          <cell r="I84">
            <v>0.42096711425629652</v>
          </cell>
          <cell r="J84">
            <v>0.53068481860864725</v>
          </cell>
          <cell r="K84">
            <v>0.642769203728351</v>
          </cell>
          <cell r="L84">
            <v>0.74839528535557953</v>
          </cell>
          <cell r="M84">
            <v>0.83918984935345187</v>
          </cell>
          <cell r="N84">
            <v>0.90945051634530116</v>
          </cell>
          <cell r="O84">
            <v>0.9576688767502457</v>
          </cell>
          <cell r="P84">
            <v>0.9865231113648858</v>
          </cell>
          <cell r="Q84">
            <v>1.0012970762896924</v>
          </cell>
          <cell r="R84">
            <v>1.0076356106578106</v>
          </cell>
          <cell r="S84">
            <v>1.0098624683774413</v>
          </cell>
          <cell r="T84">
            <v>1.0104871783970797</v>
          </cell>
          <cell r="U84">
            <v>1.010623336815976</v>
          </cell>
          <cell r="V84">
            <v>1.0106457174525985</v>
          </cell>
          <cell r="W84">
            <v>1.0106484038909742</v>
          </cell>
          <cell r="X84"/>
        </row>
        <row r="85">
          <cell r="B85" t="str">
            <v>ResWx - Retro</v>
          </cell>
          <cell r="C85" t="str">
            <v>Retro12Med</v>
          </cell>
          <cell r="D85">
            <v>0.10937459468255628</v>
          </cell>
          <cell r="E85">
            <v>0.125</v>
          </cell>
          <cell r="F85">
            <v>0.13671824335319538</v>
          </cell>
          <cell r="G85">
            <v>0.14299999999999999</v>
          </cell>
          <cell r="H85">
            <v>0.13732859265387931</v>
          </cell>
          <cell r="I85">
            <v>0.11444049387823274</v>
          </cell>
          <cell r="J85">
            <v>8.5830370408674583E-2</v>
          </cell>
          <cell r="K85">
            <v>5.8520707096823443E-2</v>
          </cell>
          <cell r="L85">
            <v>3.6575441935514763E-2</v>
          </cell>
          <cell r="M85">
            <v>2.1101216501258402E-2</v>
          </cell>
          <cell r="N85">
            <v>1.1304223125674251E-2</v>
          </cell>
          <cell r="O85">
            <v>5.652111562837181E-3</v>
          </cell>
          <cell r="P85">
            <v>2.6494272950797759E-3</v>
          </cell>
          <cell r="Q85">
            <v>1.1688649831235187E-3</v>
          </cell>
          <cell r="R85">
            <v>4.8702707630143838E-4</v>
          </cell>
          <cell r="S85">
            <v>1.922475301190385E-4</v>
          </cell>
          <cell r="T85">
            <v>7.2092823794611682E-5</v>
          </cell>
          <cell r="U85">
            <v>2.5747437069512102E-5</v>
          </cell>
          <cell r="V85">
            <v>8.7775353646568632E-6</v>
          </cell>
          <cell r="W85">
            <v>2.8622397928446119E-6</v>
          </cell>
          <cell r="X85"/>
        </row>
        <row r="86">
          <cell r="D86"/>
          <cell r="E86"/>
          <cell r="F86"/>
          <cell r="G86"/>
          <cell r="H86"/>
          <cell r="I86"/>
          <cell r="J86"/>
          <cell r="K86"/>
          <cell r="L86"/>
          <cell r="M86"/>
          <cell r="N86"/>
          <cell r="O86"/>
          <cell r="P86"/>
          <cell r="Q86"/>
          <cell r="R86"/>
          <cell r="S86"/>
          <cell r="T86"/>
          <cell r="U86"/>
          <cell r="V86"/>
          <cell r="W86"/>
          <cell r="X86"/>
        </row>
        <row r="87">
          <cell r="D87"/>
          <cell r="E87"/>
          <cell r="F87"/>
          <cell r="G87"/>
          <cell r="H87"/>
          <cell r="I87"/>
          <cell r="J87"/>
          <cell r="K87"/>
          <cell r="L87"/>
          <cell r="M87"/>
          <cell r="N87"/>
          <cell r="O87"/>
          <cell r="P87"/>
          <cell r="Q87"/>
          <cell r="R87"/>
          <cell r="S87"/>
          <cell r="T87"/>
          <cell r="U87"/>
          <cell r="V87"/>
          <cell r="W87"/>
          <cell r="X87"/>
        </row>
        <row r="88">
          <cell r="D88"/>
          <cell r="E88"/>
          <cell r="F88"/>
          <cell r="G88"/>
          <cell r="H88"/>
          <cell r="I88"/>
          <cell r="J88"/>
          <cell r="K88"/>
          <cell r="L88"/>
          <cell r="M88"/>
          <cell r="N88"/>
          <cell r="O88"/>
          <cell r="P88"/>
          <cell r="Q88"/>
          <cell r="R88"/>
          <cell r="S88"/>
          <cell r="T88"/>
          <cell r="U88"/>
          <cell r="V88"/>
          <cell r="W88"/>
          <cell r="X88"/>
        </row>
        <row r="89">
          <cell r="D89"/>
          <cell r="E89"/>
          <cell r="F89"/>
          <cell r="G89"/>
          <cell r="H89"/>
          <cell r="I89"/>
          <cell r="J89"/>
          <cell r="K89"/>
          <cell r="L89"/>
          <cell r="M89"/>
          <cell r="N89"/>
          <cell r="O89"/>
          <cell r="P89"/>
          <cell r="Q89"/>
          <cell r="R89"/>
          <cell r="S89"/>
          <cell r="T89"/>
          <cell r="U89"/>
          <cell r="V89"/>
          <cell r="W89"/>
          <cell r="X89"/>
        </row>
        <row r="90">
          <cell r="D90"/>
          <cell r="E90"/>
          <cell r="F90"/>
          <cell r="G90"/>
          <cell r="H90"/>
          <cell r="I90"/>
          <cell r="J90"/>
          <cell r="K90"/>
          <cell r="L90"/>
          <cell r="M90"/>
          <cell r="N90"/>
          <cell r="O90"/>
          <cell r="P90"/>
          <cell r="Q90"/>
          <cell r="R90"/>
          <cell r="S90"/>
          <cell r="T90"/>
          <cell r="U90"/>
          <cell r="V90"/>
          <cell r="W90"/>
          <cell r="X90"/>
        </row>
        <row r="91">
          <cell r="D91"/>
          <cell r="E91"/>
          <cell r="F91"/>
          <cell r="G91"/>
          <cell r="H91"/>
          <cell r="I91"/>
          <cell r="J91"/>
          <cell r="K91"/>
          <cell r="L91"/>
          <cell r="M91"/>
          <cell r="N91"/>
          <cell r="O91"/>
          <cell r="P91"/>
          <cell r="Q91"/>
          <cell r="R91"/>
          <cell r="S91"/>
          <cell r="T91"/>
          <cell r="U91"/>
          <cell r="V91"/>
          <cell r="W91"/>
          <cell r="X91"/>
        </row>
        <row r="92">
          <cell r="D92"/>
          <cell r="E92"/>
          <cell r="F92"/>
          <cell r="G92"/>
          <cell r="H92"/>
          <cell r="I92"/>
          <cell r="J92"/>
          <cell r="K92"/>
          <cell r="L92"/>
          <cell r="M92"/>
          <cell r="N92"/>
          <cell r="O92"/>
          <cell r="P92"/>
          <cell r="Q92"/>
          <cell r="R92"/>
          <cell r="S92"/>
          <cell r="T92"/>
          <cell r="U92"/>
          <cell r="V92"/>
          <cell r="W92"/>
          <cell r="X92"/>
        </row>
        <row r="93">
          <cell r="D93"/>
          <cell r="E93"/>
          <cell r="F93"/>
          <cell r="G93"/>
          <cell r="H93"/>
          <cell r="I93"/>
          <cell r="J93"/>
          <cell r="K93"/>
          <cell r="L93"/>
          <cell r="M93"/>
          <cell r="N93"/>
          <cell r="O93"/>
          <cell r="P93"/>
          <cell r="Q93"/>
          <cell r="R93"/>
          <cell r="S93"/>
          <cell r="T93"/>
          <cell r="U93"/>
          <cell r="V93"/>
          <cell r="W93"/>
          <cell r="X93"/>
        </row>
        <row r="94">
          <cell r="D94"/>
          <cell r="E94"/>
          <cell r="F94"/>
          <cell r="G94"/>
          <cell r="H94"/>
          <cell r="I94"/>
          <cell r="J94"/>
          <cell r="K94"/>
          <cell r="L94"/>
          <cell r="M94"/>
          <cell r="N94"/>
          <cell r="O94"/>
          <cell r="P94"/>
          <cell r="Q94"/>
          <cell r="R94"/>
          <cell r="S94"/>
          <cell r="T94"/>
          <cell r="U94"/>
          <cell r="V94"/>
          <cell r="W94"/>
          <cell r="X94"/>
        </row>
        <row r="95">
          <cell r="D95"/>
          <cell r="E95"/>
          <cell r="F95"/>
          <cell r="G95"/>
          <cell r="H95"/>
          <cell r="I95"/>
          <cell r="J95"/>
          <cell r="K95"/>
          <cell r="L95"/>
          <cell r="M95"/>
          <cell r="N95"/>
          <cell r="O95"/>
          <cell r="P95"/>
          <cell r="Q95"/>
          <cell r="R95"/>
          <cell r="S95"/>
          <cell r="T95"/>
          <cell r="U95"/>
          <cell r="V95"/>
          <cell r="W95"/>
          <cell r="X95"/>
        </row>
        <row r="96">
          <cell r="D96"/>
          <cell r="E96"/>
          <cell r="F96"/>
          <cell r="G96"/>
          <cell r="H96"/>
          <cell r="I96"/>
          <cell r="J96"/>
          <cell r="K96"/>
          <cell r="L96"/>
          <cell r="M96"/>
          <cell r="N96"/>
          <cell r="O96"/>
          <cell r="P96"/>
          <cell r="Q96"/>
          <cell r="R96"/>
          <cell r="S96"/>
          <cell r="T96"/>
          <cell r="U96"/>
          <cell r="V96"/>
          <cell r="W96"/>
          <cell r="X96"/>
        </row>
        <row r="97">
          <cell r="D97"/>
          <cell r="E97"/>
          <cell r="F97"/>
          <cell r="G97"/>
          <cell r="H97"/>
          <cell r="I97"/>
          <cell r="J97"/>
          <cell r="K97"/>
          <cell r="L97"/>
          <cell r="M97"/>
          <cell r="N97"/>
          <cell r="O97"/>
          <cell r="P97"/>
          <cell r="Q97"/>
          <cell r="R97"/>
          <cell r="S97"/>
          <cell r="T97"/>
          <cell r="U97"/>
          <cell r="V97"/>
          <cell r="W97"/>
          <cell r="X97"/>
        </row>
        <row r="98">
          <cell r="D98"/>
          <cell r="E98"/>
          <cell r="F98"/>
          <cell r="G98"/>
          <cell r="H98"/>
          <cell r="I98"/>
          <cell r="J98"/>
          <cell r="K98"/>
          <cell r="L98"/>
          <cell r="M98"/>
          <cell r="N98"/>
          <cell r="O98"/>
          <cell r="P98"/>
          <cell r="Q98"/>
          <cell r="R98"/>
          <cell r="S98"/>
          <cell r="T98"/>
          <cell r="U98"/>
          <cell r="V98"/>
          <cell r="W98"/>
          <cell r="X98"/>
        </row>
        <row r="99">
          <cell r="D99"/>
          <cell r="E99"/>
          <cell r="F99"/>
          <cell r="G99"/>
          <cell r="H99"/>
          <cell r="I99"/>
          <cell r="J99"/>
          <cell r="K99"/>
          <cell r="L99"/>
          <cell r="M99"/>
          <cell r="N99"/>
          <cell r="O99"/>
          <cell r="P99"/>
          <cell r="Q99"/>
          <cell r="R99"/>
          <cell r="S99"/>
          <cell r="T99"/>
          <cell r="U99"/>
          <cell r="V99"/>
          <cell r="W99"/>
          <cell r="X99"/>
        </row>
        <row r="100">
          <cell r="D100"/>
          <cell r="E100"/>
          <cell r="F100"/>
          <cell r="G100"/>
          <cell r="H100"/>
          <cell r="I100"/>
          <cell r="J100"/>
          <cell r="K100"/>
          <cell r="L100"/>
          <cell r="M100"/>
          <cell r="N100"/>
          <cell r="O100"/>
          <cell r="P100"/>
          <cell r="Q100"/>
          <cell r="R100"/>
          <cell r="S100"/>
          <cell r="T100"/>
          <cell r="U100"/>
          <cell r="V100"/>
          <cell r="W100"/>
          <cell r="X100"/>
        </row>
      </sheetData>
      <sheetData sheetId="10"/>
      <sheetData sheetId="11">
        <row r="10">
          <cell r="B10" t="str">
            <v>Vars</v>
          </cell>
          <cell r="C10" t="str">
            <v>Single Family</v>
          </cell>
          <cell r="D10" t="str">
            <v>Multifamily - Low Rise</v>
          </cell>
          <cell r="E10" t="str">
            <v>Multifamily - High Rise</v>
          </cell>
          <cell r="F10" t="str">
            <v>Manufactured</v>
          </cell>
        </row>
        <row r="11">
          <cell r="B11" t="str">
            <v>Electric FAF - HZ1CZ1</v>
          </cell>
          <cell r="C11">
            <v>6.8910359437455118E-2</v>
          </cell>
          <cell r="D11">
            <v>2.9671514740017984E-2</v>
          </cell>
          <cell r="E11">
            <v>2.9671514740017984E-2</v>
          </cell>
          <cell r="F11">
            <v>0.68310644913823848</v>
          </cell>
        </row>
        <row r="12">
          <cell r="B12" t="str">
            <v>Electric FAF - HZ1CZ23</v>
          </cell>
          <cell r="C12">
            <v>5.5704832325126567E-2</v>
          </cell>
          <cell r="D12">
            <v>0</v>
          </cell>
          <cell r="E12">
            <v>0</v>
          </cell>
          <cell r="F12">
            <v>0.53068387215316171</v>
          </cell>
        </row>
        <row r="13">
          <cell r="B13" t="str">
            <v>Electric FAF - HZ23CZ1</v>
          </cell>
          <cell r="C13">
            <v>6.6557500117039647E-2</v>
          </cell>
          <cell r="D13">
            <v>0</v>
          </cell>
          <cell r="E13">
            <v>0</v>
          </cell>
          <cell r="F13">
            <v>0.29641575914254098</v>
          </cell>
        </row>
        <row r="14">
          <cell r="B14" t="str">
            <v>Electric FAF - HZ23CZ23</v>
          </cell>
          <cell r="C14">
            <v>4.1453999442898203E-2</v>
          </cell>
          <cell r="D14">
            <v>0</v>
          </cell>
          <cell r="E14">
            <v>0</v>
          </cell>
          <cell r="F14">
            <v>0.49242118699820225</v>
          </cell>
        </row>
        <row r="15">
          <cell r="B15" t="str">
            <v>Electric FAF - HZ1</v>
          </cell>
          <cell r="C15">
            <v>6.3764394229545662E-2</v>
          </cell>
          <cell r="D15">
            <v>2.279607208754721E-2</v>
          </cell>
          <cell r="E15">
            <v>2.279607208754721E-2</v>
          </cell>
          <cell r="F15">
            <v>0.6103855317692306</v>
          </cell>
        </row>
        <row r="16">
          <cell r="B16" t="str">
            <v>Electric FAF - HZ23</v>
          </cell>
          <cell r="C16">
            <v>4.8202841751037277E-2</v>
          </cell>
          <cell r="D16">
            <v>0</v>
          </cell>
          <cell r="E16">
            <v>0</v>
          </cell>
          <cell r="F16">
            <v>0.42117367880782697</v>
          </cell>
        </row>
        <row r="17">
          <cell r="B17" t="str">
            <v>Electric FAF - Region</v>
          </cell>
          <cell r="C17">
            <v>5.9888429585079297E-2</v>
          </cell>
          <cell r="D17">
            <v>1.96145349060163E-2</v>
          </cell>
          <cell r="E17">
            <v>1.96145349060163E-2</v>
          </cell>
          <cell r="F17">
            <v>0.54052539788177201</v>
          </cell>
        </row>
        <row r="18">
          <cell r="B18" t="str">
            <v>Electric FAF w/ CAC - HZ1CZ1</v>
          </cell>
          <cell r="C18">
            <v>1.5601272192892677E-2</v>
          </cell>
          <cell r="D18">
            <v>0</v>
          </cell>
          <cell r="E18">
            <v>0</v>
          </cell>
          <cell r="F18">
            <v>0.15868069027846163</v>
          </cell>
        </row>
        <row r="19">
          <cell r="B19" t="str">
            <v>Electric FAF w/ CAC - HZ1CZ23</v>
          </cell>
          <cell r="C19">
            <v>0</v>
          </cell>
          <cell r="D19">
            <v>0</v>
          </cell>
          <cell r="E19">
            <v>0</v>
          </cell>
          <cell r="F19">
            <v>4.8523578535561704E-2</v>
          </cell>
        </row>
        <row r="20">
          <cell r="B20" t="str">
            <v>Electric FAF w/ CAC - HZ23CZ1</v>
          </cell>
          <cell r="C20">
            <v>0</v>
          </cell>
          <cell r="D20">
            <v>0</v>
          </cell>
          <cell r="E20">
            <v>0</v>
          </cell>
          <cell r="F20">
            <v>8.6847892074621388E-2</v>
          </cell>
        </row>
        <row r="21">
          <cell r="B21" t="str">
            <v>Electric FAF w/ CAC - HZ23CZ23</v>
          </cell>
          <cell r="C21">
            <v>0</v>
          </cell>
          <cell r="D21">
            <v>0</v>
          </cell>
          <cell r="E21">
            <v>0</v>
          </cell>
          <cell r="F21">
            <v>6.4577174474630405E-2</v>
          </cell>
        </row>
        <row r="22">
          <cell r="B22" t="str">
            <v>Heat Pump - HZ1CZ1</v>
          </cell>
          <cell r="C22">
            <v>0.13597821666189061</v>
          </cell>
          <cell r="D22">
            <v>1.0945836048995988E-3</v>
          </cell>
          <cell r="E22">
            <v>1.0945836048995988E-3</v>
          </cell>
          <cell r="F22">
            <v>0.11042200533666623</v>
          </cell>
        </row>
        <row r="23">
          <cell r="B23" t="str">
            <v>Heat Pump - HZ1CZ23</v>
          </cell>
          <cell r="C23">
            <v>0.23487960154215734</v>
          </cell>
          <cell r="D23">
            <v>4.9999998343195358E-2</v>
          </cell>
          <cell r="E23">
            <v>4.9999998343195358E-2</v>
          </cell>
          <cell r="F23">
            <v>0.3014354043468136</v>
          </cell>
        </row>
        <row r="24">
          <cell r="B24" t="str">
            <v>Heat Pump - HZ23CZ1</v>
          </cell>
          <cell r="C24">
            <v>5.8367674105625697E-2</v>
          </cell>
          <cell r="D24">
            <v>0</v>
          </cell>
          <cell r="E24">
            <v>0</v>
          </cell>
          <cell r="F24">
            <v>1.6598912836278519E-2</v>
          </cell>
        </row>
        <row r="25">
          <cell r="B25" t="str">
            <v>Heat Pump - HZ23CZ23</v>
          </cell>
          <cell r="C25">
            <v>0.12819607887593021</v>
          </cell>
          <cell r="D25">
            <v>0</v>
          </cell>
          <cell r="E25">
            <v>0</v>
          </cell>
          <cell r="F25">
            <v>7.8940309013942875E-2</v>
          </cell>
        </row>
        <row r="26">
          <cell r="B26" t="str">
            <v>Heat Pump - HZ1</v>
          </cell>
          <cell r="C26">
            <v>0.17451837346735202</v>
          </cell>
          <cell r="D26">
            <v>1.2426879154171162E-2</v>
          </cell>
          <cell r="E26">
            <v>1.2426879154171162E-2</v>
          </cell>
          <cell r="F26">
            <v>0.20155463070325005</v>
          </cell>
        </row>
        <row r="27">
          <cell r="B27" t="str">
            <v>Heat Pump - HZ23</v>
          </cell>
          <cell r="C27">
            <v>0.10942336273004506</v>
          </cell>
          <cell r="D27">
            <v>0</v>
          </cell>
          <cell r="E27">
            <v>0</v>
          </cell>
          <cell r="F27">
            <v>5.6279359348618191E-2</v>
          </cell>
        </row>
        <row r="28">
          <cell r="B28" t="str">
            <v>Heat Pump - Region</v>
          </cell>
          <cell r="C28">
            <v>0.15830495514052295</v>
          </cell>
          <cell r="D28">
            <v>1.0692519922126772E-2</v>
          </cell>
          <cell r="E28">
            <v>1.0692519922126772E-2</v>
          </cell>
          <cell r="F28">
            <v>0.14791660671834839</v>
          </cell>
        </row>
        <row r="29">
          <cell r="B29" t="str">
            <v>Electric Zonal - HZ1CZ1</v>
          </cell>
          <cell r="C29">
            <v>0.1649901802637759</v>
          </cell>
          <cell r="D29">
            <v>0.85383980263040493</v>
          </cell>
          <cell r="E29">
            <v>0.85383980263040493</v>
          </cell>
          <cell r="F29">
            <v>3.0024948086295324E-2</v>
          </cell>
        </row>
        <row r="30">
          <cell r="B30" t="str">
            <v>Electric Zonal - HZ1CZ23</v>
          </cell>
          <cell r="C30">
            <v>9.8631712913821959E-2</v>
          </cell>
          <cell r="D30">
            <v>0.73333333554240632</v>
          </cell>
          <cell r="E30">
            <v>0.73333333554240632</v>
          </cell>
          <cell r="F30">
            <v>2.9788775817665265E-2</v>
          </cell>
        </row>
        <row r="31">
          <cell r="B31" t="str">
            <v>Electric Zonal - HZ23CZ1</v>
          </cell>
          <cell r="C31">
            <v>0.12476331328161443</v>
          </cell>
          <cell r="D31">
            <v>0.59999998409467525</v>
          </cell>
          <cell r="E31">
            <v>0.59999998409467525</v>
          </cell>
          <cell r="F31">
            <v>3.3197825672557038E-2</v>
          </cell>
        </row>
        <row r="32">
          <cell r="B32" t="str">
            <v>Electric Zonal - HZ23CZ23</v>
          </cell>
          <cell r="C32">
            <v>0.1649470283041021</v>
          </cell>
          <cell r="D32">
            <v>0.77777778759587934</v>
          </cell>
          <cell r="E32">
            <v>0.77777778759587934</v>
          </cell>
          <cell r="F32">
            <v>3.9084849826646118E-2</v>
          </cell>
        </row>
        <row r="33">
          <cell r="B33" t="str">
            <v>Electric Zonal - HZ1</v>
          </cell>
          <cell r="C33">
            <v>0.1391314348060306</v>
          </cell>
          <cell r="D33">
            <v>0.82591620954879041</v>
          </cell>
          <cell r="E33">
            <v>0.82591620954879041</v>
          </cell>
          <cell r="F33">
            <v>2.9912270132860779E-2</v>
          </cell>
        </row>
        <row r="34">
          <cell r="B34" t="str">
            <v>Electric Zonal - HZ23</v>
          </cell>
          <cell r="C34">
            <v>0.15414401084601026</v>
          </cell>
          <cell r="D34">
            <v>0.71428571563820797</v>
          </cell>
          <cell r="E34">
            <v>0.71428571563820797</v>
          </cell>
          <cell r="F34">
            <v>3.6944930507961368E-2</v>
          </cell>
        </row>
        <row r="35">
          <cell r="B35" t="str">
            <v>Electric Zonal - Region</v>
          </cell>
          <cell r="C35">
            <v>0.14287066416850494</v>
          </cell>
          <cell r="D35">
            <v>0.81033648311148054</v>
          </cell>
          <cell r="E35">
            <v>0.81033648311148054</v>
          </cell>
          <cell r="F35">
            <v>3.2508844225339915E-2</v>
          </cell>
        </row>
        <row r="36">
          <cell r="B36" t="str">
            <v>DHP - HZ1CZ1</v>
          </cell>
          <cell r="C36">
            <v>3.2261403645206709E-2</v>
          </cell>
          <cell r="D36">
            <v>2.3692380398754449E-2</v>
          </cell>
          <cell r="E36">
            <v>2.3692380398754449E-2</v>
          </cell>
          <cell r="F36">
            <v>1.2931050080460879E-2</v>
          </cell>
        </row>
        <row r="37">
          <cell r="B37" t="str">
            <v>DHP - HZ1CZ23</v>
          </cell>
          <cell r="C37">
            <v>1.0644758975689617E-2</v>
          </cell>
          <cell r="D37">
            <v>0</v>
          </cell>
          <cell r="E37">
            <v>0</v>
          </cell>
          <cell r="F37">
            <v>0</v>
          </cell>
        </row>
        <row r="38">
          <cell r="B38" t="str">
            <v>DHP - HZ23CZ1</v>
          </cell>
          <cell r="C38">
            <v>0</v>
          </cell>
          <cell r="D38">
            <v>0</v>
          </cell>
          <cell r="E38">
            <v>0</v>
          </cell>
          <cell r="F38">
            <v>2.3801185576297144E-2</v>
          </cell>
        </row>
        <row r="39">
          <cell r="B39" t="str">
            <v>DHP - HZ23CZ23</v>
          </cell>
          <cell r="C39">
            <v>2.8613550828090885E-3</v>
          </cell>
          <cell r="D39">
            <v>0</v>
          </cell>
          <cell r="E39">
            <v>0</v>
          </cell>
          <cell r="F39">
            <v>9.4794076514498494E-3</v>
          </cell>
        </row>
        <row r="40">
          <cell r="B40" t="str">
            <v>DHP - HZ1</v>
          </cell>
          <cell r="C40">
            <v>2.3837771598196254E-2</v>
          </cell>
          <cell r="D40">
            <v>1.8202414545664333E-2</v>
          </cell>
          <cell r="E40">
            <v>1.8202414545664333E-2</v>
          </cell>
          <cell r="F40">
            <v>6.761637103748332E-3</v>
          </cell>
        </row>
        <row r="41">
          <cell r="B41" t="str">
            <v>DHP - HZ23</v>
          </cell>
          <cell r="C41">
            <v>2.0921064233437379E-3</v>
          </cell>
          <cell r="D41">
            <v>0</v>
          </cell>
          <cell r="E41">
            <v>0</v>
          </cell>
          <cell r="F41">
            <v>1.4685339962430082E-2</v>
          </cell>
        </row>
        <row r="42">
          <cell r="B42" t="str">
            <v>DHP - Region</v>
          </cell>
          <cell r="C42">
            <v>1.8421510623943455E-2</v>
          </cell>
          <cell r="D42">
            <v>1.5661991860200661E-2</v>
          </cell>
          <cell r="E42">
            <v>1.5661991860200661E-2</v>
          </cell>
          <cell r="F42">
            <v>9.6871987634867523E-3</v>
          </cell>
        </row>
        <row r="43">
          <cell r="B43" t="str">
            <v>Central AC - CZ1</v>
          </cell>
          <cell r="C43">
            <v>8.7547645191238574E-2</v>
          </cell>
          <cell r="D43">
            <v>1.2325175673207357E-2</v>
          </cell>
          <cell r="E43">
            <v>1.2325175673207357E-2</v>
          </cell>
          <cell r="F43">
            <v>0.14076353391268348</v>
          </cell>
        </row>
        <row r="44">
          <cell r="B44" t="str">
            <v>Central AC - CZ23</v>
          </cell>
          <cell r="C44">
            <v>0.27842841395843276</v>
          </cell>
          <cell r="D44">
            <v>6.8965519290222155E-2</v>
          </cell>
          <cell r="E44">
            <v>6.8965519290222155E-2</v>
          </cell>
          <cell r="F44">
            <v>0.17641272113455647</v>
          </cell>
        </row>
        <row r="45">
          <cell r="B45" t="str">
            <v>Room A/C - CZ1</v>
          </cell>
          <cell r="C45">
            <v>3.8197963209166262E-2</v>
          </cell>
          <cell r="D45">
            <v>5.3226756579866766E-2</v>
          </cell>
          <cell r="E45">
            <v>5.3226756579866766E-2</v>
          </cell>
          <cell r="F45">
            <v>0.21069287259219041</v>
          </cell>
        </row>
        <row r="46">
          <cell r="B46" t="str">
            <v>Room A/C - CZ23</v>
          </cell>
          <cell r="C46">
            <v>9.88884449045868E-2</v>
          </cell>
          <cell r="D46">
            <v>0.10344827665008544</v>
          </cell>
          <cell r="E46">
            <v>0.10344827665008544</v>
          </cell>
          <cell r="F46">
            <v>0.16156829862253547</v>
          </cell>
        </row>
        <row r="47">
          <cell r="B47" t="str">
            <v>Electric WH</v>
          </cell>
          <cell r="C47">
            <v>0.55200000000000005</v>
          </cell>
          <cell r="D47">
            <v>0.94699999999999995</v>
          </cell>
          <cell r="E47">
            <v>0.94699999999999995</v>
          </cell>
          <cell r="F47">
            <v>0.88900000000000001</v>
          </cell>
        </row>
        <row r="48">
          <cell r="B48" t="str">
            <v>DWH &lt;55 inside</v>
          </cell>
          <cell r="C48">
            <v>0.34060273187152323</v>
          </cell>
          <cell r="D48">
            <v>0.69037391065424225</v>
          </cell>
          <cell r="E48">
            <v>0.69037391065424225</v>
          </cell>
          <cell r="F48">
            <v>0.64044035004660882</v>
          </cell>
        </row>
        <row r="49">
          <cell r="B49" t="str">
            <v>DHW &lt;55 outside buffer</v>
          </cell>
          <cell r="C49">
            <v>0.13278888545034082</v>
          </cell>
          <cell r="D49">
            <v>0</v>
          </cell>
          <cell r="E49">
            <v>0</v>
          </cell>
          <cell r="F49">
            <v>3.5084497934898207E-2</v>
          </cell>
        </row>
        <row r="50">
          <cell r="B50" t="str">
            <v>DHW &lt; 55 outside unbuffer</v>
          </cell>
          <cell r="C50">
            <v>0</v>
          </cell>
          <cell r="D50">
            <v>0</v>
          </cell>
          <cell r="E50">
            <v>0</v>
          </cell>
          <cell r="F50">
            <v>0.19050866802895391</v>
          </cell>
        </row>
        <row r="51">
          <cell r="B51" t="str">
            <v>DHW &gt;55 inside</v>
          </cell>
          <cell r="C51">
            <v>4.0633005829326954E-2</v>
          </cell>
          <cell r="D51">
            <v>5.571349522752414E-2</v>
          </cell>
          <cell r="E51">
            <v>5.571349522752414E-2</v>
          </cell>
          <cell r="F51">
            <v>0</v>
          </cell>
        </row>
        <row r="52">
          <cell r="B52" t="str">
            <v>DHW &gt;55 outside buffer</v>
          </cell>
          <cell r="C52">
            <v>1.9105116539180608E-2</v>
          </cell>
          <cell r="D52">
            <v>0</v>
          </cell>
          <cell r="E52">
            <v>0</v>
          </cell>
          <cell r="F52">
            <v>0</v>
          </cell>
        </row>
        <row r="53">
          <cell r="B53" t="str">
            <v>DHW &gt;55 outside unbuffer</v>
          </cell>
          <cell r="C53">
            <v>7.8395734639023578E-4</v>
          </cell>
          <cell r="D53">
            <v>0</v>
          </cell>
          <cell r="E53">
            <v>0</v>
          </cell>
          <cell r="F53">
            <v>0</v>
          </cell>
        </row>
        <row r="54">
          <cell r="B54" t="str">
            <v>Refrigerator</v>
          </cell>
          <cell r="C54">
            <v>1.2831400506742725</v>
          </cell>
          <cell r="D54">
            <v>1.0236201688615751</v>
          </cell>
          <cell r="E54">
            <v>1.0236201688615751</v>
          </cell>
          <cell r="F54">
            <v>1.1963734390534748</v>
          </cell>
        </row>
        <row r="55">
          <cell r="B55" t="str">
            <v>Freezer</v>
          </cell>
          <cell r="C55">
            <v>0.52766223341265472</v>
          </cell>
          <cell r="D55">
            <v>4.7085148422193572E-2</v>
          </cell>
          <cell r="E55">
            <v>4.7085148422193572E-2</v>
          </cell>
          <cell r="F55">
            <v>0.44147575101117187</v>
          </cell>
        </row>
        <row r="56">
          <cell r="B56" t="str">
            <v>ClothesWasher</v>
          </cell>
          <cell r="C56">
            <v>0.98546930096285335</v>
          </cell>
          <cell r="D56">
            <v>0.46477658924872384</v>
          </cell>
          <cell r="E56">
            <v>0.46477658924872384</v>
          </cell>
          <cell r="F56">
            <v>0.95368270905809616</v>
          </cell>
        </row>
        <row r="57">
          <cell r="B57" t="str">
            <v>Clothes Dryer</v>
          </cell>
          <cell r="C57">
            <v>0.93640551858187504</v>
          </cell>
          <cell r="D57">
            <v>0.46266057162974022</v>
          </cell>
          <cell r="E57">
            <v>0.46266057162974022</v>
          </cell>
          <cell r="F57">
            <v>0.88480083438048951</v>
          </cell>
        </row>
        <row r="58">
          <cell r="B58" t="str">
            <v>Dishwasher</v>
          </cell>
          <cell r="C58">
            <v>0.87764489634961651</v>
          </cell>
          <cell r="D58">
            <v>0.78113749066870952</v>
          </cell>
          <cell r="E58">
            <v>0.78113749066870952</v>
          </cell>
          <cell r="F58">
            <v>0.76196535734220561</v>
          </cell>
        </row>
        <row r="59">
          <cell r="B59" t="str">
            <v>Microwave</v>
          </cell>
          <cell r="C59">
            <v>0.95</v>
          </cell>
          <cell r="D59">
            <v>0.95</v>
          </cell>
          <cell r="E59">
            <v>0.95</v>
          </cell>
          <cell r="F59">
            <v>0.95</v>
          </cell>
        </row>
        <row r="60">
          <cell r="B60" t="str">
            <v>Electric Oven</v>
          </cell>
          <cell r="C60">
            <v>0.86895503473004965</v>
          </cell>
          <cell r="D60">
            <v>0.96585088459989477</v>
          </cell>
          <cell r="E60">
            <v>0.96585088459989477</v>
          </cell>
          <cell r="F60">
            <v>0.89920410170315002</v>
          </cell>
        </row>
        <row r="61">
          <cell r="B61" t="str">
            <v>TV</v>
          </cell>
          <cell r="C61">
            <v>2.2906090340948593</v>
          </cell>
          <cell r="D61">
            <v>1.5145007606068333</v>
          </cell>
          <cell r="E61">
            <v>1.5145007606068333</v>
          </cell>
          <cell r="F61">
            <v>2.0454162110233622</v>
          </cell>
        </row>
        <row r="62">
          <cell r="B62" t="str">
            <v>Set top box</v>
          </cell>
          <cell r="C62">
            <v>1.0654190989347723</v>
          </cell>
          <cell r="D62">
            <v>1.038434724492763</v>
          </cell>
          <cell r="E62">
            <v>1.038434724492763</v>
          </cell>
          <cell r="F62">
            <v>1.3170555258448295</v>
          </cell>
        </row>
        <row r="63">
          <cell r="B63" t="str">
            <v>Computer</v>
          </cell>
          <cell r="C63">
            <v>1.6655502145549572</v>
          </cell>
          <cell r="D63">
            <v>0.71239882016544165</v>
          </cell>
          <cell r="E63">
            <v>0.71239882016544165</v>
          </cell>
          <cell r="F63">
            <v>1.1331497454290105</v>
          </cell>
        </row>
        <row r="64">
          <cell r="B64" t="str">
            <v>Monitor</v>
          </cell>
          <cell r="C64">
            <v>1.0109839382712824</v>
          </cell>
          <cell r="D64">
            <v>0.45062457275939666</v>
          </cell>
          <cell r="E64">
            <v>0.45062457275939666</v>
          </cell>
          <cell r="F64">
            <v>0.72198913200149617</v>
          </cell>
        </row>
        <row r="65">
          <cell r="B65" t="str">
            <v>EISA nx</v>
          </cell>
          <cell r="C65">
            <v>0.73183262488926393</v>
          </cell>
          <cell r="D65">
            <v>0.41826483853544827</v>
          </cell>
          <cell r="E65">
            <v>0.41826483853544827</v>
          </cell>
          <cell r="F65">
            <v>0.81140182193357802</v>
          </cell>
        </row>
        <row r="66">
          <cell r="B66" t="str">
            <v>EISA x</v>
          </cell>
          <cell r="C66">
            <v>0.26816737511073607</v>
          </cell>
          <cell r="D66">
            <v>0.58148897029728519</v>
          </cell>
          <cell r="E66">
            <v>0.58148897029728519</v>
          </cell>
          <cell r="F66">
            <v>0.18859817806642193</v>
          </cell>
        </row>
        <row r="67">
          <cell r="B67" t="str">
            <v>WallSqft</v>
          </cell>
          <cell r="C67">
            <v>1802.7725325176218</v>
          </cell>
          <cell r="D67">
            <v>487</v>
          </cell>
          <cell r="E67"/>
          <cell r="F67">
            <v>1216.4209797598855</v>
          </cell>
        </row>
        <row r="68">
          <cell r="B68" t="str">
            <v>AtticSqft</v>
          </cell>
          <cell r="C68">
            <v>1431.3235818765609</v>
          </cell>
          <cell r="D68">
            <v>407</v>
          </cell>
          <cell r="E68"/>
          <cell r="F68">
            <v>1280</v>
          </cell>
        </row>
        <row r="69">
          <cell r="B69" t="str">
            <v>FloorSqft</v>
          </cell>
          <cell r="C69">
            <v>1431.3235818765609</v>
          </cell>
          <cell r="D69">
            <v>390</v>
          </cell>
          <cell r="E69"/>
          <cell r="F69">
            <v>1280</v>
          </cell>
        </row>
        <row r="70">
          <cell r="B70" t="str">
            <v>WindowSqft</v>
          </cell>
          <cell r="C70">
            <v>178.91544773457011</v>
          </cell>
          <cell r="D70">
            <v>174</v>
          </cell>
          <cell r="E70"/>
          <cell r="F70">
            <v>160</v>
          </cell>
        </row>
        <row r="71">
          <cell r="B71" t="str">
            <v>HomeSqft</v>
          </cell>
          <cell r="C71">
            <v>2006</v>
          </cell>
          <cell r="D71">
            <v>1150</v>
          </cell>
          <cell r="E71">
            <v>1150</v>
          </cell>
          <cell r="F71">
            <v>1280</v>
          </cell>
        </row>
        <row r="72">
          <cell r="B72" t="str">
            <v>Lighting</v>
          </cell>
          <cell r="C72">
            <v>63</v>
          </cell>
          <cell r="D72">
            <v>23</v>
          </cell>
          <cell r="E72">
            <v>23</v>
          </cell>
          <cell r="F72">
            <v>34.5</v>
          </cell>
        </row>
        <row r="73">
          <cell r="B73"/>
          <cell r="C73"/>
          <cell r="D73"/>
          <cell r="E73"/>
          <cell r="F73"/>
        </row>
        <row r="74">
          <cell r="B74"/>
          <cell r="C74"/>
          <cell r="D74"/>
          <cell r="E74"/>
          <cell r="F74"/>
        </row>
        <row r="75">
          <cell r="B75"/>
          <cell r="C75"/>
          <cell r="D75"/>
          <cell r="E75"/>
          <cell r="F75"/>
        </row>
        <row r="76">
          <cell r="B76"/>
          <cell r="C76"/>
          <cell r="D76"/>
          <cell r="E76"/>
          <cell r="F76"/>
        </row>
        <row r="77">
          <cell r="B77"/>
          <cell r="C77"/>
          <cell r="D77"/>
          <cell r="E77"/>
          <cell r="F77"/>
        </row>
        <row r="78">
          <cell r="B78"/>
          <cell r="C78"/>
          <cell r="D78"/>
          <cell r="E78"/>
          <cell r="F78"/>
        </row>
        <row r="79">
          <cell r="B79"/>
          <cell r="C79"/>
          <cell r="D79"/>
          <cell r="E79"/>
          <cell r="F79"/>
        </row>
        <row r="80">
          <cell r="B80"/>
          <cell r="C80"/>
          <cell r="D80"/>
          <cell r="E80"/>
          <cell r="F80"/>
        </row>
        <row r="81">
          <cell r="B81"/>
          <cell r="C81"/>
          <cell r="D81"/>
          <cell r="E81"/>
          <cell r="F81"/>
        </row>
        <row r="82">
          <cell r="B82"/>
          <cell r="C82"/>
          <cell r="D82"/>
          <cell r="E82"/>
          <cell r="F82"/>
        </row>
        <row r="83">
          <cell r="B83"/>
          <cell r="C83"/>
          <cell r="D83"/>
          <cell r="E83"/>
          <cell r="F83"/>
        </row>
        <row r="84">
          <cell r="C84"/>
          <cell r="F84"/>
        </row>
      </sheetData>
      <sheetData sheetId="12"/>
      <sheetData sheetId="13"/>
      <sheetData sheetId="14"/>
      <sheetData sheetId="15"/>
      <sheetData sheetId="16"/>
      <sheetData sheetId="17"/>
      <sheetData sheetId="1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F"/>
      <sheetName val="MF"/>
      <sheetName val="MH"/>
      <sheetName val="SF Estimates"/>
      <sheetName val="MH_Estimates"/>
      <sheetName val="MF_Estimates"/>
      <sheetName val="Estimates"/>
      <sheetName val="RBSA Saturations"/>
    </sheetNames>
    <sheetDataSet>
      <sheetData sheetId="0">
        <row r="12">
          <cell r="I12">
            <v>6.8910359437455118E-2</v>
          </cell>
        </row>
      </sheetData>
      <sheetData sheetId="1">
        <row r="11">
          <cell r="I11">
            <v>2.9671514740017984E-2</v>
          </cell>
        </row>
        <row r="42">
          <cell r="L42">
            <v>2.8699855704800672E-2</v>
          </cell>
        </row>
        <row r="45">
          <cell r="L45">
            <v>6.7745759632013416E-2</v>
          </cell>
        </row>
      </sheetData>
      <sheetData sheetId="2">
        <row r="12">
          <cell r="I12">
            <v>0.68310644913823848</v>
          </cell>
        </row>
      </sheetData>
      <sheetData sheetId="3"/>
      <sheetData sheetId="4"/>
      <sheetData sheetId="5">
        <row r="8">
          <cell r="U8">
            <v>0.88103855953347165</v>
          </cell>
          <cell r="AB8">
            <v>0.92129049708007305</v>
          </cell>
          <cell r="AC8">
            <v>3.6696351091910953E-2</v>
          </cell>
          <cell r="AD8">
            <v>1.8522654825686893E-2</v>
          </cell>
          <cell r="AE8">
            <v>2.3490497002329143E-2</v>
          </cell>
        </row>
        <row r="22">
          <cell r="AB22">
            <v>0.68450854702444841</v>
          </cell>
          <cell r="AC22">
            <v>1</v>
          </cell>
          <cell r="AD22">
            <v>1</v>
          </cell>
          <cell r="AE22">
            <v>0.59792533212714805</v>
          </cell>
        </row>
        <row r="23">
          <cell r="AB23">
            <v>0.22937589745883932</v>
          </cell>
          <cell r="AC23">
            <v>0</v>
          </cell>
          <cell r="AD23">
            <v>0</v>
          </cell>
          <cell r="AE23">
            <v>0.4020746678728519</v>
          </cell>
        </row>
        <row r="24">
          <cell r="AB24">
            <v>8.6115555516712267E-2</v>
          </cell>
          <cell r="AC24">
            <v>0</v>
          </cell>
          <cell r="AD24">
            <v>0</v>
          </cell>
          <cell r="AE24">
            <v>0</v>
          </cell>
        </row>
      </sheetData>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Tina Jayaweera" refreshedDate="41947.617095833331" createdVersion="3" refreshedVersion="3" minRefreshableVersion="3" recordCount="629">
  <cacheSource type="worksheet">
    <worksheetSource ref="A2:K1404" sheet="Attic"/>
  </cacheSource>
  <cacheFields count="12">
    <cacheField name="siteid" numFmtId="0">
      <sharedItems containsString="0" containsBlank="1" containsNumber="1" containsInteger="1" minValue="128" maxValue="80061"/>
    </cacheField>
    <cacheField name="component_it" numFmtId="0">
      <sharedItems containsBlank="1"/>
    </cacheField>
    <cacheField name="atticceil_it" numFmtId="0">
      <sharedItems containsString="0" containsBlank="1" containsNumber="1" containsInteger="1" minValue="1" maxValue="2"/>
    </cacheField>
    <cacheField name="AtticInsLvl" numFmtId="0">
      <sharedItems containsBlank="1" count="9">
        <s v="R31-R40"/>
        <s v="R21-25"/>
        <s v="R16-R20"/>
        <s v="R0-R10"/>
        <s v="R41-R50"/>
        <s v="R11-R15"/>
        <s v="R26-R30"/>
        <s v="R50+"/>
        <m/>
      </sharedItems>
    </cacheField>
    <cacheField name="AtticInsCond" numFmtId="0">
      <sharedItems containsString="0" containsBlank="1" containsNumber="1" minValue="0.25" maxValue="1"/>
    </cacheField>
    <cacheField name="AtticArea" numFmtId="0">
      <sharedItems containsString="0" containsBlank="1" containsNumber="1" containsInteger="1" minValue="750" maxValue="42545"/>
    </cacheField>
    <cacheField name="AtticEstImprovement" numFmtId="0">
      <sharedItems containsString="0" containsBlank="1" containsNumber="1" containsInteger="1" minValue="0" maxValue="50" count="19">
        <n v="30"/>
        <n v="38"/>
        <n v="19"/>
        <n v="0"/>
        <m/>
        <n v="50"/>
        <n v="15"/>
        <n v="21"/>
        <n v="49"/>
        <n v="35"/>
        <n v="10"/>
        <n v="20"/>
        <n v="8"/>
        <n v="12"/>
        <n v="9"/>
        <n v="14"/>
        <n v="13"/>
        <n v="40"/>
        <n v="6"/>
      </sharedItems>
    </cacheField>
    <cacheField name="AtticInsType" numFmtId="0">
      <sharedItems containsBlank="1"/>
    </cacheField>
    <cacheField name="u_ceil" numFmtId="0">
      <sharedItems containsString="0" containsBlank="1" containsNumber="1" minValue="1.9999999552965199E-2" maxValue="0.33000001311302202"/>
    </cacheField>
    <cacheField name="# floors" numFmtId="0">
      <sharedItems containsBlank="1"/>
    </cacheField>
    <cacheField name="Weight" numFmtId="0">
      <sharedItems containsString="0" containsBlank="1" containsNumber="1" minValue="4.1963000297546396" maxValue="1257.44055175781"/>
    </cacheField>
    <cacheField name="LowRiseWght" numFmtId="0">
      <sharedItems containsBlank="1" containsMixedTypes="1" containsNumber="1" minValue="6.93186235427856" maxValue="1257.44055175781"/>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Tina Jayaweera" refreshedDate="41947.617446064818" createdVersion="3" refreshedVersion="3" minRefreshableVersion="3" recordCount="373">
  <cacheSource type="worksheet">
    <worksheetSource ref="A1:M400" sheet="Window"/>
  </cacheSource>
  <cacheFields count="14">
    <cacheField name="siteid" numFmtId="0">
      <sharedItems containsString="0" containsBlank="1" containsNumber="1" containsInteger="1" minValue="128" maxValue="80073"/>
    </cacheField>
    <cacheField name="component_it" numFmtId="0">
      <sharedItems containsBlank="1"/>
    </cacheField>
    <cacheField name="window_it" numFmtId="0">
      <sharedItems containsString="0" containsBlank="1" containsNumber="1" containsInteger="1" minValue="1" maxValue="3"/>
    </cacheField>
    <cacheField name="WindowFrameType" numFmtId="0">
      <sharedItems containsBlank="1" count="3">
        <s v="Wood, Vinyl, or Fiberglass"/>
        <s v="Metal"/>
        <m/>
      </sharedItems>
    </cacheField>
    <cacheField name="WindowGlazingType" numFmtId="0">
      <sharedItems containsBlank="1"/>
    </cacheField>
    <cacheField name="WindowSpaceWidth" numFmtId="0">
      <sharedItems containsBlank="1"/>
    </cacheField>
    <cacheField name="WindowPercentOperable" numFmtId="0">
      <sharedItems containsString="0" containsBlank="1" containsNumber="1" containsInteger="1" minValue="0" maxValue="100"/>
    </cacheField>
    <cacheField name="WindowArea" numFmtId="0">
      <sharedItems containsString="0" containsBlank="1" containsNumber="1" containsInteger="1" minValue="5" maxValue="123090"/>
    </cacheField>
    <cacheField name="u_window" numFmtId="0">
      <sharedItems containsString="0" containsBlank="1" containsNumber="1" minValue="0.44999998807907099" maxValue="1.1000000238418599"/>
    </cacheField>
    <cacheField name="WindowStormsPresent" numFmtId="0">
      <sharedItems containsBlank="1"/>
    </cacheField>
    <cacheField name="WindowLowE" numFmtId="0">
      <sharedItems containsBlank="1"/>
    </cacheField>
    <cacheField name="# floors" numFmtId="0">
      <sharedItems containsBlank="1"/>
    </cacheField>
    <cacheField name="Weight" numFmtId="0">
      <sharedItems containsString="0" containsBlank="1" containsNumber="1" minValue="3.0765006542205802" maxValue="1257.44055175781"/>
    </cacheField>
    <cacheField name="LowRiseWght" numFmtId="0">
      <sharedItems containsBlank="1" containsMixedTypes="1" containsNumber="1" minValue="6.93186235427856" maxValue="1257.44055175781"/>
    </cacheField>
  </cacheFields>
</pivotCacheDefinition>
</file>

<file path=xl/pivotCache/pivotCacheDefinition3.xml><?xml version="1.0" encoding="utf-8"?>
<pivotCacheDefinition xmlns="http://schemas.openxmlformats.org/spreadsheetml/2006/main" xmlns:r="http://schemas.openxmlformats.org/officeDocument/2006/relationships" r:id="rId1" refreshedBy="Tina Jayaweera" refreshedDate="41947.617499537038" createdVersion="3" refreshedVersion="3" minRefreshableVersion="3" recordCount="373">
  <cacheSource type="worksheet">
    <worksheetSource ref="A1:M500" sheet="Window"/>
  </cacheSource>
  <cacheFields count="14">
    <cacheField name="siteid" numFmtId="0">
      <sharedItems containsString="0" containsBlank="1" containsNumber="1" containsInteger="1" minValue="128" maxValue="80073"/>
    </cacheField>
    <cacheField name="component_it" numFmtId="0">
      <sharedItems containsBlank="1"/>
    </cacheField>
    <cacheField name="window_it" numFmtId="0">
      <sharedItems containsString="0" containsBlank="1" containsNumber="1" containsInteger="1" minValue="1" maxValue="3"/>
    </cacheField>
    <cacheField name="WindowFrameType" numFmtId="0">
      <sharedItems containsBlank="1" count="3">
        <s v="Wood, Vinyl, or Fiberglass"/>
        <s v="Metal"/>
        <m/>
      </sharedItems>
    </cacheField>
    <cacheField name="WindowGlazingType" numFmtId="0">
      <sharedItems containsBlank="1"/>
    </cacheField>
    <cacheField name="WindowSpaceWidth" numFmtId="0">
      <sharedItems containsBlank="1"/>
    </cacheField>
    <cacheField name="WindowPercentOperable" numFmtId="0">
      <sharedItems containsString="0" containsBlank="1" containsNumber="1" containsInteger="1" minValue="0" maxValue="100"/>
    </cacheField>
    <cacheField name="WindowArea" numFmtId="0">
      <sharedItems containsString="0" containsBlank="1" containsNumber="1" containsInteger="1" minValue="5" maxValue="123090"/>
    </cacheField>
    <cacheField name="u_window" numFmtId="0">
      <sharedItems containsString="0" containsBlank="1" containsNumber="1" minValue="0.44999998807907099" maxValue="1.1000000238418599" count="10">
        <n v="0.55000001192092896"/>
        <n v="0.85000002384185802"/>
        <n v="0.75"/>
        <n v="0.60000002384185802"/>
        <n v="0.44999998807907099"/>
        <n v="1.1000000238418599"/>
        <n v="0.80000001192092896"/>
        <n v="0.89999997615814198"/>
        <n v="0.94999998807907104"/>
        <m/>
      </sharedItems>
    </cacheField>
    <cacheField name="WindowStormsPresent" numFmtId="0">
      <sharedItems containsBlank="1"/>
    </cacheField>
    <cacheField name="WindowLowE" numFmtId="0">
      <sharedItems containsBlank="1"/>
    </cacheField>
    <cacheField name="# floors" numFmtId="0">
      <sharedItems containsBlank="1"/>
    </cacheField>
    <cacheField name="Weight" numFmtId="0">
      <sharedItems containsString="0" containsBlank="1" containsNumber="1" minValue="3.0765006542205802" maxValue="1257.44055175781"/>
    </cacheField>
    <cacheField name="LowRiseWght" numFmtId="0">
      <sharedItems containsBlank="1" containsMixedTypes="1" containsNumber="1" minValue="6.93186235427856" maxValue="1257.44055175781"/>
    </cacheField>
  </cacheFields>
</pivotCacheDefinition>
</file>

<file path=xl/pivotCache/pivotCacheDefinition4.xml><?xml version="1.0" encoding="utf-8"?>
<pivotCacheDefinition xmlns="http://schemas.openxmlformats.org/spreadsheetml/2006/main" xmlns:r="http://schemas.openxmlformats.org/officeDocument/2006/relationships" r:id="rId1" refreshedBy="Tina Jayaweera" refreshedDate="41947.617826273148" createdVersion="3" refreshedVersion="3" minRefreshableVersion="3" recordCount="46">
  <cacheSource type="worksheet">
    <worksheetSource ref="A1:P100" sheet="FlCrawl"/>
  </cacheSource>
  <cacheFields count="17">
    <cacheField name="siteid" numFmtId="0">
      <sharedItems containsString="0" containsBlank="1" containsNumber="1" containsInteger="1" minValue="10323" maxValue="80073"/>
    </cacheField>
    <cacheField name="component_it" numFmtId="0">
      <sharedItems containsBlank="1"/>
    </cacheField>
    <cacheField name="StdFloorInsulation" numFmtId="0">
      <sharedItems containsBlank="1" count="7">
        <s v="R4-R10"/>
        <s v="R11-R15"/>
        <s v="None"/>
        <s v="R28-R35"/>
        <s v="R16-R22"/>
        <s v="R23-R27"/>
        <m/>
      </sharedItems>
    </cacheField>
    <cacheField name="StdFloorInsulationCondition" numFmtId="0">
      <sharedItems containsString="0" containsBlank="1" containsNumber="1" minValue="0.5" maxValue="1"/>
    </cacheField>
    <cacheField name="CrawlWallInsLevel" numFmtId="0">
      <sharedItems containsBlank="1"/>
    </cacheField>
    <cacheField name="CrawlArea" numFmtId="0">
      <sharedItems containsString="0" containsBlank="1" containsNumber="1" containsInteger="1" minValue="245" maxValue="35836"/>
    </cacheField>
    <cacheField name="CrawlFraming" numFmtId="0">
      <sharedItems containsBlank="1"/>
    </cacheField>
    <cacheField name="CrawlJoistSize" numFmtId="0">
      <sharedItems containsBlank="1" count="5">
        <m/>
        <s v="2x10"/>
        <s v="2x8"/>
        <s v="2x12"/>
        <s v="2x6"/>
      </sharedItems>
    </cacheField>
    <cacheField name="u_floor" numFmtId="0">
      <sharedItems containsString="0" containsBlank="1" containsNumber="1" minValue="2.9999999329447701E-2" maxValue="0.230000004172325"/>
    </cacheField>
    <cacheField name="u_crawl_wall" numFmtId="0">
      <sharedItems containsString="0" containsBlank="1" containsNumber="1" minValue="3.0999999046325701" maxValue="7.5999999046325701"/>
    </cacheField>
    <cacheField name="CrawlWallInsulated" numFmtId="0">
      <sharedItems containsBlank="1"/>
    </cacheField>
    <cacheField name="CrawlVentsPresent" numFmtId="0">
      <sharedItems containsBlank="1"/>
    </cacheField>
    <cacheField name="CrawlVentsBlocked" numFmtId="0">
      <sharedItems containsBlank="1"/>
    </cacheField>
    <cacheField name="CrawlMoreInsulation" numFmtId="0">
      <sharedItems containsBlank="1" count="3">
        <b v="1"/>
        <b v="0"/>
        <m/>
      </sharedItems>
    </cacheField>
    <cacheField name="# floors" numFmtId="0">
      <sharedItems containsBlank="1"/>
    </cacheField>
    <cacheField name="Weight" numFmtId="0">
      <sharedItems containsString="0" containsBlank="1" containsNumber="1" minValue="10.1410579681396" maxValue="1257.44055175781"/>
    </cacheField>
    <cacheField name="LowRiseWght" numFmtId="0">
      <sharedItems containsBlank="1" containsMixedTypes="1" containsNumber="1" minValue="26.7130317687988" maxValue="1257.44055175781"/>
    </cacheField>
  </cacheFields>
</pivotCacheDefinition>
</file>

<file path=xl/pivotCache/pivotCacheRecords1.xml><?xml version="1.0" encoding="utf-8"?>
<pivotCacheRecords xmlns="http://schemas.openxmlformats.org/spreadsheetml/2006/main" xmlns:r="http://schemas.openxmlformats.org/officeDocument/2006/relationships" count="629">
  <r>
    <n v="128"/>
    <s v="ceiling_1"/>
    <n v="1"/>
    <x v="0"/>
    <n v="1"/>
    <n v="3975"/>
    <x v="0"/>
    <s v="Blown FB"/>
    <n v="2.5000000372528999E-2"/>
    <s v="1-3 stories"/>
    <n v="443.80252075195301"/>
    <n v="443.80252075195301"/>
  </r>
  <r>
    <n v="128"/>
    <s v="ceiling_2"/>
    <n v="2"/>
    <x v="0"/>
    <n v="1"/>
    <n v="795"/>
    <x v="0"/>
    <s v="Blown FB"/>
    <n v="2.5000000372528999E-2"/>
    <s v="1-3 stories"/>
    <n v="443.80252075195301"/>
    <n v="443.80252075195301"/>
  </r>
  <r>
    <n v="10137"/>
    <s v="ceiling_1"/>
    <n v="1"/>
    <x v="1"/>
    <n v="0.89999997615814198"/>
    <n v="6460"/>
    <x v="1"/>
    <s v="Batt Fiberglass"/>
    <n v="9.00000035762787E-2"/>
    <s v="1-3 stories"/>
    <n v="300.26898193359398"/>
    <n v="300.26898193359398"/>
  </r>
  <r>
    <n v="10238"/>
    <s v="ceiling_1"/>
    <n v="1"/>
    <x v="2"/>
    <n v="1"/>
    <n v="8658"/>
    <x v="2"/>
    <s v="Batt Fiberglass"/>
    <n v="5.0000000745058101E-2"/>
    <s v="1-3 stories"/>
    <n v="160.14344787597699"/>
    <n v="160.14344787597699"/>
  </r>
  <r>
    <n v="10260"/>
    <s v="ceiling_1"/>
    <n v="1"/>
    <x v="1"/>
    <n v="0.89999997615814198"/>
    <n v="2000"/>
    <x v="3"/>
    <s v="Batt Fiberglass"/>
    <n v="9.00000035762787E-2"/>
    <s v="1-3 stories"/>
    <n v="480.43035888671898"/>
    <n v="480.43035888671898"/>
  </r>
  <r>
    <n v="10400"/>
    <s v="ceiling_1"/>
    <n v="1"/>
    <x v="3"/>
    <n v="0.89999997615814198"/>
    <n v="17064"/>
    <x v="4"/>
    <m/>
    <n v="0.15000000596046401"/>
    <s v="1-3 stories"/>
    <n v="34.345653533935497"/>
    <n v="34.345653533935497"/>
  </r>
  <r>
    <n v="10480"/>
    <s v="ceiling_1"/>
    <n v="1"/>
    <x v="4"/>
    <n v="0.89999997615814198"/>
    <n v="3650"/>
    <x v="4"/>
    <s v="Blown FB"/>
    <n v="7.0000000298023196E-2"/>
    <s v="1-3 stories"/>
    <n v="400.358642578125"/>
    <n v="400.358642578125"/>
  </r>
  <r>
    <n v="10495"/>
    <s v="ceiling_1"/>
    <n v="1"/>
    <x v="5"/>
    <n v="0.89999997615814198"/>
    <n v="4849"/>
    <x v="0"/>
    <s v="Blown FB"/>
    <n v="0.109999999403954"/>
    <s v="1-3 stories"/>
    <n v="206.07391357421901"/>
    <n v="206.07391357421901"/>
  </r>
  <r>
    <n v="10587"/>
    <s v="ceiling_1"/>
    <n v="1"/>
    <x v="3"/>
    <n v="0.89999997615814198"/>
    <n v="4758"/>
    <x v="4"/>
    <m/>
    <n v="0.15000000596046401"/>
    <s v="1-3 stories"/>
    <n v="266.90576171875"/>
    <n v="266.90576171875"/>
  </r>
  <r>
    <n v="10614"/>
    <s v="ceiling_1"/>
    <n v="1"/>
    <x v="0"/>
    <n v="0.89999997615814198"/>
    <n v="16019"/>
    <x v="0"/>
    <s v="Blown FB"/>
    <n v="7.5000002980232197E-2"/>
    <s v="4-6 stories"/>
    <n v="114.388175964355"/>
    <s v=""/>
  </r>
  <r>
    <n v="10805"/>
    <s v="ceiling_1"/>
    <n v="1"/>
    <x v="0"/>
    <n v="0.89999997615814198"/>
    <n v="3531"/>
    <x v="2"/>
    <s v="Blown Cellulose"/>
    <n v="7.5000002980232197E-2"/>
    <s v="1-3 stories"/>
    <n v="686.32904052734398"/>
    <n v="686.32904052734398"/>
  </r>
  <r>
    <n v="10862"/>
    <s v="ceiling_1"/>
    <n v="1"/>
    <x v="1"/>
    <n v="0.5"/>
    <n v="4543"/>
    <x v="0"/>
    <s v="Blown Rock Wool"/>
    <n v="0.245000004768372"/>
    <s v="1-3 stories"/>
    <n v="85.864128112792997"/>
    <n v="85.864128112792997"/>
  </r>
  <r>
    <n v="10871"/>
    <s v="ceiling_1"/>
    <n v="1"/>
    <x v="2"/>
    <n v="1"/>
    <n v="10700"/>
    <x v="3"/>
    <s v="Batt Fiberglass"/>
    <n v="5.0000000745058101E-2"/>
    <s v="1-3 stories"/>
    <n v="200.17932128906301"/>
    <n v="200.17932128906301"/>
  </r>
  <r>
    <n v="10901"/>
    <s v="ceiling_1"/>
    <n v="1"/>
    <x v="3"/>
    <n v="0.89999997615814198"/>
    <n v="6950"/>
    <x v="5"/>
    <s v="Blown Cellulose"/>
    <n v="0.15000000596046401"/>
    <s v="1-3 stories"/>
    <n v="228.97100830078099"/>
    <n v="228.97100830078099"/>
  </r>
  <r>
    <n v="10910"/>
    <s v="ceiling_1"/>
    <n v="1"/>
    <x v="2"/>
    <n v="1"/>
    <n v="7190"/>
    <x v="6"/>
    <s v="Blown FB"/>
    <n v="5.0000000745058101E-2"/>
    <s v="1-3 stories"/>
    <n v="206.07391357421901"/>
    <n v="206.07391357421901"/>
  </r>
  <r>
    <n v="10996"/>
    <s v="ceiling_1"/>
    <n v="1"/>
    <x v="0"/>
    <n v="0.89999997615814198"/>
    <n v="7100"/>
    <x v="4"/>
    <m/>
    <n v="7.5000002980232197E-2"/>
    <s v="1-3 stories"/>
    <n v="112.106643676758"/>
    <n v="112.106643676758"/>
  </r>
  <r>
    <n v="11005"/>
    <s v="ceiling_1"/>
    <n v="1"/>
    <x v="3"/>
    <n v="0.89999997615814198"/>
    <n v="1552"/>
    <x v="4"/>
    <m/>
    <n v="0.15000000596046401"/>
    <s v="1-3 stories"/>
    <n v="358.74127197265602"/>
    <n v="358.74127197265602"/>
  </r>
  <r>
    <n v="11263"/>
    <s v="ceiling_1"/>
    <n v="1"/>
    <x v="5"/>
    <n v="1"/>
    <n v="2520"/>
    <x v="6"/>
    <s v="Blown Cellulose"/>
    <n v="7.0000000298023196E-2"/>
    <s v="1-3 stories"/>
    <n v="343.45651245117199"/>
    <n v="343.45651245117199"/>
  </r>
  <r>
    <n v="11290"/>
    <s v="ceiling_1"/>
    <n v="1"/>
    <x v="3"/>
    <n v="0.89999997615814198"/>
    <n v="7176"/>
    <x v="4"/>
    <m/>
    <n v="0.15000000596046401"/>
    <s v="1-3 stories"/>
    <n v="99.650344848632798"/>
    <n v="99.650344848632798"/>
  </r>
  <r>
    <n v="11413"/>
    <s v="ceiling_1"/>
    <n v="1"/>
    <x v="6"/>
    <n v="0.89999997615814198"/>
    <n v="11595"/>
    <x v="3"/>
    <s v="Batt Fiberglass"/>
    <n v="7.9999998211860698E-2"/>
    <s v="4-6 stories"/>
    <n v="53.381153106689503"/>
    <s v=""/>
  </r>
  <r>
    <n v="11413"/>
    <s v="ceiling_2"/>
    <n v="2"/>
    <x v="0"/>
    <n v="0.89999997615814198"/>
    <n v="12682"/>
    <x v="3"/>
    <s v="Batt Fiberglass"/>
    <n v="7.5000002980232197E-2"/>
    <s v="4-6 stories"/>
    <n v="53.381153106689503"/>
    <s v=""/>
  </r>
  <r>
    <n v="11537"/>
    <s v="ceiling_1"/>
    <n v="1"/>
    <x v="3"/>
    <n v="0.89999997615814198"/>
    <n v="3072"/>
    <x v="4"/>
    <m/>
    <n v="0.15000000596046401"/>
    <s v="1-3 stories"/>
    <n v="149.47552490234401"/>
    <n v="149.47552490234401"/>
  </r>
  <r>
    <n v="11598"/>
    <s v="ceiling_1"/>
    <n v="1"/>
    <x v="6"/>
    <n v="1"/>
    <n v="4008"/>
    <x v="4"/>
    <s v="Batt Fiberglass"/>
    <n v="3.5000000149011598E-2"/>
    <s v="1-3 stories"/>
    <n v="400.358642578125"/>
    <n v="400.358642578125"/>
  </r>
  <r>
    <n v="11879"/>
    <s v="ceiling_1"/>
    <n v="1"/>
    <x v="1"/>
    <n v="0.89999997615814198"/>
    <n v="4600"/>
    <x v="7"/>
    <s v="Blown FB"/>
    <n v="9.00000035762787E-2"/>
    <s v="1-3 stories"/>
    <n v="600.53796386718795"/>
    <n v="600.53796386718795"/>
  </r>
  <r>
    <n v="11887"/>
    <s v="ceiling_1"/>
    <n v="1"/>
    <x v="2"/>
    <n v="0.89999997615814198"/>
    <n v="40240"/>
    <x v="4"/>
    <s v="Batt Fiberglass"/>
    <n v="9.4999998807907104E-2"/>
    <s v="1-3 stories"/>
    <n v="53.381153106689503"/>
    <n v="53.381153106689503"/>
  </r>
  <r>
    <n v="11930"/>
    <s v="ceiling_1"/>
    <n v="1"/>
    <x v="2"/>
    <n v="0.5"/>
    <n v="3667"/>
    <x v="8"/>
    <s v="Blown Cellulose"/>
    <n v="0.25"/>
    <s v="1-3 stories"/>
    <n v="600.53796386718795"/>
    <n v="600.53796386718795"/>
  </r>
  <r>
    <n v="11949"/>
    <s v="ceiling_1"/>
    <n v="1"/>
    <x v="2"/>
    <n v="0.89999997615814198"/>
    <n v="22361"/>
    <x v="4"/>
    <s v="Blown Cellulose"/>
    <n v="9.4999998807907104E-2"/>
    <s v="4-6 stories"/>
    <n v="57.194087982177699"/>
    <s v=""/>
  </r>
  <r>
    <n v="12167"/>
    <s v="ceiling_1"/>
    <n v="1"/>
    <x v="6"/>
    <n v="0.89999997615814198"/>
    <n v="3180"/>
    <x v="0"/>
    <s v="Batt Fiberglass"/>
    <n v="7.9999998211860698E-2"/>
    <s v="1-3 stories"/>
    <n v="400.358642578125"/>
    <n v="400.358642578125"/>
  </r>
  <r>
    <n v="12405"/>
    <s v="ceiling_1"/>
    <n v="1"/>
    <x v="2"/>
    <n v="0.89999997615814198"/>
    <n v="6140"/>
    <x v="4"/>
    <s v="Batt Fiberglass"/>
    <n v="9.4999998807907104E-2"/>
    <s v="1-3 stories"/>
    <n v="165.66564941406301"/>
    <n v="165.66564941406301"/>
  </r>
  <r>
    <n v="12511"/>
    <s v="ceiling_1"/>
    <n v="1"/>
    <x v="3"/>
    <n v="0.89999997615814198"/>
    <n v="12235"/>
    <x v="4"/>
    <m/>
    <n v="0.15000000596046401"/>
    <s v="4-6 stories"/>
    <n v="35.170711517333999"/>
    <s v=""/>
  </r>
  <r>
    <n v="12651"/>
    <s v="ceiling_1"/>
    <n v="1"/>
    <x v="7"/>
    <n v="0.89999997615814198"/>
    <n v="5366"/>
    <x v="3"/>
    <s v="Blown Cellulose"/>
    <n v="7.0000000298023196E-2"/>
    <s v="1-3 stories"/>
    <n v="266.90576171875"/>
    <n v="266.90576171875"/>
  </r>
  <r>
    <n v="12783"/>
    <s v="ceiling_1"/>
    <n v="1"/>
    <x v="0"/>
    <n v="1"/>
    <n v="6867"/>
    <x v="3"/>
    <s v="Batt Fiberglass"/>
    <n v="2.5000000372528999E-2"/>
    <s v="4-6 stories"/>
    <n v="35.330135345458999"/>
    <s v=""/>
  </r>
  <r>
    <n v="12932"/>
    <s v="ceiling_1"/>
    <n v="1"/>
    <x v="3"/>
    <n v="0.89999997615814198"/>
    <n v="6223"/>
    <x v="9"/>
    <s v="Batt Fiberglass"/>
    <n v="0.15000000596046401"/>
    <s v="4-6 stories"/>
    <n v="137.38261413574199"/>
    <s v=""/>
  </r>
  <r>
    <n v="12986"/>
    <s v="ceiling_1"/>
    <n v="1"/>
    <x v="0"/>
    <n v="1"/>
    <n v="27437"/>
    <x v="3"/>
    <s v="Batt Fiberglass"/>
    <n v="2.5000000372528999E-2"/>
    <s v="4-6 stories"/>
    <n v="19.080919265747099"/>
    <s v=""/>
  </r>
  <r>
    <n v="13048"/>
    <s v="ceiling_1"/>
    <n v="1"/>
    <x v="4"/>
    <n v="1"/>
    <n v="4230"/>
    <x v="3"/>
    <s v="Batt Fiberglass"/>
    <n v="1.9999999552965199E-2"/>
    <s v="1-3 stories"/>
    <n v="266.90576171875"/>
    <n v="266.90576171875"/>
  </r>
  <r>
    <n v="13054"/>
    <s v="ceiling_1"/>
    <n v="1"/>
    <x v="0"/>
    <n v="1"/>
    <n v="3575"/>
    <x v="4"/>
    <s v="Blown Cellulose"/>
    <n v="2.5000000372528999E-2"/>
    <s v="1-3 stories"/>
    <n v="149.47552490234401"/>
    <n v="149.47552490234401"/>
  </r>
  <r>
    <n v="13062"/>
    <s v="ceiling_1"/>
    <n v="1"/>
    <x v="2"/>
    <n v="0.89999997615814198"/>
    <n v="2792"/>
    <x v="4"/>
    <m/>
    <n v="9.4999998807907104E-2"/>
    <s v="1-3 stories"/>
    <n v="400.358642578125"/>
    <n v="400.358642578125"/>
  </r>
  <r>
    <n v="13202"/>
    <s v="ceiling_1"/>
    <n v="1"/>
    <x v="1"/>
    <n v="1"/>
    <n v="4200"/>
    <x v="10"/>
    <s v="Blown Cellulose"/>
    <n v="4.5000001788139302E-2"/>
    <s v="1-3 stories"/>
    <n v="480.43035888671898"/>
    <n v="480.43035888671898"/>
  </r>
  <r>
    <n v="13218"/>
    <s v="ceiling_1"/>
    <n v="1"/>
    <x v="6"/>
    <n v="0.75"/>
    <n v="7256"/>
    <x v="8"/>
    <s v="Mixed"/>
    <n v="0.144999995827675"/>
    <s v="1-3 stories"/>
    <n v="128.79620361328099"/>
    <n v="128.79620361328099"/>
  </r>
  <r>
    <n v="13268"/>
    <s v="ceiling_1"/>
    <n v="1"/>
    <x v="6"/>
    <n v="0.89999997615814198"/>
    <n v="2709"/>
    <x v="4"/>
    <s v="Blown FB"/>
    <n v="7.9999998211860698E-2"/>
    <s v="1-3 stories"/>
    <n v="171.72825622558599"/>
    <n v="171.72825622558599"/>
  </r>
  <r>
    <n v="13321"/>
    <s v="ceiling_1"/>
    <n v="1"/>
    <x v="1"/>
    <n v="0.89999997615814198"/>
    <n v="3816"/>
    <x v="10"/>
    <s v="Blown Cellulose"/>
    <n v="9.00000035762787E-2"/>
    <s v="1-3 stories"/>
    <n v="266.90576171875"/>
    <n v="266.90576171875"/>
  </r>
  <r>
    <n v="13360"/>
    <s v="ceiling_1"/>
    <n v="1"/>
    <x v="0"/>
    <n v="1"/>
    <n v="3584"/>
    <x v="3"/>
    <s v="Batt Fiberglass"/>
    <n v="2.5000000372528999E-2"/>
    <s v="1-3 stories"/>
    <n v="343.16452026367199"/>
    <n v="343.16452026367199"/>
  </r>
  <r>
    <n v="13384"/>
    <s v="ceiling_1"/>
    <n v="1"/>
    <x v="1"/>
    <n v="0.5"/>
    <n v="1982"/>
    <x v="4"/>
    <s v="Batt Fiberglass"/>
    <n v="0.245000004768372"/>
    <s v="1-3 stories"/>
    <n v="343.45651245117199"/>
    <n v="343.45651245117199"/>
  </r>
  <r>
    <n v="13628"/>
    <s v="ceiling_1"/>
    <n v="1"/>
    <x v="3"/>
    <n v="0.89999997615814198"/>
    <n v="2128"/>
    <x v="6"/>
    <m/>
    <n v="0.15000000596046401"/>
    <s v="1-3 stories"/>
    <n v="343.45651245117199"/>
    <n v="343.45651245117199"/>
  </r>
  <r>
    <n v="13694"/>
    <s v="ceiling_1"/>
    <n v="1"/>
    <x v="2"/>
    <n v="1"/>
    <n v="4905"/>
    <x v="11"/>
    <s v="Batt Fiberglass"/>
    <n v="5.0000000745058101E-2"/>
    <s v="1-3 stories"/>
    <n v="266.90576171875"/>
    <n v="266.90576171875"/>
  </r>
  <r>
    <n v="13712"/>
    <s v="ceiling_1"/>
    <n v="1"/>
    <x v="3"/>
    <n v="0.89999997615814198"/>
    <n v="2800"/>
    <x v="0"/>
    <m/>
    <n v="0.15000000596046401"/>
    <s v="1-3 stories"/>
    <n v="136.90428161621099"/>
    <n v="136.90428161621099"/>
  </r>
  <r>
    <n v="13899"/>
    <s v="ceiling_1"/>
    <n v="1"/>
    <x v="6"/>
    <n v="0.89999997615814198"/>
    <n v="7744"/>
    <x v="3"/>
    <s v="Blown FB"/>
    <n v="7.9999998211860698E-2"/>
    <s v="1-3 stories"/>
    <n v="42.124393463134801"/>
    <n v="42.124393463134801"/>
  </r>
  <r>
    <n v="14014"/>
    <s v="ceiling_1"/>
    <n v="1"/>
    <x v="6"/>
    <n v="1"/>
    <n v="8280"/>
    <x v="12"/>
    <s v="Batt Fiberglass"/>
    <n v="3.5000000149011598E-2"/>
    <s v="1-3 stories"/>
    <n v="85.864128112792997"/>
    <n v="85.864128112792997"/>
  </r>
  <r>
    <n v="14020"/>
    <s v="ceiling_1"/>
    <n v="1"/>
    <x v="6"/>
    <n v="0.75"/>
    <n v="2510"/>
    <x v="11"/>
    <s v="Blown FB"/>
    <n v="0.144999995827675"/>
    <s v="1-3 stories"/>
    <n v="171.72825622558599"/>
    <n v="171.72825622558599"/>
  </r>
  <r>
    <n v="14240"/>
    <s v="ceiling_1"/>
    <n v="1"/>
    <x v="0"/>
    <n v="1"/>
    <n v="3999"/>
    <x v="4"/>
    <s v="Blown FB"/>
    <n v="2.5000000372528999E-2"/>
    <s v="1-3 stories"/>
    <n v="800.71728515625"/>
    <n v="800.71728515625"/>
  </r>
  <r>
    <n v="14258"/>
    <s v="ceiling_1"/>
    <n v="1"/>
    <x v="0"/>
    <n v="1"/>
    <n v="4350"/>
    <x v="3"/>
    <s v="Blown Cellulose"/>
    <n v="2.5000000372528999E-2"/>
    <s v="1-3 stories"/>
    <n v="436.75485229492199"/>
    <n v="436.75485229492199"/>
  </r>
  <r>
    <n v="14259"/>
    <s v="ceiling_1"/>
    <n v="1"/>
    <x v="0"/>
    <n v="0.89999997615814198"/>
    <n v="9850"/>
    <x v="11"/>
    <s v="Batt Fiberglass"/>
    <n v="7.5000002980232197E-2"/>
    <s v="4-6 stories"/>
    <n v="10.1410579681396"/>
    <s v=""/>
  </r>
  <r>
    <n v="14259"/>
    <s v="ceiling_2"/>
    <n v="2"/>
    <x v="0"/>
    <n v="1"/>
    <n v="23198"/>
    <x v="4"/>
    <s v="Batt Fiberglass"/>
    <n v="2.5000000372528999E-2"/>
    <s v="4-6 stories"/>
    <n v="10.1410579681396"/>
    <s v=""/>
  </r>
  <r>
    <n v="14346"/>
    <s v="ceiling_1"/>
    <n v="1"/>
    <x v="1"/>
    <n v="1"/>
    <n v="7000"/>
    <x v="3"/>
    <s v="Batt Fiberglass"/>
    <n v="4.5000001788139302E-2"/>
    <s v="1-3 stories"/>
    <n v="171.58226013183599"/>
    <n v="171.58226013183599"/>
  </r>
  <r>
    <n v="14507"/>
    <s v="ceiling_1"/>
    <n v="1"/>
    <x v="6"/>
    <n v="0.75"/>
    <n v="2631"/>
    <x v="8"/>
    <s v="Mixed"/>
    <n v="0.144999995827675"/>
    <s v="1-3 stories"/>
    <n v="412.14782714843801"/>
    <n v="412.14782714843801"/>
  </r>
  <r>
    <n v="14613"/>
    <s v="ceiling_1"/>
    <n v="1"/>
    <x v="4"/>
    <n v="1"/>
    <n v="5354"/>
    <x v="3"/>
    <s v="Batt Fiberglass"/>
    <n v="1.9999999552965199E-2"/>
    <s v="1-3 stories"/>
    <n v="99.650344848632798"/>
    <n v="99.650344848632798"/>
  </r>
  <r>
    <n v="14614"/>
    <s v="ceiling_1"/>
    <n v="1"/>
    <x v="4"/>
    <n v="0.89999997615814198"/>
    <n v="4386"/>
    <x v="3"/>
    <s v="Mixed"/>
    <n v="7.0000000298023196E-2"/>
    <s v="1-3 stories"/>
    <n v="320.28689575195301"/>
    <n v="320.28689575195301"/>
  </r>
  <r>
    <n v="20119"/>
    <s v="ceiling_1"/>
    <n v="1"/>
    <x v="0"/>
    <n v="0.89999997615814198"/>
    <n v="17239"/>
    <x v="4"/>
    <s v="Blown Rock Wool"/>
    <n v="7.5000002980232197E-2"/>
    <s v="1-3 stories"/>
    <n v="116.07144165039099"/>
    <n v="116.07144165039099"/>
  </r>
  <r>
    <n v="20165"/>
    <s v="ceiling_1"/>
    <n v="1"/>
    <x v="0"/>
    <n v="0.89999997615814198"/>
    <n v="3382"/>
    <x v="4"/>
    <m/>
    <n v="7.5000002980232197E-2"/>
    <s v="1-3 stories"/>
    <n v="628.72027587890602"/>
    <n v="628.72027587890602"/>
  </r>
  <r>
    <n v="20193"/>
    <s v="ceiling_1"/>
    <n v="1"/>
    <x v="5"/>
    <n v="0.25"/>
    <n v="6048"/>
    <x v="5"/>
    <s v="Blown Rock Wool"/>
    <n v="0.33000001311302202"/>
    <s v="1-3 stories"/>
    <n v="538.903076171875"/>
    <n v="538.903076171875"/>
  </r>
  <r>
    <n v="20566"/>
    <s v="ceiling_1"/>
    <n v="1"/>
    <x v="5"/>
    <n v="1"/>
    <n v="3623"/>
    <x v="13"/>
    <s v="Blown Cellulose"/>
    <n v="7.0000000298023196E-2"/>
    <s v="1-3 stories"/>
    <n v="754.46429443359398"/>
    <n v="754.46429443359398"/>
  </r>
  <r>
    <n v="20581"/>
    <s v="ceiling_1"/>
    <n v="1"/>
    <x v="3"/>
    <n v="0.89999997615814198"/>
    <n v="2943"/>
    <x v="4"/>
    <m/>
    <n v="0.15000000596046401"/>
    <s v="1-3 stories"/>
    <n v="1257.44055175781"/>
    <n v="1257.44055175781"/>
  </r>
  <r>
    <n v="20705"/>
    <s v="ceiling_1"/>
    <n v="1"/>
    <x v="2"/>
    <n v="0.89999997615814198"/>
    <n v="5540"/>
    <x v="4"/>
    <s v="Batt Fiberglass"/>
    <n v="9.4999998807907104E-2"/>
    <s v="1-3 stories"/>
    <n v="1257.44055175781"/>
    <n v="1257.44055175781"/>
  </r>
  <r>
    <n v="20803"/>
    <s v="ceiling_1"/>
    <n v="1"/>
    <x v="0"/>
    <n v="1"/>
    <n v="2825"/>
    <x v="4"/>
    <s v="Blown Cellulose"/>
    <n v="2.5000000372528999E-2"/>
    <s v="1-3 stories"/>
    <n v="838.293701171875"/>
    <n v="838.293701171875"/>
  </r>
  <r>
    <n v="21346"/>
    <s v="ceiling_1"/>
    <n v="1"/>
    <x v="0"/>
    <n v="0.89999997615814198"/>
    <n v="5000"/>
    <x v="11"/>
    <s v="Mixed"/>
    <n v="7.5000002980232197E-2"/>
    <s v="1-3 stories"/>
    <n v="754.46429443359398"/>
    <n v="754.46429443359398"/>
  </r>
  <r>
    <n v="21424"/>
    <s v="ceiling_1"/>
    <n v="1"/>
    <x v="3"/>
    <n v="0.89999997615814198"/>
    <n v="7180"/>
    <x v="4"/>
    <s v="Blown Cellulose"/>
    <n v="0.15000000596046401"/>
    <s v="1-3 stories"/>
    <n v="397.08648681640602"/>
    <n v="397.08648681640602"/>
  </r>
  <r>
    <n v="21488"/>
    <s v="ceiling_1"/>
    <n v="1"/>
    <x v="1"/>
    <n v="0.89999997615814198"/>
    <n v="2924"/>
    <x v="11"/>
    <s v="Mixed"/>
    <n v="9.00000035762787E-2"/>
    <s v="1-3 stories"/>
    <n v="943.08038330078102"/>
    <n v="943.08038330078102"/>
  </r>
  <r>
    <n v="21564"/>
    <s v="ceiling_1"/>
    <n v="1"/>
    <x v="2"/>
    <n v="1"/>
    <n v="5890"/>
    <x v="11"/>
    <s v="Batt Fiberglass"/>
    <n v="5.0000000745058101E-2"/>
    <s v="1-3 stories"/>
    <n v="328.02795410156301"/>
    <n v="328.02795410156301"/>
  </r>
  <r>
    <n v="21627"/>
    <s v="ceiling_1"/>
    <n v="1"/>
    <x v="0"/>
    <n v="0.89999997615814198"/>
    <n v="7400"/>
    <x v="13"/>
    <s v="Blown FB"/>
    <n v="7.5000002980232197E-2"/>
    <s v="1-3 stories"/>
    <n v="314.36013793945301"/>
    <n v="314.36013793945301"/>
  </r>
  <r>
    <n v="21691"/>
    <s v="ceiling_1"/>
    <n v="1"/>
    <x v="0"/>
    <n v="1"/>
    <n v="6726"/>
    <x v="4"/>
    <s v="Batt (other)"/>
    <n v="2.5000000372528999E-2"/>
    <s v="1-3 stories"/>
    <n v="943.08038330078102"/>
    <n v="943.08038330078102"/>
  </r>
  <r>
    <n v="21757"/>
    <s v="ceiling_1"/>
    <n v="1"/>
    <x v="2"/>
    <n v="0.5"/>
    <n v="4588"/>
    <x v="11"/>
    <s v="Batt Fiberglass"/>
    <n v="0.25"/>
    <s v="1-3 stories"/>
    <n v="1257.44055175781"/>
    <n v="1257.44055175781"/>
  </r>
  <r>
    <n v="21839"/>
    <s v="ceiling_1"/>
    <n v="1"/>
    <x v="0"/>
    <n v="1"/>
    <n v="6339"/>
    <x v="14"/>
    <s v="Blown Cellulose"/>
    <n v="2.5000000372528999E-2"/>
    <s v="4-6 stories"/>
    <n v="314.36013793945301"/>
    <s v=""/>
  </r>
  <r>
    <n v="21844"/>
    <s v="ceiling_1"/>
    <n v="1"/>
    <x v="4"/>
    <n v="0.89999997615814198"/>
    <n v="4345"/>
    <x v="4"/>
    <s v="Blown FB"/>
    <n v="7.0000000298023196E-2"/>
    <s v="1-3 stories"/>
    <n v="628.72027587890602"/>
    <n v="628.72027587890602"/>
  </r>
  <r>
    <n v="21910"/>
    <s v="ceiling_1"/>
    <n v="1"/>
    <x v="2"/>
    <n v="1"/>
    <n v="10709"/>
    <x v="4"/>
    <s v="Blown FB"/>
    <n v="5.0000000745058101E-2"/>
    <s v="1-3 stories"/>
    <n v="184.01568603515599"/>
    <n v="184.01568603515599"/>
  </r>
  <r>
    <n v="21952"/>
    <s v="ceiling_1"/>
    <n v="1"/>
    <x v="0"/>
    <n v="1"/>
    <n v="4760"/>
    <x v="4"/>
    <s v="Blown Cellulose"/>
    <n v="2.5000000372528999E-2"/>
    <s v="1-3 stories"/>
    <n v="419.14685058593801"/>
    <n v="419.14685058593801"/>
  </r>
  <r>
    <n v="21985"/>
    <s v="ceiling_1"/>
    <n v="1"/>
    <x v="6"/>
    <n v="0.75"/>
    <n v="3240"/>
    <x v="4"/>
    <s v="Blown Rock Wool"/>
    <n v="0.144999995827675"/>
    <s v="1-3 stories"/>
    <n v="754.46429443359398"/>
    <n v="754.46429443359398"/>
  </r>
  <r>
    <n v="21998"/>
    <s v="ceiling_1"/>
    <n v="1"/>
    <x v="0"/>
    <n v="0.89999997615814198"/>
    <n v="4207"/>
    <x v="4"/>
    <s v="Batt (other)"/>
    <n v="7.5000002980232197E-2"/>
    <s v="1-3 stories"/>
    <n v="943.08038330078102"/>
    <n v="943.08038330078102"/>
  </r>
  <r>
    <n v="22106"/>
    <s v="ceiling_1"/>
    <n v="1"/>
    <x v="2"/>
    <n v="1"/>
    <n v="3200"/>
    <x v="4"/>
    <s v="Blown Cellulose"/>
    <n v="5.0000000745058101E-2"/>
    <s v="1-3 stories"/>
    <n v="235.770095825195"/>
    <n v="235.770095825195"/>
  </r>
  <r>
    <n v="22262"/>
    <s v="ceiling_1"/>
    <n v="1"/>
    <x v="0"/>
    <n v="1"/>
    <n v="4040"/>
    <x v="3"/>
    <s v="Batt Fiberglass"/>
    <n v="2.5000000372528999E-2"/>
    <s v="1-3 stories"/>
    <n v="943.08038330078102"/>
    <n v="943.08038330078102"/>
  </r>
  <r>
    <n v="22371"/>
    <s v="ceiling_1"/>
    <n v="1"/>
    <x v="0"/>
    <n v="0.89999997615814198"/>
    <n v="5400"/>
    <x v="15"/>
    <s v="Blown FB"/>
    <n v="7.5000002980232197E-2"/>
    <s v="1-3 stories"/>
    <n v="1257.44055175781"/>
    <n v="1257.44055175781"/>
  </r>
  <r>
    <n v="22450"/>
    <s v="ceiling_1"/>
    <n v="1"/>
    <x v="2"/>
    <n v="0.75"/>
    <n v="5123"/>
    <x v="13"/>
    <s v="Blown Cellulose"/>
    <n v="0.15500000119209301"/>
    <s v="1-3 stories"/>
    <n v="538.903076171875"/>
    <n v="538.903076171875"/>
  </r>
  <r>
    <n v="22870"/>
    <s v="ceiling_1"/>
    <n v="1"/>
    <x v="5"/>
    <n v="0.89999997615814198"/>
    <n v="7344"/>
    <x v="4"/>
    <s v="Batt Fiberglass"/>
    <n v="0.109999999403954"/>
    <s v="1-3 stories"/>
    <n v="471.54019165039102"/>
    <n v="471.54019165039102"/>
  </r>
  <r>
    <n v="22906"/>
    <s v="ceiling_1"/>
    <n v="1"/>
    <x v="0"/>
    <n v="0.89999997615814198"/>
    <n v="4745"/>
    <x v="4"/>
    <s v="Blown Cellulose"/>
    <n v="7.5000002980232197E-2"/>
    <s v="1-3 stories"/>
    <n v="628.72027587890602"/>
    <n v="628.72027587890602"/>
  </r>
  <r>
    <n v="23425"/>
    <s v="ceiling_1"/>
    <n v="1"/>
    <x v="5"/>
    <n v="0.5"/>
    <n v="3340"/>
    <x v="13"/>
    <s v="Blown Cellulose"/>
    <n v="0.25"/>
    <s v="1-3 stories"/>
    <n v="754.46429443359398"/>
    <n v="754.46429443359398"/>
  </r>
  <r>
    <n v="23531"/>
    <s v="ceiling_1"/>
    <n v="1"/>
    <x v="0"/>
    <n v="0.89999997615814198"/>
    <n v="5274"/>
    <x v="4"/>
    <s v="Blown Cellulose"/>
    <n v="7.5000002980232197E-2"/>
    <s v="1-3 stories"/>
    <n v="419.14685058593801"/>
    <n v="419.14685058593801"/>
  </r>
  <r>
    <n v="23623"/>
    <s v="ceiling_1"/>
    <n v="1"/>
    <x v="3"/>
    <n v="0.89999997615814198"/>
    <n v="4292"/>
    <x v="5"/>
    <m/>
    <n v="0.15000000596046401"/>
    <s v="1-3 stories"/>
    <n v="314.36013793945301"/>
    <n v="314.36013793945301"/>
  </r>
  <r>
    <n v="23681"/>
    <s v="ceiling_1"/>
    <n v="1"/>
    <x v="6"/>
    <n v="0.89999997615814198"/>
    <n v="5024"/>
    <x v="4"/>
    <m/>
    <n v="7.9999998211860698E-2"/>
    <s v="1-3 stories"/>
    <n v="943.08038330078102"/>
    <n v="943.08038330078102"/>
  </r>
  <r>
    <n v="23685"/>
    <s v="ceiling_1"/>
    <n v="1"/>
    <x v="3"/>
    <n v="0.89999997615814198"/>
    <n v="4325"/>
    <x v="4"/>
    <m/>
    <n v="0.15000000596046401"/>
    <s v="1-3 stories"/>
    <n v="754.46429443359398"/>
    <n v="754.46429443359398"/>
  </r>
  <r>
    <n v="23899"/>
    <s v="ceiling_1"/>
    <n v="1"/>
    <x v="2"/>
    <n v="0.89999997615814198"/>
    <n v="16015"/>
    <x v="11"/>
    <s v="Blown Rock Wool"/>
    <n v="9.4999998807907104E-2"/>
    <s v="1-3 stories"/>
    <n v="167.65873718261699"/>
    <n v="167.65873718261699"/>
  </r>
  <r>
    <n v="24009"/>
    <s v="ceiling_1"/>
    <n v="1"/>
    <x v="0"/>
    <n v="0.89999997615814198"/>
    <n v="2136"/>
    <x v="6"/>
    <s v="Blown FB"/>
    <n v="7.5000002980232197E-2"/>
    <s v="1-3 stories"/>
    <n v="943.08038330078102"/>
    <n v="943.08038330078102"/>
  </r>
  <r>
    <n v="24123"/>
    <s v="ceiling_1"/>
    <n v="1"/>
    <x v="3"/>
    <n v="0.89999997615814198"/>
    <n v="1874"/>
    <x v="5"/>
    <m/>
    <n v="0.15000000596046401"/>
    <s v="1-3 stories"/>
    <n v="1257.44055175781"/>
    <n v="1257.44055175781"/>
  </r>
  <r>
    <n v="24139"/>
    <s v="ceiling_1"/>
    <n v="1"/>
    <x v="5"/>
    <n v="0.75"/>
    <n v="7280"/>
    <x v="11"/>
    <s v="Blown Cellulose"/>
    <n v="0.17000000178813901"/>
    <s v="1-3 stories"/>
    <n v="471.54019165039102"/>
    <n v="471.54019165039102"/>
  </r>
  <r>
    <n v="24637"/>
    <s v="ceiling_1"/>
    <n v="1"/>
    <x v="0"/>
    <n v="0.89999997615814198"/>
    <n v="27202"/>
    <x v="11"/>
    <s v="Blown FB"/>
    <n v="7.5000002980232197E-2"/>
    <s v="1-3 stories"/>
    <n v="209.57342529296901"/>
    <n v="209.57342529296901"/>
  </r>
  <r>
    <n v="24802"/>
    <s v="ceiling_1"/>
    <n v="1"/>
    <x v="5"/>
    <n v="1"/>
    <n v="9152"/>
    <x v="13"/>
    <s v="Blown Cellulose"/>
    <n v="7.0000000298023196E-2"/>
    <s v="1-3 stories"/>
    <n v="314.36013793945301"/>
    <n v="314.36013793945301"/>
  </r>
  <r>
    <n v="60051"/>
    <s v="ceiling_1"/>
    <n v="1"/>
    <x v="1"/>
    <n v="0.89999997615814198"/>
    <n v="3110"/>
    <x v="7"/>
    <s v="Blown FB"/>
    <n v="9.00000035762787E-2"/>
    <s v="1-3 stories"/>
    <n v="960.86071777343795"/>
    <n v="960.86071777343795"/>
  </r>
  <r>
    <n v="60071"/>
    <s v="ceiling_1"/>
    <n v="1"/>
    <x v="7"/>
    <n v="1"/>
    <n v="6888"/>
    <x v="4"/>
    <s v="Blown FB"/>
    <n v="1.9999999552965199E-2"/>
    <s v="4-6 stories"/>
    <n v="184.78091430664099"/>
    <s v=""/>
  </r>
  <r>
    <n v="60099"/>
    <s v="ceiling_1"/>
    <n v="1"/>
    <x v="0"/>
    <n v="0.89999997615814198"/>
    <n v="6448"/>
    <x v="16"/>
    <s v="Blown FB"/>
    <n v="7.5000002980232197E-2"/>
    <s v="1-3 stories"/>
    <n v="300.26898193359398"/>
    <n v="300.26898193359398"/>
  </r>
  <r>
    <n v="71003"/>
    <s v="ceiling_1"/>
    <n v="1"/>
    <x v="6"/>
    <n v="0.89999997615814198"/>
    <n v="2290"/>
    <x v="4"/>
    <s v="Blown Cellulose"/>
    <n v="7.9999998211860698E-2"/>
    <s v="1-3 stories"/>
    <n v="182.53904724121099"/>
    <n v="182.53904724121099"/>
  </r>
  <r>
    <n v="71004"/>
    <s v="ceiling_1"/>
    <n v="1"/>
    <x v="4"/>
    <n v="1"/>
    <n v="5012"/>
    <x v="3"/>
    <s v="Blown FB"/>
    <n v="1.9999999552965199E-2"/>
    <s v="1-3 stories"/>
    <n v="136.90428161621099"/>
    <n v="136.90428161621099"/>
  </r>
  <r>
    <n v="71007"/>
    <s v="ceiling_1"/>
    <n v="1"/>
    <x v="3"/>
    <n v="0.89999997615814198"/>
    <n v="1717"/>
    <x v="4"/>
    <m/>
    <n v="0.15000000596046401"/>
    <s v="1-3 stories"/>
    <n v="219.04685974121099"/>
    <n v="219.04685974121099"/>
  </r>
  <r>
    <n v="71008"/>
    <s v="ceiling_1"/>
    <n v="1"/>
    <x v="0"/>
    <n v="1"/>
    <n v="1260"/>
    <x v="11"/>
    <s v="Blown FB"/>
    <n v="2.5000000372528999E-2"/>
    <s v="1-3 stories"/>
    <n v="182.53904724121099"/>
    <n v="182.53904724121099"/>
  </r>
  <r>
    <n v="71009"/>
    <s v="ceiling_1"/>
    <n v="1"/>
    <x v="3"/>
    <n v="0.89999997615814198"/>
    <n v="1560"/>
    <x v="4"/>
    <m/>
    <n v="0.15000000596046401"/>
    <s v="1-3 stories"/>
    <n v="136.90428161621099"/>
    <n v="136.90428161621099"/>
  </r>
  <r>
    <n v="71010"/>
    <s v="ceiling_1"/>
    <n v="1"/>
    <x v="0"/>
    <n v="1"/>
    <n v="2836"/>
    <x v="5"/>
    <s v="Batt Fiberglass"/>
    <n v="2.5000000372528999E-2"/>
    <s v="1-3 stories"/>
    <n v="182.53904724121099"/>
    <n v="182.53904724121099"/>
  </r>
  <r>
    <n v="71011"/>
    <s v="ceiling_1"/>
    <n v="1"/>
    <x v="2"/>
    <n v="1"/>
    <n v="1300"/>
    <x v="10"/>
    <s v="Batt Fiberglass"/>
    <n v="5.0000000745058101E-2"/>
    <s v="1-3 stories"/>
    <n v="136.90428161621099"/>
    <n v="136.90428161621099"/>
  </r>
  <r>
    <n v="71013"/>
    <s v="ceiling_1"/>
    <n v="1"/>
    <x v="3"/>
    <n v="0.75"/>
    <n v="2150"/>
    <x v="0"/>
    <s v="Other"/>
    <n v="0.19499999284744299"/>
    <s v="1-3 stories"/>
    <n v="136.90428161621099"/>
    <n v="136.90428161621099"/>
  </r>
  <r>
    <n v="72001"/>
    <s v="ceiling_1"/>
    <n v="1"/>
    <x v="2"/>
    <n v="0.5"/>
    <n v="4522"/>
    <x v="1"/>
    <s v="Blown Rock Wool"/>
    <n v="0.25"/>
    <s v="1-3 stories"/>
    <n v="78.231018066406307"/>
    <n v="78.231018066406307"/>
  </r>
  <r>
    <n v="72002"/>
    <s v="ceiling_1"/>
    <n v="1"/>
    <x v="6"/>
    <n v="0.89999997615814198"/>
    <n v="3380"/>
    <x v="11"/>
    <m/>
    <n v="7.9999998211860698E-2"/>
    <s v="4-6 stories"/>
    <n v="99.566741943359403"/>
    <s v=""/>
  </r>
  <r>
    <n v="72003"/>
    <s v="ceiling_1"/>
    <n v="1"/>
    <x v="6"/>
    <n v="0.89999997615814198"/>
    <n v="2975"/>
    <x v="5"/>
    <s v="Batt Fiberglass"/>
    <n v="7.9999998211860698E-2"/>
    <s v="4-6 stories"/>
    <n v="109.523429870605"/>
    <s v=""/>
  </r>
  <r>
    <n v="72004"/>
    <s v="ceiling_1"/>
    <n v="1"/>
    <x v="2"/>
    <n v="1"/>
    <n v="3050"/>
    <x v="1"/>
    <s v="Blown Rock Wool"/>
    <n v="5.0000000745058101E-2"/>
    <s v="4-6 stories"/>
    <n v="84.248786926269503"/>
    <s v=""/>
  </r>
  <r>
    <n v="72005"/>
    <s v="ceiling_1"/>
    <n v="1"/>
    <x v="2"/>
    <n v="0.89999997615814198"/>
    <n v="4620"/>
    <x v="4"/>
    <m/>
    <n v="9.4999998807907104E-2"/>
    <s v="1-3 stories"/>
    <n v="91.269523620605497"/>
    <n v="91.269523620605497"/>
  </r>
  <r>
    <n v="72006"/>
    <s v="ceiling_1"/>
    <n v="1"/>
    <x v="4"/>
    <n v="1"/>
    <n v="3168"/>
    <x v="3"/>
    <s v="Batt Fiberglass"/>
    <n v="1.9999999552965199E-2"/>
    <s v="1-3 stories"/>
    <n v="91.269523620605497"/>
    <n v="91.269523620605497"/>
  </r>
  <r>
    <n v="72007"/>
    <s v="ceiling_1"/>
    <n v="1"/>
    <x v="5"/>
    <n v="1"/>
    <n v="4836"/>
    <x v="3"/>
    <s v="Blown Cellulose"/>
    <n v="7.0000000298023196E-2"/>
    <s v="1-3 stories"/>
    <n v="91.269523620605497"/>
    <n v="91.269523620605497"/>
  </r>
  <r>
    <n v="72008"/>
    <s v="ceiling_1"/>
    <n v="1"/>
    <x v="3"/>
    <n v="0.89999997615814198"/>
    <n v="3898"/>
    <x v="4"/>
    <m/>
    <n v="0.15000000596046401"/>
    <s v="1-3 stories"/>
    <n v="99.566741943359403"/>
    <n v="99.566741943359403"/>
  </r>
  <r>
    <n v="73003"/>
    <s v="ceiling_1"/>
    <n v="1"/>
    <x v="0"/>
    <n v="0.89999997615814198"/>
    <n v="5310"/>
    <x v="4"/>
    <s v="Batt Fiberglass"/>
    <n v="7.5000002980232197E-2"/>
    <s v="1-3 stories"/>
    <n v="60.846343994140597"/>
    <n v="60.846343994140597"/>
  </r>
  <r>
    <n v="73007"/>
    <s v="ceiling_1"/>
    <n v="1"/>
    <x v="3"/>
    <n v="0.89999997615814198"/>
    <n v="3764"/>
    <x v="4"/>
    <m/>
    <n v="0.15000000596046401"/>
    <s v="1-3 stories"/>
    <n v="64.425544738769503"/>
    <n v="64.425544738769503"/>
  </r>
  <r>
    <n v="73010"/>
    <s v="ceiling_1"/>
    <n v="1"/>
    <x v="0"/>
    <n v="1"/>
    <n v="5046"/>
    <x v="3"/>
    <s v="Blown Cellulose"/>
    <n v="2.5000000372528999E-2"/>
    <s v="1-3 stories"/>
    <n v="52.154014587402301"/>
    <n v="52.154014587402301"/>
  </r>
  <r>
    <n v="74001"/>
    <s v="ceiling_1"/>
    <n v="1"/>
    <x v="1"/>
    <n v="0.5"/>
    <n v="10859"/>
    <x v="17"/>
    <s v="Blown Cellulose"/>
    <n v="0.245000004768372"/>
    <s v="4-6 stories"/>
    <n v="34.226070404052699"/>
    <s v=""/>
  </r>
  <r>
    <n v="74003"/>
    <s v="ceiling_1"/>
    <n v="1"/>
    <x v="1"/>
    <n v="0.75"/>
    <n v="13355"/>
    <x v="8"/>
    <s v="Blown FB"/>
    <n v="0.15000000596046401"/>
    <s v="1-3 stories"/>
    <n v="36.507808685302699"/>
    <n v="36.507808685302699"/>
  </r>
  <r>
    <n v="74004"/>
    <s v="ceiling_1"/>
    <n v="1"/>
    <x v="6"/>
    <n v="0.75"/>
    <n v="5585"/>
    <x v="0"/>
    <s v="Mixed"/>
    <n v="0.144999995827675"/>
    <s v="1-3 stories"/>
    <n v="45.634761810302699"/>
    <n v="45.634761810302699"/>
  </r>
  <r>
    <n v="74006"/>
    <s v="ceiling_1"/>
    <n v="1"/>
    <x v="1"/>
    <n v="0.89999997615814198"/>
    <n v="7146"/>
    <x v="4"/>
    <s v="Batt Fiberglass"/>
    <n v="9.00000035762787E-2"/>
    <s v="1-3 stories"/>
    <n v="47.6188774108887"/>
    <n v="47.6188774108887"/>
  </r>
  <r>
    <n v="74007"/>
    <s v="ceiling_1"/>
    <n v="1"/>
    <x v="2"/>
    <n v="0.89999997615814198"/>
    <n v="2340"/>
    <x v="3"/>
    <s v="Batt Fiberglass"/>
    <n v="9.4999998807907104E-2"/>
    <s v="4-6 stories"/>
    <n v="45.634761810302699"/>
    <s v=""/>
  </r>
  <r>
    <n v="74010"/>
    <s v="ceiling_1"/>
    <n v="1"/>
    <x v="6"/>
    <n v="1"/>
    <n v="8568"/>
    <x v="18"/>
    <s v="Blown Cellulose"/>
    <n v="3.5000000149011598E-2"/>
    <s v="4-6 stories"/>
    <n v="31.292406082153299"/>
    <s v=""/>
  </r>
  <r>
    <n v="74011"/>
    <s v="ceiling_1"/>
    <n v="1"/>
    <x v="3"/>
    <n v="0.89999997615814198"/>
    <n v="6520"/>
    <x v="4"/>
    <s v="Batt Fiberglass"/>
    <n v="0.15000000596046401"/>
    <s v="1-3 stories"/>
    <n v="31.292406082153299"/>
    <n v="31.292406082153299"/>
  </r>
  <r>
    <n v="74013"/>
    <s v="ceiling_1"/>
    <n v="1"/>
    <x v="6"/>
    <n v="0.89999997615814198"/>
    <n v="7600"/>
    <x v="4"/>
    <s v="Batt Fiberglass"/>
    <n v="7.9999998211860698E-2"/>
    <s v="4-6 stories"/>
    <n v="34.226070404052699"/>
    <s v=""/>
  </r>
  <r>
    <n v="74014"/>
    <s v="ceiling_1"/>
    <n v="1"/>
    <x v="2"/>
    <n v="0.75"/>
    <n v="6664"/>
    <x v="1"/>
    <s v="Blown FB"/>
    <n v="0.15500000119209301"/>
    <s v="4-6 stories"/>
    <n v="42.124393463134801"/>
    <s v=""/>
  </r>
  <r>
    <n v="74015"/>
    <s v="ceiling_1"/>
    <n v="1"/>
    <x v="2"/>
    <n v="0.89999997615814198"/>
    <n v="6690"/>
    <x v="0"/>
    <m/>
    <n v="9.4999998807907104E-2"/>
    <s v="1-3 stories"/>
    <n v="40.564231872558601"/>
    <n v="40.564231872558601"/>
  </r>
  <r>
    <n v="75001"/>
    <s v="ceiling_1"/>
    <n v="1"/>
    <x v="3"/>
    <n v="0.89999997615814198"/>
    <n v="9100"/>
    <x v="4"/>
    <m/>
    <n v="0.15000000596046401"/>
    <s v="1-3 stories"/>
    <n v="28.821952819824201"/>
    <n v="28.821952819824201"/>
  </r>
  <r>
    <n v="75003"/>
    <s v="ceiling_1"/>
    <n v="1"/>
    <x v="0"/>
    <n v="0.89999997615814198"/>
    <n v="9600"/>
    <x v="4"/>
    <s v="Batt Fiberglass"/>
    <n v="7.5000002980232197E-2"/>
    <s v="4-6 stories"/>
    <n v="18.883348464965799"/>
    <s v=""/>
  </r>
  <r>
    <n v="75004"/>
    <s v="ceiling_1"/>
    <n v="1"/>
    <x v="2"/>
    <n v="1"/>
    <n v="12602"/>
    <x v="6"/>
    <s v="Blown Rock Wool"/>
    <n v="5.0000000745058101E-2"/>
    <s v="1-3 stories"/>
    <n v="19.557754516601602"/>
    <n v="19.557754516601602"/>
  </r>
  <r>
    <n v="75006"/>
    <s v="ceiling_1"/>
    <n v="1"/>
    <x v="1"/>
    <n v="1"/>
    <n v="2829"/>
    <x v="16"/>
    <s v="Batt Fiberglass"/>
    <n v="4.5000001788139302E-2"/>
    <s v="4-6 stories"/>
    <n v="22.351718902587901"/>
    <s v=""/>
  </r>
  <r>
    <n v="75008"/>
    <s v="ceiling_1"/>
    <n v="1"/>
    <x v="2"/>
    <n v="0.89999997615814198"/>
    <n v="13130"/>
    <x v="3"/>
    <s v="Batt Fiberglass"/>
    <n v="9.4999998807907104E-2"/>
    <s v="1-3 stories"/>
    <n v="26.7130317687988"/>
    <n v="26.7130317687988"/>
  </r>
  <r>
    <n v="75009"/>
    <s v="ceiling_1"/>
    <n v="1"/>
    <x v="3"/>
    <n v="0.89999997615814198"/>
    <n v="7186"/>
    <x v="1"/>
    <s v="Blown Cellulose"/>
    <n v="0.15000000596046401"/>
    <s v="1-3 stories"/>
    <n v="28.082929611206101"/>
    <n v="28.082929611206101"/>
  </r>
  <r>
    <n v="75010"/>
    <s v="ceiling_1"/>
    <n v="1"/>
    <x v="6"/>
    <n v="0.89999997615814198"/>
    <n v="10296"/>
    <x v="4"/>
    <s v="Batt Fiberglass"/>
    <n v="7.9999998211860698E-2"/>
    <s v="1-3 stories"/>
    <n v="30.423171997070298"/>
    <n v="30.423171997070298"/>
  </r>
  <r>
    <n v="75011"/>
    <s v="ceiling_1"/>
    <n v="1"/>
    <x v="0"/>
    <n v="1"/>
    <n v="7173"/>
    <x v="10"/>
    <s v="Blown FB"/>
    <n v="2.5000000372528999E-2"/>
    <s v="4-6 stories"/>
    <n v="23.3028564453125"/>
    <s v=""/>
  </r>
  <r>
    <n v="75012"/>
    <s v="ceiling_1"/>
    <n v="1"/>
    <x v="1"/>
    <n v="0.89999997615814198"/>
    <n v="3354"/>
    <x v="4"/>
    <s v="Blown Cellulose"/>
    <n v="9.00000035762787E-2"/>
    <s v="1-3 stories"/>
    <n v="24.338537216186499"/>
    <n v="24.338537216186499"/>
  </r>
  <r>
    <n v="76003"/>
    <s v="ceiling_1"/>
    <n v="1"/>
    <x v="3"/>
    <n v="0.89999997615814198"/>
    <n v="3241"/>
    <x v="4"/>
    <m/>
    <n v="0.15000000596046401"/>
    <s v="7+ stories"/>
    <n v="13.195593833923301"/>
    <s v=""/>
  </r>
  <r>
    <n v="76007"/>
    <s v="ceiling_1"/>
    <n v="1"/>
    <x v="0"/>
    <n v="0.89999997615814198"/>
    <n v="6030"/>
    <x v="10"/>
    <s v="Blown Cellulose"/>
    <n v="7.5000002980232197E-2"/>
    <s v="4-6 stories"/>
    <n v="13.195593833923301"/>
    <s v=""/>
  </r>
  <r>
    <n v="76012"/>
    <s v="ceiling_1"/>
    <n v="1"/>
    <x v="4"/>
    <n v="0.89999997615814198"/>
    <n v="18839"/>
    <x v="4"/>
    <s v="Batt Fiberglass"/>
    <n v="7.0000000298023196E-2"/>
    <s v="4-6 stories"/>
    <n v="12.445842742919901"/>
    <s v=""/>
  </r>
  <r>
    <n v="76012"/>
    <s v="ceiling_2"/>
    <n v="2"/>
    <x v="6"/>
    <n v="0.89999997615814198"/>
    <n v="750"/>
    <x v="4"/>
    <s v="Other"/>
    <n v="7.9999998211860698E-2"/>
    <s v="4-6 stories"/>
    <n v="12.445842742919901"/>
    <s v=""/>
  </r>
  <r>
    <n v="76013"/>
    <s v="ceiling_1"/>
    <n v="1"/>
    <x v="0"/>
    <n v="1"/>
    <n v="11621"/>
    <x v="3"/>
    <s v="Batt Fiberglass"/>
    <n v="2.5000000372528999E-2"/>
    <s v="4-6 stories"/>
    <n v="14.2238216400146"/>
    <s v=""/>
  </r>
  <r>
    <n v="77003"/>
    <s v="ceiling_1"/>
    <n v="1"/>
    <x v="0"/>
    <n v="1"/>
    <n v="26760"/>
    <x v="3"/>
    <s v="Blown Cellulose"/>
    <n v="2.5000000372528999E-2"/>
    <s v="4-6 stories"/>
    <n v="8.8325338363647496"/>
    <s v=""/>
  </r>
  <r>
    <n v="77004"/>
    <s v="ceiling_1"/>
    <n v="1"/>
    <x v="6"/>
    <n v="0.89999997615814198"/>
    <n v="42545"/>
    <x v="0"/>
    <s v="Batt Fiberglass"/>
    <n v="7.9999998211860698E-2"/>
    <s v="1-3 stories"/>
    <n v="6.93186235427856"/>
    <n v="6.93186235427856"/>
  </r>
  <r>
    <n v="77006"/>
    <s v="ceiling_1"/>
    <n v="1"/>
    <x v="2"/>
    <n v="1"/>
    <n v="20296"/>
    <x v="3"/>
    <s v="Mixed"/>
    <n v="5.0000000745058101E-2"/>
    <s v="7+ stories"/>
    <n v="6.84521436691284"/>
    <s v=""/>
  </r>
  <r>
    <n v="77006"/>
    <s v="ceiling_2"/>
    <n v="2"/>
    <x v="6"/>
    <n v="1"/>
    <n v="1033"/>
    <x v="3"/>
    <s v="Batt Fiberglass"/>
    <n v="3.5000000149011598E-2"/>
    <s v="7+ stories"/>
    <n v="6.84521436691284"/>
    <s v=""/>
  </r>
  <r>
    <n v="77009"/>
    <s v="ceiling_1"/>
    <n v="1"/>
    <x v="0"/>
    <n v="0.89999997615814198"/>
    <n v="33658"/>
    <x v="4"/>
    <s v="Batt Fiberglass"/>
    <n v="7.5000002980232197E-2"/>
    <s v="4-6 stories"/>
    <n v="7.5016040802001998"/>
    <s v=""/>
  </r>
  <r>
    <n v="78008"/>
    <s v="ceiling_1"/>
    <n v="1"/>
    <x v="2"/>
    <n v="0.89999997615814198"/>
    <n v="40361"/>
    <x v="4"/>
    <s v="Batt Fiberglass"/>
    <n v="9.4999998807907104E-2"/>
    <s v="4-6 stories"/>
    <n v="4.1963000297546396"/>
    <s v=""/>
  </r>
  <r>
    <n v="80061"/>
    <s v="ceiling_1"/>
    <n v="1"/>
    <x v="2"/>
    <n v="0.89999997615814198"/>
    <n v="5758"/>
    <x v="18"/>
    <s v="Blown Cellulose"/>
    <n v="9.4999998807907104E-2"/>
    <s v="1-3 stories"/>
    <n v="85.864128112792997"/>
    <n v="85.864128112792997"/>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r>
    <m/>
    <m/>
    <m/>
    <x v="8"/>
    <m/>
    <m/>
    <x v="4"/>
    <m/>
    <m/>
    <m/>
    <m/>
    <m/>
  </r>
</pivotCacheRecords>
</file>

<file path=xl/pivotCache/pivotCacheRecords2.xml><?xml version="1.0" encoding="utf-8"?>
<pivotCacheRecords xmlns="http://schemas.openxmlformats.org/spreadsheetml/2006/main" xmlns:r="http://schemas.openxmlformats.org/officeDocument/2006/relationships" count="373">
  <r>
    <n v="128"/>
    <s v="wall_4"/>
    <n v="1"/>
    <x v="0"/>
    <s v="Double"/>
    <s v="&gt;=1/2&quot;"/>
    <n v="18"/>
    <n v="1696"/>
    <n v="0.55000001192092896"/>
    <s v="False"/>
    <s v="False"/>
    <s v="1-3 stories"/>
    <n v="443.80252075195301"/>
    <n v="443.80252075195301"/>
  </r>
  <r>
    <n v="10137"/>
    <s v="wall_3"/>
    <n v="1"/>
    <x v="1"/>
    <s v="Double"/>
    <s v="&lt;1/2&quot;"/>
    <n v="100"/>
    <n v="576"/>
    <n v="0.85000002384185802"/>
    <s v="False"/>
    <s v="False"/>
    <s v="1-3 stories"/>
    <n v="300.26898193359398"/>
    <n v="300.26898193359398"/>
  </r>
  <r>
    <n v="10137"/>
    <s v="wall_4"/>
    <n v="2"/>
    <x v="1"/>
    <s v="Double"/>
    <s v="&lt;1/2&quot;"/>
    <n v="100"/>
    <n v="528"/>
    <n v="0.75"/>
    <s v="False"/>
    <s v="True"/>
    <s v="1-3 stories"/>
    <n v="300.26898193359398"/>
    <n v="300.26898193359398"/>
  </r>
  <r>
    <n v="10137"/>
    <s v="wall_5"/>
    <n v="3"/>
    <x v="0"/>
    <s v="Double"/>
    <s v="&lt;1/2&quot;"/>
    <n v="0"/>
    <n v="80"/>
    <n v="0.60000002384185802"/>
    <s v="False"/>
    <s v="False"/>
    <s v="1-3 stories"/>
    <n v="300.26898193359398"/>
    <n v="300.26898193359398"/>
  </r>
  <r>
    <n v="10238"/>
    <s v="wall_3"/>
    <n v="1"/>
    <x v="0"/>
    <s v="Double"/>
    <s v="&lt;1/2&quot;"/>
    <n v="100"/>
    <n v="2996"/>
    <n v="0.60000002384185802"/>
    <s v="False"/>
    <s v="False"/>
    <s v="1-3 stories"/>
    <n v="160.14344787597699"/>
    <n v="160.14344787597699"/>
  </r>
  <r>
    <n v="10260"/>
    <s v="wall_3"/>
    <n v="1"/>
    <x v="0"/>
    <s v="Double"/>
    <s v="&lt;1/2&quot;"/>
    <n v="100"/>
    <n v="917"/>
    <n v="0.60000002384185802"/>
    <s v="False"/>
    <s v="False"/>
    <s v="1-3 stories"/>
    <n v="480.43035888671898"/>
    <n v="480.43035888671898"/>
  </r>
  <r>
    <n v="10323"/>
    <s v="wall_3"/>
    <n v="1"/>
    <x v="0"/>
    <s v="Double"/>
    <s v="&lt;1/2&quot;"/>
    <n v="100"/>
    <n v="627"/>
    <n v="0.55000001192092896"/>
    <s v="False"/>
    <s v="True"/>
    <s v="1-3 stories"/>
    <n v="256.24374389648398"/>
    <n v="256.24374389648398"/>
  </r>
  <r>
    <n v="10323"/>
    <s v="wall_4"/>
    <n v="2"/>
    <x v="0"/>
    <s v="Double"/>
    <s v="&lt;1/2&quot;"/>
    <n v="8"/>
    <n v="53"/>
    <n v="0.55000001192092896"/>
    <s v="False"/>
    <s v="True"/>
    <s v="1-3 stories"/>
    <n v="256.24374389648398"/>
    <n v="256.24374389648398"/>
  </r>
  <r>
    <n v="10400"/>
    <s v="wall_3"/>
    <n v="1"/>
    <x v="0"/>
    <s v="Double"/>
    <s v="&gt;=1/2&quot;"/>
    <n v="100"/>
    <n v="5666"/>
    <n v="0.44999998807907099"/>
    <s v="False"/>
    <s v="True"/>
    <s v="1-3 stories"/>
    <n v="34.345653533935497"/>
    <n v="34.345653533935497"/>
  </r>
  <r>
    <n v="10477"/>
    <s v="wall_3"/>
    <n v="1"/>
    <x v="1"/>
    <s v="Double"/>
    <s v="&lt;1/2&quot;"/>
    <n v="96"/>
    <n v="3563"/>
    <n v="0.85000002384185802"/>
    <s v="False"/>
    <s v="False"/>
    <s v="4-6 stories"/>
    <n v="30.423171997070298"/>
    <s v=""/>
  </r>
  <r>
    <n v="10480"/>
    <s v="wall_3"/>
    <n v="1"/>
    <x v="0"/>
    <s v="Double"/>
    <s v="&gt;=1/2&quot;"/>
    <n v="100"/>
    <n v="1140"/>
    <n v="0.44999998807907099"/>
    <s v="False"/>
    <s v="True"/>
    <s v="1-3 stories"/>
    <n v="400.358642578125"/>
    <n v="400.358642578125"/>
  </r>
  <r>
    <n v="10495"/>
    <s v="wall_3"/>
    <n v="1"/>
    <x v="1"/>
    <s v="Single"/>
    <m/>
    <n v="100"/>
    <n v="865"/>
    <n v="1.1000000238418599"/>
    <s v="False"/>
    <s v="False"/>
    <s v="1-3 stories"/>
    <n v="206.07391357421901"/>
    <n v="206.07391357421901"/>
  </r>
  <r>
    <n v="10495"/>
    <s v="wall_4"/>
    <n v="2"/>
    <x v="0"/>
    <s v="Double"/>
    <s v="&gt;=1/2&quot;"/>
    <n v="0"/>
    <n v="67"/>
    <n v="0.55000001192092896"/>
    <s v="False"/>
    <s v="False"/>
    <s v="1-3 stories"/>
    <n v="206.07391357421901"/>
    <n v="206.07391357421901"/>
  </r>
  <r>
    <n v="10519"/>
    <s v="wall_5"/>
    <n v="1"/>
    <x v="0"/>
    <s v="Double"/>
    <s v="&gt;=1/2&quot;"/>
    <n v="75"/>
    <n v="16680"/>
    <n v="0.44999998807907099"/>
    <s v="False"/>
    <s v="True"/>
    <s v="4-6 stories"/>
    <n v="8.55651760101318"/>
    <s v=""/>
  </r>
  <r>
    <n v="10587"/>
    <s v="wall_4"/>
    <n v="1"/>
    <x v="1"/>
    <s v="Double"/>
    <s v="&gt;=1/2&quot;"/>
    <n v="100"/>
    <n v="1825"/>
    <n v="0.80000001192092896"/>
    <s v="False"/>
    <s v="False"/>
    <s v="1-3 stories"/>
    <n v="266.90576171875"/>
    <n v="266.90576171875"/>
  </r>
  <r>
    <n v="10587"/>
    <s v="wall_5"/>
    <n v="2"/>
    <x v="0"/>
    <s v="Double"/>
    <s v="&gt;=1/2&quot;"/>
    <n v="100"/>
    <n v="80"/>
    <n v="0.44999998807907099"/>
    <s v="False"/>
    <s v="True"/>
    <s v="1-3 stories"/>
    <n v="266.90576171875"/>
    <n v="266.90576171875"/>
  </r>
  <r>
    <n v="10614"/>
    <s v="wall_4"/>
    <n v="1"/>
    <x v="0"/>
    <s v="Double"/>
    <s v="&gt;=1/2&quot;"/>
    <n v="95"/>
    <n v="5307"/>
    <n v="0.44999998807907099"/>
    <s v="False"/>
    <s v="True"/>
    <s v="4-6 stories"/>
    <n v="114.388175964355"/>
    <s v=""/>
  </r>
  <r>
    <n v="10614"/>
    <s v="wall_5"/>
    <n v="2"/>
    <x v="1"/>
    <s v="Double"/>
    <s v="&gt;=1/2&quot;"/>
    <n v="50"/>
    <n v="200"/>
    <n v="0.75"/>
    <s v="False"/>
    <s v="True"/>
    <s v="4-6 stories"/>
    <n v="114.388175964355"/>
    <s v=""/>
  </r>
  <r>
    <n v="10623"/>
    <s v="wall_4"/>
    <n v="1"/>
    <x v="1"/>
    <s v="Double"/>
    <s v="&gt;=1/2&quot;"/>
    <n v="77"/>
    <n v="1158"/>
    <n v="0.75"/>
    <s v="False"/>
    <s v="True"/>
    <s v="1-3 stories"/>
    <n v="219.04685974121099"/>
    <n v="219.04685974121099"/>
  </r>
  <r>
    <n v="10805"/>
    <s v="wall_3"/>
    <n v="1"/>
    <x v="0"/>
    <s v="Double"/>
    <s v="&gt;=1/2&quot;"/>
    <n v="100"/>
    <n v="701"/>
    <n v="0.55000001192092896"/>
    <s v="False"/>
    <s v="False"/>
    <s v="1-3 stories"/>
    <n v="686.32904052734398"/>
    <n v="686.32904052734398"/>
  </r>
  <r>
    <n v="10862"/>
    <s v="wall_4"/>
    <n v="1"/>
    <x v="1"/>
    <s v="Double"/>
    <s v="&lt;1/2&quot;"/>
    <n v="95"/>
    <n v="3519"/>
    <n v="0.85000002384185802"/>
    <s v="False"/>
    <s v="False"/>
    <s v="1-3 stories"/>
    <n v="85.864128112792997"/>
    <n v="85.864128112792997"/>
  </r>
  <r>
    <n v="10862"/>
    <s v="wall_5"/>
    <n v="2"/>
    <x v="0"/>
    <s v="Double"/>
    <s v="&gt;=1/2&quot;"/>
    <n v="100"/>
    <n v="130"/>
    <n v="0.44999998807907099"/>
    <s v="False"/>
    <s v="True"/>
    <s v="1-3 stories"/>
    <n v="85.864128112792997"/>
    <n v="85.864128112792997"/>
  </r>
  <r>
    <n v="10871"/>
    <s v="wall_3"/>
    <n v="1"/>
    <x v="0"/>
    <s v="Double"/>
    <s v="&lt;1/2&quot;"/>
    <n v="100"/>
    <n v="1640"/>
    <n v="0.55000001192092896"/>
    <s v="False"/>
    <s v="True"/>
    <s v="1-3 stories"/>
    <n v="200.17932128906301"/>
    <n v="200.17932128906301"/>
  </r>
  <r>
    <n v="10901"/>
    <s v="wall_3"/>
    <n v="1"/>
    <x v="1"/>
    <s v="Double"/>
    <s v="&gt;=1/2&quot;"/>
    <n v="60"/>
    <n v="1745"/>
    <n v="0.75"/>
    <s v="False"/>
    <s v="True"/>
    <s v="1-3 stories"/>
    <n v="228.97100830078099"/>
    <n v="228.97100830078099"/>
  </r>
  <r>
    <n v="10901"/>
    <s v="wall_4"/>
    <n v="2"/>
    <x v="0"/>
    <s v="Double"/>
    <s v="&gt;=1/2&quot;"/>
    <n v="100"/>
    <n v="409"/>
    <n v="0.44999998807907099"/>
    <s v="False"/>
    <s v="True"/>
    <s v="1-3 stories"/>
    <n v="228.97100830078099"/>
    <n v="228.97100830078099"/>
  </r>
  <r>
    <n v="10910"/>
    <s v="wall_4"/>
    <n v="1"/>
    <x v="0"/>
    <s v="Double"/>
    <s v="&gt;=1/2&quot;"/>
    <n v="100"/>
    <n v="1038"/>
    <n v="0.44999998807907099"/>
    <s v="False"/>
    <s v="True"/>
    <s v="1-3 stories"/>
    <n v="206.07391357421901"/>
    <n v="206.07391357421901"/>
  </r>
  <r>
    <n v="10996"/>
    <s v="wall_4"/>
    <n v="1"/>
    <x v="0"/>
    <s v="Double"/>
    <s v="&lt;1/2&quot;"/>
    <n v="100"/>
    <n v="993"/>
    <n v="0.55000001192092896"/>
    <s v="False"/>
    <s v="True"/>
    <s v="1-3 stories"/>
    <n v="112.106643676758"/>
    <n v="112.106643676758"/>
  </r>
  <r>
    <n v="11005"/>
    <s v="wall_4"/>
    <n v="1"/>
    <x v="0"/>
    <s v="Double"/>
    <s v="&lt;1/2&quot;"/>
    <n v="70"/>
    <n v="352"/>
    <n v="0.55000001192092896"/>
    <s v="False"/>
    <s v="True"/>
    <s v="1-3 stories"/>
    <n v="358.74127197265602"/>
    <n v="358.74127197265602"/>
  </r>
  <r>
    <n v="11005"/>
    <s v="wall_5"/>
    <n v="2"/>
    <x v="0"/>
    <s v="Single"/>
    <m/>
    <n v="50"/>
    <n v="43"/>
    <n v="0.89999997615814198"/>
    <s v="False"/>
    <s v="True"/>
    <s v="1-3 stories"/>
    <n v="358.74127197265602"/>
    <n v="358.74127197265602"/>
  </r>
  <r>
    <n v="11005"/>
    <s v="wall_6"/>
    <n v="3"/>
    <x v="0"/>
    <s v="Double"/>
    <s v="&lt;1/2&quot;"/>
    <n v="100"/>
    <n v="20"/>
    <n v="0.55000001192092896"/>
    <s v="False"/>
    <s v="True"/>
    <s v="1-3 stories"/>
    <n v="358.74127197265602"/>
    <n v="358.74127197265602"/>
  </r>
  <r>
    <n v="11263"/>
    <s v="wall_3"/>
    <n v="1"/>
    <x v="0"/>
    <s v="Double"/>
    <s v="&lt;1/2&quot;"/>
    <n v="100"/>
    <n v="570"/>
    <n v="0.55000001192092896"/>
    <s v="False"/>
    <s v="True"/>
    <s v="1-3 stories"/>
    <n v="343.45651245117199"/>
    <n v="343.45651245117199"/>
  </r>
  <r>
    <n v="11271"/>
    <s v="wall_4"/>
    <n v="1"/>
    <x v="1"/>
    <s v="Single"/>
    <m/>
    <n v="90"/>
    <n v="1500"/>
    <n v="1.1000000238418599"/>
    <s v="False"/>
    <s v="False"/>
    <s v="1-3 stories"/>
    <n v="54.761714935302699"/>
    <n v="54.761714935302699"/>
  </r>
  <r>
    <n v="11290"/>
    <s v="wall_3"/>
    <n v="1"/>
    <x v="1"/>
    <s v="Single"/>
    <m/>
    <n v="100"/>
    <n v="832"/>
    <n v="1.1000000238418599"/>
    <s v="False"/>
    <s v="False"/>
    <s v="1-3 stories"/>
    <n v="99.650344848632798"/>
    <n v="99.650344848632798"/>
  </r>
  <r>
    <n v="11290"/>
    <s v="wall_4"/>
    <n v="2"/>
    <x v="1"/>
    <s v="Single"/>
    <m/>
    <n v="100"/>
    <n v="592"/>
    <n v="0.94999998807907104"/>
    <s v="False"/>
    <s v="True"/>
    <s v="1-3 stories"/>
    <n v="99.650344848632798"/>
    <n v="99.650344848632798"/>
  </r>
  <r>
    <n v="11297"/>
    <s v="wall_4"/>
    <n v="1"/>
    <x v="0"/>
    <s v="Double"/>
    <s v="&gt;=1/2&quot;"/>
    <n v="67"/>
    <n v="13899"/>
    <n v="0.44999998807907099"/>
    <s v="False"/>
    <s v="True"/>
    <s v="1-3 stories"/>
    <n v="40.372299194335902"/>
    <n v="40.372299194335902"/>
  </r>
  <r>
    <n v="11297"/>
    <s v="wall_5"/>
    <n v="2"/>
    <x v="1"/>
    <s v="Double"/>
    <s v="&gt;=1/2&quot;"/>
    <n v="27"/>
    <n v="352"/>
    <n v="0.75"/>
    <s v="False"/>
    <s v="True"/>
    <s v="1-3 stories"/>
    <n v="40.372299194335902"/>
    <n v="40.372299194335902"/>
  </r>
  <r>
    <n v="11345"/>
    <s v="wall_4"/>
    <n v="1"/>
    <x v="0"/>
    <s v="Double"/>
    <s v="&gt;=1/2&quot;"/>
    <n v="98"/>
    <n v="1627"/>
    <n v="0.44999998807907099"/>
    <s v="False"/>
    <s v="True"/>
    <s v="1-3 stories"/>
    <n v="78.231018066406307"/>
    <n v="78.231018066406307"/>
  </r>
  <r>
    <n v="11413"/>
    <s v="wall_6"/>
    <n v="1"/>
    <x v="0"/>
    <s v="Double"/>
    <s v="&gt;=1/2&quot;"/>
    <n v="95"/>
    <n v="19214"/>
    <n v="0.44999998807907099"/>
    <s v="False"/>
    <s v="True"/>
    <s v="4-6 stories"/>
    <n v="53.381153106689503"/>
    <s v=""/>
  </r>
  <r>
    <n v="11413"/>
    <s v="wall_7"/>
    <n v="2"/>
    <x v="1"/>
    <s v="Single"/>
    <m/>
    <n v="95"/>
    <n v="2620"/>
    <n v="1.1000000238418599"/>
    <s v="False"/>
    <s v="False"/>
    <s v="4-6 stories"/>
    <n v="53.381153106689503"/>
    <s v=""/>
  </r>
  <r>
    <n v="11413"/>
    <s v="wall_8"/>
    <n v="3"/>
    <x v="1"/>
    <s v="Double"/>
    <s v="&gt;=1/2&quot;"/>
    <n v="72"/>
    <n v="296"/>
    <n v="0.80000001192092896"/>
    <s v="False"/>
    <s v="False"/>
    <s v="4-6 stories"/>
    <n v="53.381153106689503"/>
    <s v=""/>
  </r>
  <r>
    <n v="11537"/>
    <s v="wall_4"/>
    <n v="1"/>
    <x v="1"/>
    <s v="Single"/>
    <m/>
    <n v="100"/>
    <n v="421"/>
    <n v="1.1000000238418599"/>
    <s v="False"/>
    <s v="False"/>
    <s v="1-3 stories"/>
    <n v="149.47552490234401"/>
    <n v="149.47552490234401"/>
  </r>
  <r>
    <n v="11537"/>
    <s v="wall_5"/>
    <n v="2"/>
    <x v="1"/>
    <s v="Double"/>
    <s v="&lt;1/2&quot;"/>
    <n v="100"/>
    <n v="480"/>
    <n v="0.75"/>
    <s v="False"/>
    <s v="True"/>
    <s v="1-3 stories"/>
    <n v="149.47552490234401"/>
    <n v="149.47552490234401"/>
  </r>
  <r>
    <n v="11537"/>
    <s v="wall_6"/>
    <n v="3"/>
    <x v="0"/>
    <s v="Double"/>
    <s v="&gt;=1/2&quot;"/>
    <n v="100"/>
    <n v="42"/>
    <n v="0.44999998807907099"/>
    <s v="False"/>
    <s v="True"/>
    <s v="1-3 stories"/>
    <n v="149.47552490234401"/>
    <n v="149.47552490234401"/>
  </r>
  <r>
    <n v="11598"/>
    <s v="wall_4"/>
    <n v="1"/>
    <x v="1"/>
    <s v="Double"/>
    <s v="&gt;=1/2&quot;"/>
    <n v="100"/>
    <n v="1848"/>
    <n v="0.80000001192092896"/>
    <s v="False"/>
    <s v="False"/>
    <s v="1-3 stories"/>
    <n v="400.358642578125"/>
    <n v="400.358642578125"/>
  </r>
  <r>
    <n v="11879"/>
    <s v="wall_3"/>
    <n v="1"/>
    <x v="0"/>
    <s v="Double"/>
    <s v="&gt;=1/2&quot;"/>
    <n v="80"/>
    <n v="1452"/>
    <n v="0.55000001192092896"/>
    <s v="False"/>
    <s v="False"/>
    <s v="1-3 stories"/>
    <n v="600.53796386718795"/>
    <n v="600.53796386718795"/>
  </r>
  <r>
    <n v="11887"/>
    <s v="wall_3"/>
    <n v="1"/>
    <x v="1"/>
    <s v="Double"/>
    <s v="&gt;=1/2&quot;"/>
    <n v="100"/>
    <n v="5960"/>
    <n v="0.80000001192092896"/>
    <s v="False"/>
    <s v="False"/>
    <s v="1-3 stories"/>
    <n v="53.381153106689503"/>
    <n v="53.381153106689503"/>
  </r>
  <r>
    <n v="11887"/>
    <s v="wall_4"/>
    <n v="2"/>
    <x v="0"/>
    <s v="Double"/>
    <s v="&gt;=1/2&quot;"/>
    <n v="100"/>
    <n v="106"/>
    <n v="0.44999998807907099"/>
    <s v="False"/>
    <s v="True"/>
    <s v="1-3 stories"/>
    <n v="53.381153106689503"/>
    <n v="53.381153106689503"/>
  </r>
  <r>
    <n v="11930"/>
    <s v="wall_3"/>
    <n v="1"/>
    <x v="1"/>
    <s v="Double"/>
    <s v="&lt;1/2&quot;"/>
    <n v="100"/>
    <n v="562"/>
    <n v="0.85000002384185802"/>
    <s v="False"/>
    <s v="False"/>
    <s v="1-3 stories"/>
    <n v="600.53796386718795"/>
    <n v="600.53796386718795"/>
  </r>
  <r>
    <n v="11949"/>
    <s v="wall_3"/>
    <n v="1"/>
    <x v="0"/>
    <s v="Double"/>
    <s v="&gt;=1/2&quot;"/>
    <n v="65"/>
    <n v="8708"/>
    <n v="0.44999998807907099"/>
    <s v="False"/>
    <s v="True"/>
    <s v="4-6 stories"/>
    <n v="57.194087982177699"/>
    <s v=""/>
  </r>
  <r>
    <n v="12167"/>
    <s v="wall_4"/>
    <n v="1"/>
    <x v="1"/>
    <s v="Double"/>
    <s v="&lt;1/2&quot;"/>
    <n v="95"/>
    <n v="914"/>
    <n v="0.85000002384185802"/>
    <s v="False"/>
    <s v="False"/>
    <s v="1-3 stories"/>
    <n v="400.358642578125"/>
    <n v="400.358642578125"/>
  </r>
  <r>
    <n v="12192"/>
    <s v="wall_5"/>
    <n v="1"/>
    <x v="0"/>
    <s v="Double"/>
    <s v="&gt;=1/2&quot;"/>
    <n v="95"/>
    <n v="5017"/>
    <n v="0.44999998807907099"/>
    <s v="False"/>
    <s v="True"/>
    <s v="4-6 stories"/>
    <n v="62.4466361999512"/>
    <s v=""/>
  </r>
  <r>
    <n v="12192"/>
    <s v="wall_6"/>
    <n v="2"/>
    <x v="1"/>
    <s v="Single"/>
    <m/>
    <n v="50"/>
    <n v="95"/>
    <n v="0.94999998807907104"/>
    <s v="False"/>
    <s v="True"/>
    <s v="4-6 stories"/>
    <n v="62.4466361999512"/>
    <s v=""/>
  </r>
  <r>
    <n v="12405"/>
    <s v="wall_3"/>
    <n v="1"/>
    <x v="1"/>
    <s v="Double"/>
    <s v="&lt;1/2&quot;"/>
    <n v="100"/>
    <n v="2639"/>
    <n v="0.85000002384185802"/>
    <s v="False"/>
    <s v="False"/>
    <s v="1-3 stories"/>
    <n v="165.66564941406301"/>
    <n v="165.66564941406301"/>
  </r>
  <r>
    <n v="12511"/>
    <s v="wall_3"/>
    <n v="1"/>
    <x v="1"/>
    <s v="Double"/>
    <s v="&lt;1/2&quot;"/>
    <n v="100"/>
    <n v="2800"/>
    <n v="0.85000002384185802"/>
    <s v="False"/>
    <s v="False"/>
    <s v="4-6 stories"/>
    <n v="35.170711517333999"/>
    <s v=""/>
  </r>
  <r>
    <n v="12511"/>
    <s v="wall_4"/>
    <n v="2"/>
    <x v="1"/>
    <s v="Double"/>
    <s v="&lt;1/2&quot;"/>
    <n v="0"/>
    <n v="256"/>
    <n v="0.75"/>
    <s v="False"/>
    <s v="True"/>
    <s v="4-6 stories"/>
    <n v="35.170711517333999"/>
    <s v=""/>
  </r>
  <r>
    <n v="12623"/>
    <s v="wall_3"/>
    <n v="1"/>
    <x v="1"/>
    <s v="Single"/>
    <m/>
    <n v="100"/>
    <n v="953"/>
    <n v="1.1000000238418599"/>
    <s v="False"/>
    <s v="False"/>
    <s v="1-3 stories"/>
    <n v="600.53796386718795"/>
    <n v="600.53796386718795"/>
  </r>
  <r>
    <n v="12651"/>
    <s v="wall_4"/>
    <n v="1"/>
    <x v="0"/>
    <s v="Double"/>
    <s v="&gt;=1/2&quot;"/>
    <n v="82"/>
    <n v="2140"/>
    <n v="0.44999998807907099"/>
    <s v="False"/>
    <s v="True"/>
    <s v="1-3 stories"/>
    <n v="266.90576171875"/>
    <n v="266.90576171875"/>
  </r>
  <r>
    <n v="12783"/>
    <s v="wall_3"/>
    <n v="1"/>
    <x v="1"/>
    <s v="Double"/>
    <s v="&lt;1/2&quot;"/>
    <n v="97"/>
    <n v="2768"/>
    <n v="0.85000002384185802"/>
    <s v="False"/>
    <s v="False"/>
    <s v="4-6 stories"/>
    <n v="35.330135345458999"/>
    <s v=""/>
  </r>
  <r>
    <n v="12932"/>
    <s v="wall_6"/>
    <n v="1"/>
    <x v="1"/>
    <s v="Double"/>
    <s v="&lt;1/2&quot;"/>
    <n v="100"/>
    <n v="1783"/>
    <n v="0.85000002384185802"/>
    <s v="False"/>
    <s v="False"/>
    <s v="4-6 stories"/>
    <n v="137.38261413574199"/>
    <s v=""/>
  </r>
  <r>
    <n v="12932"/>
    <s v="wall_7"/>
    <n v="2"/>
    <x v="0"/>
    <s v="Double"/>
    <s v="&lt;1/2&quot;"/>
    <n v="0"/>
    <n v="658"/>
    <n v="0.60000002384185802"/>
    <s v="False"/>
    <s v="False"/>
    <s v="4-6 stories"/>
    <n v="137.38261413574199"/>
    <s v=""/>
  </r>
  <r>
    <n v="12932"/>
    <s v="wall_8"/>
    <n v="3"/>
    <x v="0"/>
    <s v="Single"/>
    <m/>
    <n v="0"/>
    <n v="150"/>
    <n v="0.94999998807907104"/>
    <s v="False"/>
    <s v="False"/>
    <s v="4-6 stories"/>
    <n v="137.38261413574199"/>
    <s v=""/>
  </r>
  <r>
    <n v="12986"/>
    <s v="wall_5"/>
    <n v="1"/>
    <x v="0"/>
    <s v="Double"/>
    <s v="&gt;=1/2&quot;"/>
    <n v="100"/>
    <n v="9684"/>
    <n v="0.44999998807907099"/>
    <s v="False"/>
    <s v="True"/>
    <s v="4-6 stories"/>
    <n v="19.080919265747099"/>
    <s v=""/>
  </r>
  <r>
    <n v="12986"/>
    <s v="wall_6"/>
    <n v="2"/>
    <x v="1"/>
    <s v="Double"/>
    <s v="&gt;=1/2&quot;"/>
    <n v="8"/>
    <n v="84"/>
    <n v="0.75"/>
    <s v="False"/>
    <s v="True"/>
    <s v="4-6 stories"/>
    <n v="19.080919265747099"/>
    <s v=""/>
  </r>
  <r>
    <n v="12998"/>
    <s v="wall_3"/>
    <n v="1"/>
    <x v="1"/>
    <s v="Double"/>
    <s v="&gt;=1/2&quot;"/>
    <n v="95"/>
    <n v="2030"/>
    <n v="0.80000001192092896"/>
    <s v="False"/>
    <s v="False"/>
    <s v="1-3 stories"/>
    <n v="34.226070404052699"/>
    <n v="34.226070404052699"/>
  </r>
  <r>
    <n v="12998"/>
    <s v="wall_4"/>
    <n v="2"/>
    <x v="0"/>
    <s v="Double"/>
    <s v="&gt;=1/2&quot;"/>
    <n v="95"/>
    <n v="1354"/>
    <n v="0.44999998807907099"/>
    <s v="False"/>
    <s v="True"/>
    <s v="1-3 stories"/>
    <n v="34.226070404052699"/>
    <n v="34.226070404052699"/>
  </r>
  <r>
    <n v="13039"/>
    <s v="wall_4"/>
    <n v="1"/>
    <x v="0"/>
    <s v="Double"/>
    <s v="&gt;=1/2&quot;"/>
    <n v="51"/>
    <n v="7042"/>
    <n v="0.44999998807907099"/>
    <s v="False"/>
    <s v="True"/>
    <s v="4-6 stories"/>
    <n v="66.475456237792997"/>
    <s v=""/>
  </r>
  <r>
    <n v="13039"/>
    <s v="wall_5"/>
    <n v="2"/>
    <x v="1"/>
    <s v="Double"/>
    <s v="&lt;1/2&quot;"/>
    <n v="90"/>
    <n v="626"/>
    <n v="0.75"/>
    <s v="False"/>
    <s v="True"/>
    <s v="4-6 stories"/>
    <n v="66.475456237792997"/>
    <s v=""/>
  </r>
  <r>
    <n v="13039"/>
    <s v="wall_6"/>
    <n v="3"/>
    <x v="0"/>
    <s v="Single"/>
    <m/>
    <n v="100"/>
    <n v="156"/>
    <n v="0.94999998807907104"/>
    <s v="False"/>
    <s v="False"/>
    <s v="4-6 stories"/>
    <n v="66.475456237792997"/>
    <s v=""/>
  </r>
  <r>
    <n v="13048"/>
    <s v="wall_4"/>
    <n v="1"/>
    <x v="1"/>
    <s v="Double"/>
    <s v="&gt;=1/2&quot;"/>
    <n v="100"/>
    <n v="1578"/>
    <n v="0.80000001192092896"/>
    <s v="False"/>
    <s v="False"/>
    <s v="1-3 stories"/>
    <n v="266.90576171875"/>
    <n v="266.90576171875"/>
  </r>
  <r>
    <n v="13048"/>
    <s v="wall_5"/>
    <n v="2"/>
    <x v="0"/>
    <s v="Double"/>
    <s v="&gt;=1/2&quot;"/>
    <n v="100"/>
    <n v="240"/>
    <n v="0.55000001192092896"/>
    <s v="False"/>
    <s v="False"/>
    <s v="1-3 stories"/>
    <n v="266.90576171875"/>
    <n v="266.90576171875"/>
  </r>
  <r>
    <n v="13054"/>
    <s v="wall_3"/>
    <n v="1"/>
    <x v="0"/>
    <s v="Double"/>
    <s v="&gt;=1/2&quot;"/>
    <n v="100"/>
    <n v="670"/>
    <n v="0.44999998807907099"/>
    <s v="False"/>
    <s v="True"/>
    <s v="1-3 stories"/>
    <n v="149.47552490234401"/>
    <n v="149.47552490234401"/>
  </r>
  <r>
    <n v="13054"/>
    <s v="wall_4"/>
    <n v="2"/>
    <x v="0"/>
    <s v="Double"/>
    <s v="&lt;1/2&quot;"/>
    <n v="37"/>
    <n v="384"/>
    <n v="0.55000001192092896"/>
    <s v="False"/>
    <s v="True"/>
    <s v="1-3 stories"/>
    <n v="149.47552490234401"/>
    <n v="149.47552490234401"/>
  </r>
  <r>
    <n v="13062"/>
    <s v="wall_4"/>
    <n v="1"/>
    <x v="1"/>
    <s v="Double"/>
    <s v="&gt;=1/2&quot;"/>
    <n v="100"/>
    <n v="1448"/>
    <n v="0.80000001192092896"/>
    <s v="False"/>
    <s v="False"/>
    <s v="1-3 stories"/>
    <n v="400.358642578125"/>
    <n v="400.358642578125"/>
  </r>
  <r>
    <n v="13126"/>
    <s v="wall_4"/>
    <n v="1"/>
    <x v="1"/>
    <s v="Single"/>
    <m/>
    <n v="80"/>
    <n v="9930"/>
    <n v="1.1000000238418599"/>
    <s v="False"/>
    <s v="False"/>
    <s v="7+ stories"/>
    <n v="19.557754516601602"/>
    <s v=""/>
  </r>
  <r>
    <n v="13126"/>
    <s v="wall_5"/>
    <n v="2"/>
    <x v="0"/>
    <s v="Double"/>
    <s v="&gt;=1/2&quot;"/>
    <n v="0"/>
    <n v="135"/>
    <n v="0.44999998807907099"/>
    <s v="False"/>
    <s v="True"/>
    <s v="7+ stories"/>
    <n v="19.557754516601602"/>
    <s v=""/>
  </r>
  <r>
    <n v="13202"/>
    <s v="wall_3"/>
    <n v="1"/>
    <x v="0"/>
    <s v="Double"/>
    <s v="&lt;1/2&quot;"/>
    <n v="100"/>
    <n v="1116"/>
    <n v="0.60000002384185802"/>
    <s v="False"/>
    <s v="False"/>
    <s v="1-3 stories"/>
    <n v="480.43035888671898"/>
    <n v="480.43035888671898"/>
  </r>
  <r>
    <n v="13218"/>
    <s v="wall_3"/>
    <n v="1"/>
    <x v="1"/>
    <s v="Double"/>
    <s v="&lt;1/2&quot;"/>
    <n v="100"/>
    <n v="1261"/>
    <n v="0.85000002384185802"/>
    <s v="False"/>
    <s v="False"/>
    <s v="1-3 stories"/>
    <n v="128.79620361328099"/>
    <n v="128.79620361328099"/>
  </r>
  <r>
    <n v="13268"/>
    <s v="wall_4"/>
    <n v="1"/>
    <x v="0"/>
    <s v="Double"/>
    <s v="&gt;=1/2&quot;"/>
    <n v="100"/>
    <n v="1176"/>
    <n v="0.44999998807907099"/>
    <s v="False"/>
    <s v="True"/>
    <s v="1-3 stories"/>
    <n v="171.72825622558599"/>
    <n v="171.72825622558599"/>
  </r>
  <r>
    <n v="13321"/>
    <s v="wall_3"/>
    <n v="1"/>
    <x v="0"/>
    <s v="Double"/>
    <s v="&gt;=1/2&quot;"/>
    <n v="100"/>
    <n v="870"/>
    <n v="0.55000001192092896"/>
    <s v="False"/>
    <s v="False"/>
    <s v="1-3 stories"/>
    <n v="266.90576171875"/>
    <n v="266.90576171875"/>
  </r>
  <r>
    <n v="13321"/>
    <s v="wall_4"/>
    <n v="2"/>
    <x v="0"/>
    <s v="Double"/>
    <s v="&gt;=1/2&quot;"/>
    <n v="100"/>
    <n v="585"/>
    <n v="0.44999998807907099"/>
    <s v="False"/>
    <s v="True"/>
    <s v="1-3 stories"/>
    <n v="266.90576171875"/>
    <n v="266.90576171875"/>
  </r>
  <r>
    <n v="13321"/>
    <s v="wall_5"/>
    <n v="3"/>
    <x v="0"/>
    <s v="Single"/>
    <m/>
    <n v="0"/>
    <n v="81"/>
    <n v="0.94999998807907104"/>
    <s v="False"/>
    <s v="False"/>
    <s v="1-3 stories"/>
    <n v="266.90576171875"/>
    <n v="266.90576171875"/>
  </r>
  <r>
    <n v="13360"/>
    <s v="wall_3"/>
    <n v="1"/>
    <x v="1"/>
    <s v="Single"/>
    <m/>
    <n v="100"/>
    <n v="800"/>
    <n v="1.1000000238418599"/>
    <s v="False"/>
    <s v="False"/>
    <s v="1-3 stories"/>
    <n v="343.16452026367199"/>
    <n v="343.16452026367199"/>
  </r>
  <r>
    <n v="13384"/>
    <s v="wall_3"/>
    <n v="1"/>
    <x v="1"/>
    <s v="Double"/>
    <s v="&gt;=1/2&quot;"/>
    <n v="100"/>
    <n v="615"/>
    <n v="0.80000001192092896"/>
    <s v="False"/>
    <s v="False"/>
    <s v="1-3 stories"/>
    <n v="343.45651245117199"/>
    <n v="343.45651245117199"/>
  </r>
  <r>
    <n v="13384"/>
    <s v="wall_4"/>
    <n v="2"/>
    <x v="2"/>
    <m/>
    <m/>
    <n v="100"/>
    <n v="53"/>
    <m/>
    <m/>
    <m/>
    <s v="1-3 stories"/>
    <n v="343.45651245117199"/>
    <n v="343.45651245117199"/>
  </r>
  <r>
    <n v="13384"/>
    <s v="wall_5"/>
    <n v="3"/>
    <x v="1"/>
    <s v="Single"/>
    <m/>
    <n v="0"/>
    <n v="16"/>
    <n v="1.1000000238418599"/>
    <s v="False"/>
    <s v="False"/>
    <s v="1-3 stories"/>
    <n v="343.45651245117199"/>
    <n v="343.45651245117199"/>
  </r>
  <r>
    <n v="13520"/>
    <s v="wall_4"/>
    <n v="1"/>
    <x v="1"/>
    <s v="Double"/>
    <s v="&gt;=1/2&quot;"/>
    <n v="100"/>
    <n v="2134"/>
    <n v="0.80000001192092896"/>
    <s v="False"/>
    <s v="False"/>
    <s v="1-3 stories"/>
    <n v="114.48550415039099"/>
    <n v="114.48550415039099"/>
  </r>
  <r>
    <n v="13628"/>
    <s v="wall_3"/>
    <n v="1"/>
    <x v="1"/>
    <s v="Double"/>
    <s v="&lt;1/2&quot;"/>
    <n v="100"/>
    <n v="419"/>
    <n v="0.85000002384185802"/>
    <s v="False"/>
    <s v="False"/>
    <s v="1-3 stories"/>
    <n v="343.45651245117199"/>
    <n v="343.45651245117199"/>
  </r>
  <r>
    <n v="13694"/>
    <s v="wall_4"/>
    <n v="1"/>
    <x v="0"/>
    <s v="Double"/>
    <s v="&lt;1/2&quot;"/>
    <n v="100"/>
    <n v="1626"/>
    <n v="0.60000002384185802"/>
    <s v="False"/>
    <s v="False"/>
    <s v="1-3 stories"/>
    <n v="266.90576171875"/>
    <n v="266.90576171875"/>
  </r>
  <r>
    <n v="13712"/>
    <s v="wall_3"/>
    <n v="1"/>
    <x v="0"/>
    <s v="Double"/>
    <s v="&gt;=1/2&quot;"/>
    <n v="100"/>
    <n v="604"/>
    <n v="0.44999998807907099"/>
    <s v="False"/>
    <s v="True"/>
    <s v="1-3 stories"/>
    <n v="136.90428161621099"/>
    <n v="136.90428161621099"/>
  </r>
  <r>
    <n v="13861"/>
    <s v="wall_4"/>
    <n v="1"/>
    <x v="0"/>
    <s v="Double"/>
    <s v="&lt;1/2&quot;"/>
    <n v="99"/>
    <n v="3953"/>
    <n v="0.55000001192092896"/>
    <s v="False"/>
    <s v="True"/>
    <s v="1-3 stories"/>
    <n v="18.253904342651399"/>
    <n v="18.253904342651399"/>
  </r>
  <r>
    <n v="13899"/>
    <s v="wall_5"/>
    <n v="1"/>
    <x v="1"/>
    <s v="Double"/>
    <s v="&gt;=1/2&quot;"/>
    <n v="100"/>
    <n v="1528"/>
    <n v="0.80000001192092896"/>
    <s v="False"/>
    <s v="False"/>
    <s v="1-3 stories"/>
    <n v="42.124393463134801"/>
    <n v="42.124393463134801"/>
  </r>
  <r>
    <n v="13988"/>
    <s v="wall_3"/>
    <n v="1"/>
    <x v="1"/>
    <s v="Single"/>
    <m/>
    <n v="100"/>
    <n v="754"/>
    <n v="1.1000000238418599"/>
    <s v="False"/>
    <s v="False"/>
    <s v="1-3 stories"/>
    <n v="114.48550415039099"/>
    <n v="114.48550415039099"/>
  </r>
  <r>
    <n v="13988"/>
    <s v="wall_4"/>
    <n v="2"/>
    <x v="0"/>
    <s v="Double"/>
    <s v="&lt;1/2&quot;"/>
    <n v="100"/>
    <n v="56"/>
    <n v="0.60000002384185802"/>
    <s v="False"/>
    <s v="False"/>
    <s v="1-3 stories"/>
    <n v="114.48550415039099"/>
    <n v="114.48550415039099"/>
  </r>
  <r>
    <n v="13988"/>
    <s v="wall_5"/>
    <n v="3"/>
    <x v="1"/>
    <s v="Double"/>
    <s v="&lt;1/2&quot;"/>
    <n v="8"/>
    <n v="56"/>
    <n v="0.85000002384185802"/>
    <s v="False"/>
    <s v="False"/>
    <s v="1-3 stories"/>
    <n v="114.48550415039099"/>
    <n v="114.48550415039099"/>
  </r>
  <r>
    <n v="14014"/>
    <s v="wall_3"/>
    <n v="1"/>
    <x v="0"/>
    <s v="Double"/>
    <s v="&gt;=1/2&quot;"/>
    <n v="100"/>
    <n v="1602"/>
    <n v="0.44999998807907099"/>
    <s v="False"/>
    <s v="True"/>
    <s v="1-3 stories"/>
    <n v="85.864128112792997"/>
    <n v="85.864128112792997"/>
  </r>
  <r>
    <n v="14020"/>
    <s v="wall_4"/>
    <n v="1"/>
    <x v="1"/>
    <s v="Double"/>
    <s v="&gt;=1/2&quot;"/>
    <n v="97"/>
    <n v="1156"/>
    <n v="0.80000001192092896"/>
    <s v="False"/>
    <s v="False"/>
    <s v="1-3 stories"/>
    <n v="171.72825622558599"/>
    <n v="171.72825622558599"/>
  </r>
  <r>
    <n v="14059"/>
    <s v="wall_4"/>
    <n v="1"/>
    <x v="0"/>
    <s v="Double"/>
    <s v="&lt;1/2&quot;"/>
    <n v="100"/>
    <n v="3022"/>
    <n v="0.55000001192092896"/>
    <s v="False"/>
    <s v="True"/>
    <s v="4-6 stories"/>
    <n v="47.924167633056598"/>
    <s v=""/>
  </r>
  <r>
    <n v="14059"/>
    <s v="wall_5"/>
    <n v="2"/>
    <x v="1"/>
    <s v="Double"/>
    <s v="&gt;=1/2&quot;"/>
    <n v="0"/>
    <n v="224"/>
    <n v="0.75"/>
    <s v="False"/>
    <s v="True"/>
    <s v="4-6 stories"/>
    <n v="47.924167633056598"/>
    <s v=""/>
  </r>
  <r>
    <n v="14059"/>
    <s v="wall_6"/>
    <n v="3"/>
    <x v="0"/>
    <s v="Double"/>
    <s v="&lt;1/2&quot;"/>
    <n v="100"/>
    <n v="20"/>
    <n v="0.55000001192092896"/>
    <s v="False"/>
    <s v="True"/>
    <s v="4-6 stories"/>
    <n v="47.924167633056598"/>
    <s v=""/>
  </r>
  <r>
    <n v="14163"/>
    <s v="wall_3"/>
    <n v="1"/>
    <x v="1"/>
    <s v="Single"/>
    <m/>
    <n v="100"/>
    <n v="5665"/>
    <n v="1.1000000238418599"/>
    <s v="False"/>
    <s v="False"/>
    <s v="4-6 stories"/>
    <n v="38.881870269775398"/>
    <s v=""/>
  </r>
  <r>
    <n v="14163"/>
    <s v="wall_4"/>
    <n v="2"/>
    <x v="0"/>
    <s v="Double"/>
    <s v="&gt;=1/2&quot;"/>
    <n v="4"/>
    <n v="216"/>
    <n v="0.55000001192092896"/>
    <s v="False"/>
    <s v="False"/>
    <s v="4-6 stories"/>
    <n v="38.881870269775398"/>
    <s v=""/>
  </r>
  <r>
    <n v="14240"/>
    <s v="wall_3"/>
    <n v="1"/>
    <x v="0"/>
    <s v="Double"/>
    <s v="&gt;=1/2&quot;"/>
    <n v="86"/>
    <n v="769"/>
    <n v="0.44999998807907099"/>
    <s v="False"/>
    <s v="True"/>
    <s v="1-3 stories"/>
    <n v="800.71728515625"/>
    <n v="800.71728515625"/>
  </r>
  <r>
    <n v="14258"/>
    <s v="wall_3"/>
    <n v="1"/>
    <x v="0"/>
    <s v="Double"/>
    <s v="&lt;1/2&quot;"/>
    <n v="100"/>
    <n v="1439"/>
    <n v="0.55000001192092896"/>
    <s v="False"/>
    <s v="True"/>
    <s v="1-3 stories"/>
    <n v="436.75485229492199"/>
    <n v="436.75485229492199"/>
  </r>
  <r>
    <n v="14259"/>
    <s v="wall_4"/>
    <n v="1"/>
    <x v="1"/>
    <s v="Double"/>
    <s v="&gt;=1/2&quot;"/>
    <n v="90"/>
    <n v="6433"/>
    <n v="0.80000001192092896"/>
    <s v="False"/>
    <s v="False"/>
    <s v="4-6 stories"/>
    <n v="10.1410579681396"/>
    <s v=""/>
  </r>
  <r>
    <n v="14346"/>
    <s v="wall_4"/>
    <n v="1"/>
    <x v="1"/>
    <s v="Double"/>
    <s v="&gt;=1/2&quot;"/>
    <n v="91"/>
    <n v="4114"/>
    <n v="0.75"/>
    <s v="False"/>
    <s v="True"/>
    <s v="1-3 stories"/>
    <n v="171.58226013183599"/>
    <n v="171.58226013183599"/>
  </r>
  <r>
    <n v="14346"/>
    <s v="wall_5"/>
    <n v="2"/>
    <x v="1"/>
    <s v="Single"/>
    <m/>
    <n v="24"/>
    <n v="196"/>
    <n v="1.1000000238418599"/>
    <s v="False"/>
    <s v="False"/>
    <s v="1-3 stories"/>
    <n v="171.58226013183599"/>
    <n v="171.58226013183599"/>
  </r>
  <r>
    <n v="14507"/>
    <s v="wall_4"/>
    <n v="1"/>
    <x v="1"/>
    <s v="Double"/>
    <s v="&lt;1/2&quot;"/>
    <n v="100"/>
    <n v="640"/>
    <n v="0.85000002384185802"/>
    <s v="False"/>
    <s v="False"/>
    <s v="1-3 stories"/>
    <n v="412.14782714843801"/>
    <n v="412.14782714843801"/>
  </r>
  <r>
    <n v="14507"/>
    <s v="wall_5"/>
    <n v="2"/>
    <x v="0"/>
    <s v="Single"/>
    <m/>
    <n v="0"/>
    <n v="65"/>
    <n v="0.94999998807907104"/>
    <s v="False"/>
    <s v="False"/>
    <s v="1-3 stories"/>
    <n v="412.14782714843801"/>
    <n v="412.14782714843801"/>
  </r>
  <r>
    <n v="14613"/>
    <s v="wall_3"/>
    <n v="1"/>
    <x v="0"/>
    <s v="Double"/>
    <s v="&gt;=1/2&quot;"/>
    <n v="100"/>
    <n v="1116"/>
    <n v="0.44999998807907099"/>
    <s v="False"/>
    <s v="True"/>
    <s v="1-3 stories"/>
    <n v="99.650344848632798"/>
    <n v="99.650344848632798"/>
  </r>
  <r>
    <n v="14613"/>
    <s v="wall_4"/>
    <n v="2"/>
    <x v="1"/>
    <s v="Double"/>
    <s v="&gt;=1/2&quot;"/>
    <n v="100"/>
    <n v="594"/>
    <n v="0.75"/>
    <s v="False"/>
    <s v="True"/>
    <s v="1-3 stories"/>
    <n v="99.650344848632798"/>
    <n v="99.650344848632798"/>
  </r>
  <r>
    <n v="14614"/>
    <s v="wall_5"/>
    <n v="1"/>
    <x v="0"/>
    <s v="Double"/>
    <s v="&gt;=1/2&quot;"/>
    <n v="100"/>
    <n v="731"/>
    <n v="0.44999998807907099"/>
    <s v="False"/>
    <s v="True"/>
    <s v="1-3 stories"/>
    <n v="320.28689575195301"/>
    <n v="320.28689575195301"/>
  </r>
  <r>
    <n v="20021"/>
    <s v="wall_4"/>
    <n v="1"/>
    <x v="1"/>
    <s v="Double"/>
    <s v="&gt;=1/2&quot;"/>
    <n v="100"/>
    <n v="12347"/>
    <n v="0.80000001192092896"/>
    <s v="False"/>
    <s v="False"/>
    <s v="7+ stories"/>
    <n v="61.841342926025398"/>
    <s v=""/>
  </r>
  <r>
    <n v="20021"/>
    <s v="wall_5"/>
    <n v="2"/>
    <x v="1"/>
    <s v="Double"/>
    <s v="&gt;=1/2&quot;"/>
    <n v="0"/>
    <n v="556"/>
    <n v="0.75"/>
    <s v="False"/>
    <s v="True"/>
    <s v="7+ stories"/>
    <n v="61.841342926025398"/>
    <s v=""/>
  </r>
  <r>
    <n v="20101"/>
    <s v="wall_7"/>
    <n v="1"/>
    <x v="0"/>
    <s v="Single"/>
    <m/>
    <n v="69"/>
    <n v="654"/>
    <n v="0.89999997615814198"/>
    <s v="False"/>
    <s v="True"/>
    <s v="1-3 stories"/>
    <n v="167.65873718261699"/>
    <n v="167.65873718261699"/>
  </r>
  <r>
    <n v="20101"/>
    <s v="wall_8"/>
    <n v="2"/>
    <x v="1"/>
    <s v="Single"/>
    <m/>
    <n v="53"/>
    <n v="732"/>
    <n v="0.94999998807907104"/>
    <s v="False"/>
    <s v="True"/>
    <s v="1-3 stories"/>
    <n v="167.65873718261699"/>
    <n v="167.65873718261699"/>
  </r>
  <r>
    <n v="20101"/>
    <s v="wall_9"/>
    <n v="3"/>
    <x v="1"/>
    <s v="Single"/>
    <m/>
    <m/>
    <n v="3206"/>
    <n v="0.94999998807907104"/>
    <s v="False"/>
    <s v="True"/>
    <s v="1-3 stories"/>
    <n v="167.65873718261699"/>
    <n v="167.65873718261699"/>
  </r>
  <r>
    <n v="20119"/>
    <s v="wall_5"/>
    <n v="1"/>
    <x v="0"/>
    <s v="Double"/>
    <s v="&gt;=1/2&quot;"/>
    <n v="100"/>
    <n v="4068"/>
    <n v="0.44999998807907099"/>
    <s v="False"/>
    <s v="True"/>
    <s v="1-3 stories"/>
    <n v="116.07144165039099"/>
    <n v="116.07144165039099"/>
  </r>
  <r>
    <n v="20119"/>
    <s v="wall_6"/>
    <n v="2"/>
    <x v="1"/>
    <s v="Double"/>
    <s v="&gt;=1/2&quot;"/>
    <n v="0"/>
    <n v="89"/>
    <n v="0.75"/>
    <s v="False"/>
    <s v="True"/>
    <s v="1-3 stories"/>
    <n v="116.07144165039099"/>
    <n v="116.07144165039099"/>
  </r>
  <r>
    <n v="20119"/>
    <s v="wall_7"/>
    <n v="3"/>
    <x v="0"/>
    <s v="Double"/>
    <s v="&gt;=1/2&quot;"/>
    <n v="0"/>
    <n v="168"/>
    <n v="0.44999998807907099"/>
    <s v="False"/>
    <s v="True"/>
    <s v="1-3 stories"/>
    <n v="116.07144165039099"/>
    <n v="116.07144165039099"/>
  </r>
  <r>
    <n v="20165"/>
    <s v="wall_3"/>
    <n v="1"/>
    <x v="0"/>
    <s v="Double"/>
    <s v="&gt;=1/2&quot;"/>
    <n v="100"/>
    <n v="576"/>
    <n v="0.44999998807907099"/>
    <s v="False"/>
    <s v="True"/>
    <s v="1-3 stories"/>
    <n v="628.72027587890602"/>
    <n v="628.72027587890602"/>
  </r>
  <r>
    <n v="20165"/>
    <s v="wall_4"/>
    <n v="2"/>
    <x v="0"/>
    <s v="Double"/>
    <s v="&gt;=1/2&quot;"/>
    <n v="35"/>
    <n v="312"/>
    <n v="0.44999998807907099"/>
    <s v="False"/>
    <s v="True"/>
    <s v="1-3 stories"/>
    <n v="628.72027587890602"/>
    <n v="628.72027587890602"/>
  </r>
  <r>
    <n v="20193"/>
    <s v="wall_3"/>
    <n v="1"/>
    <x v="1"/>
    <s v="Single"/>
    <m/>
    <n v="100"/>
    <n v="1310"/>
    <n v="1.1000000238418599"/>
    <s v="False"/>
    <s v="False"/>
    <s v="1-3 stories"/>
    <n v="538.903076171875"/>
    <n v="538.903076171875"/>
  </r>
  <r>
    <n v="20193"/>
    <s v="wall_4"/>
    <n v="2"/>
    <x v="1"/>
    <s v="Single"/>
    <m/>
    <n v="0"/>
    <n v="260"/>
    <n v="1.1000000238418599"/>
    <s v="False"/>
    <s v="False"/>
    <s v="1-3 stories"/>
    <n v="538.903076171875"/>
    <n v="538.903076171875"/>
  </r>
  <r>
    <n v="20195"/>
    <s v="wall_10"/>
    <n v="3"/>
    <x v="1"/>
    <s v="Double"/>
    <s v="&lt;1/2&quot;"/>
    <n v="0"/>
    <n v="576"/>
    <n v="0.85000002384185802"/>
    <s v="False"/>
    <s v="False"/>
    <s v="4-6 stories"/>
    <n v="580.357177734375"/>
    <s v=""/>
  </r>
  <r>
    <n v="20195"/>
    <s v="wall_8"/>
    <n v="1"/>
    <x v="0"/>
    <s v="Double"/>
    <s v="&gt;=1/2&quot;"/>
    <n v="50"/>
    <n v="984"/>
    <n v="0.44999998807907099"/>
    <s v="False"/>
    <s v="True"/>
    <s v="4-6 stories"/>
    <n v="580.357177734375"/>
    <s v=""/>
  </r>
  <r>
    <n v="20195"/>
    <s v="wall_9"/>
    <n v="2"/>
    <x v="1"/>
    <s v="Single"/>
    <m/>
    <n v="20"/>
    <n v="690"/>
    <n v="1.1000000238418599"/>
    <s v="False"/>
    <s v="False"/>
    <s v="4-6 stories"/>
    <n v="580.357177734375"/>
    <s v=""/>
  </r>
  <r>
    <n v="20241"/>
    <s v="wall_5"/>
    <n v="1"/>
    <x v="1"/>
    <s v="Single"/>
    <m/>
    <n v="52"/>
    <n v="463"/>
    <n v="1.1000000238418599"/>
    <s v="False"/>
    <s v="False"/>
    <s v="1-3 stories"/>
    <n v="1257.44055175781"/>
    <n v="1257.44055175781"/>
  </r>
  <r>
    <n v="20241"/>
    <s v="wall_6"/>
    <n v="2"/>
    <x v="1"/>
    <s v="Single"/>
    <m/>
    <n v="100"/>
    <n v="26"/>
    <n v="1.1000000238418599"/>
    <s v="False"/>
    <s v="False"/>
    <s v="1-3 stories"/>
    <n v="1257.44055175781"/>
    <n v="1257.44055175781"/>
  </r>
  <r>
    <n v="20241"/>
    <s v="wall_7"/>
    <n v="3"/>
    <x v="1"/>
    <s v="Double"/>
    <s v="&lt;1/2&quot;"/>
    <n v="100"/>
    <n v="84"/>
    <n v="0.85000002384185802"/>
    <s v="False"/>
    <s v="False"/>
    <s v="1-3 stories"/>
    <n v="1257.44055175781"/>
    <n v="1257.44055175781"/>
  </r>
  <r>
    <n v="20289"/>
    <s v="wall_3"/>
    <n v="1"/>
    <x v="1"/>
    <s v="Double"/>
    <s v="&lt;1/2&quot;"/>
    <n v="100"/>
    <n v="544"/>
    <n v="0.75"/>
    <s v="False"/>
    <s v="True"/>
    <s v="1-3 stories"/>
    <n v="943.08038330078102"/>
    <n v="943.08038330078102"/>
  </r>
  <r>
    <n v="20532"/>
    <s v="wall_4"/>
    <n v="1"/>
    <x v="1"/>
    <s v="Single"/>
    <m/>
    <n v="100"/>
    <n v="729"/>
    <n v="1.1000000238418599"/>
    <s v="False"/>
    <s v="False"/>
    <s v="1-3 stories"/>
    <n v="502.97622680664102"/>
    <n v="502.97622680664102"/>
  </r>
  <r>
    <n v="20532"/>
    <s v="wall_5"/>
    <n v="2"/>
    <x v="0"/>
    <s v="Double"/>
    <s v="&lt;1/2&quot;"/>
    <n v="100"/>
    <n v="58"/>
    <n v="0.60000002384185802"/>
    <s v="False"/>
    <s v="False"/>
    <s v="1-3 stories"/>
    <n v="502.97622680664102"/>
    <n v="502.97622680664102"/>
  </r>
  <r>
    <n v="20566"/>
    <s v="wall_3"/>
    <n v="1"/>
    <x v="1"/>
    <s v="Single"/>
    <m/>
    <n v="100"/>
    <n v="880"/>
    <n v="1.1000000238418599"/>
    <s v="False"/>
    <s v="False"/>
    <s v="1-3 stories"/>
    <n v="754.46429443359398"/>
    <n v="754.46429443359398"/>
  </r>
  <r>
    <n v="20581"/>
    <s v="wall_3"/>
    <n v="1"/>
    <x v="1"/>
    <s v="Double"/>
    <s v="&lt;1/2&quot;"/>
    <n v="100"/>
    <n v="596"/>
    <n v="0.75"/>
    <s v="False"/>
    <s v="True"/>
    <s v="1-3 stories"/>
    <n v="1257.44055175781"/>
    <n v="1257.44055175781"/>
  </r>
  <r>
    <n v="20665"/>
    <s v="wall_3"/>
    <n v="1"/>
    <x v="0"/>
    <s v="Double"/>
    <s v="&lt;1/2&quot;"/>
    <n v="100"/>
    <n v="471"/>
    <n v="0.55000001192092896"/>
    <s v="False"/>
    <s v="True"/>
    <s v="1-3 stories"/>
    <n v="685.87664794921898"/>
    <n v="685.87664794921898"/>
  </r>
  <r>
    <n v="20665"/>
    <s v="wall_4"/>
    <n v="2"/>
    <x v="1"/>
    <s v="Double"/>
    <s v="&lt;1/2&quot;"/>
    <n v="80"/>
    <n v="1257"/>
    <n v="0.75"/>
    <s v="False"/>
    <s v="True"/>
    <s v="1-3 stories"/>
    <n v="685.87664794921898"/>
    <n v="685.87664794921898"/>
  </r>
  <r>
    <n v="20705"/>
    <s v="wall_3"/>
    <n v="1"/>
    <x v="0"/>
    <s v="Double"/>
    <s v="&gt;=1/2&quot;"/>
    <n v="100"/>
    <n v="426"/>
    <n v="0.44999998807907099"/>
    <s v="False"/>
    <s v="True"/>
    <s v="1-3 stories"/>
    <n v="1257.44055175781"/>
    <n v="1257.44055175781"/>
  </r>
  <r>
    <n v="20803"/>
    <s v="wall_3"/>
    <n v="1"/>
    <x v="0"/>
    <s v="Double"/>
    <s v="&gt;=1/2&quot;"/>
    <n v="100"/>
    <n v="438"/>
    <n v="0.44999998807907099"/>
    <s v="False"/>
    <s v="True"/>
    <s v="1-3 stories"/>
    <n v="838.293701171875"/>
    <n v="838.293701171875"/>
  </r>
  <r>
    <n v="21000"/>
    <s v="wall_5"/>
    <n v="1"/>
    <x v="1"/>
    <s v="Double"/>
    <s v="&lt;1/2&quot;"/>
    <n v="75"/>
    <n v="1528"/>
    <n v="0.75"/>
    <s v="False"/>
    <s v="True"/>
    <s v="1-3 stories"/>
    <n v="251.48811340332"/>
    <n v="251.48811340332"/>
  </r>
  <r>
    <n v="21000"/>
    <s v="wall_6"/>
    <n v="2"/>
    <x v="1"/>
    <s v="Double"/>
    <s v="&gt;=1/2&quot;"/>
    <n v="47"/>
    <n v="77"/>
    <n v="0.75"/>
    <s v="False"/>
    <s v="True"/>
    <s v="1-3 stories"/>
    <n v="251.48811340332"/>
    <n v="251.48811340332"/>
  </r>
  <r>
    <n v="21000"/>
    <s v="wall_7"/>
    <n v="3"/>
    <x v="2"/>
    <m/>
    <m/>
    <m/>
    <n v="36"/>
    <m/>
    <m/>
    <m/>
    <s v="1-3 stories"/>
    <n v="251.48811340332"/>
    <n v="251.48811340332"/>
  </r>
  <r>
    <n v="21268"/>
    <s v="wall_3"/>
    <n v="1"/>
    <x v="1"/>
    <s v="Single"/>
    <m/>
    <n v="100"/>
    <n v="600"/>
    <n v="1.1000000238418599"/>
    <s v="False"/>
    <s v="False"/>
    <s v="1-3 stories"/>
    <n v="1257.44055175781"/>
    <n v="1257.44055175781"/>
  </r>
  <r>
    <n v="21346"/>
    <s v="wall_12"/>
    <n v="1"/>
    <x v="0"/>
    <s v="Double"/>
    <s v="&lt;1/2&quot;"/>
    <n v="80"/>
    <n v="766"/>
    <n v="0.55000001192092896"/>
    <s v="False"/>
    <s v="True"/>
    <s v="1-3 stories"/>
    <n v="754.46429443359398"/>
    <n v="754.46429443359398"/>
  </r>
  <r>
    <n v="21424"/>
    <s v="wall_4"/>
    <n v="1"/>
    <x v="1"/>
    <s v="Single"/>
    <m/>
    <n v="100"/>
    <n v="1220"/>
    <n v="0.94999998807907104"/>
    <s v="False"/>
    <s v="True"/>
    <s v="1-3 stories"/>
    <n v="397.08648681640602"/>
    <n v="397.08648681640602"/>
  </r>
  <r>
    <n v="21424"/>
    <s v="wall_5"/>
    <n v="2"/>
    <x v="1"/>
    <s v="Single"/>
    <m/>
    <n v="43"/>
    <n v="812"/>
    <n v="0.94999998807907104"/>
    <s v="False"/>
    <s v="True"/>
    <s v="1-3 stories"/>
    <n v="397.08648681640602"/>
    <n v="397.08648681640602"/>
  </r>
  <r>
    <n v="21424"/>
    <s v="wall_6"/>
    <n v="3"/>
    <x v="1"/>
    <s v="Single"/>
    <m/>
    <n v="100"/>
    <n v="96"/>
    <n v="1.1000000238418599"/>
    <s v="False"/>
    <s v="False"/>
    <s v="1-3 stories"/>
    <n v="397.08648681640602"/>
    <n v="397.08648681640602"/>
  </r>
  <r>
    <n v="21488"/>
    <s v="wall_3"/>
    <n v="1"/>
    <x v="0"/>
    <s v="Double"/>
    <s v="&gt;=1/2&quot;"/>
    <n v="100"/>
    <n v="656"/>
    <n v="0.44999998807907099"/>
    <s v="False"/>
    <s v="True"/>
    <s v="1-3 stories"/>
    <n v="943.08038330078102"/>
    <n v="943.08038330078102"/>
  </r>
  <r>
    <n v="21505"/>
    <s v="wall_3"/>
    <n v="1"/>
    <x v="1"/>
    <s v="Single"/>
    <m/>
    <n v="50"/>
    <n v="1400"/>
    <n v="1.1000000238418599"/>
    <s v="False"/>
    <s v="False"/>
    <s v="1-3 stories"/>
    <n v="628.72027587890602"/>
    <n v="628.72027587890602"/>
  </r>
  <r>
    <n v="21564"/>
    <s v="wall_4"/>
    <n v="1"/>
    <x v="1"/>
    <s v="Double"/>
    <s v="&lt;1/2&quot;"/>
    <n v="99"/>
    <n v="1973"/>
    <n v="0.75"/>
    <s v="False"/>
    <s v="True"/>
    <s v="1-3 stories"/>
    <n v="328.02795410156301"/>
    <n v="328.02795410156301"/>
  </r>
  <r>
    <n v="21564"/>
    <s v="wall_5"/>
    <n v="2"/>
    <x v="1"/>
    <s v="Single"/>
    <m/>
    <n v="100"/>
    <n v="64"/>
    <n v="1.1000000238418599"/>
    <s v="False"/>
    <s v="False"/>
    <s v="1-3 stories"/>
    <n v="328.02795410156301"/>
    <n v="328.02795410156301"/>
  </r>
  <r>
    <n v="21576"/>
    <s v="wall_3"/>
    <n v="1"/>
    <x v="1"/>
    <s v="Single"/>
    <m/>
    <n v="100"/>
    <n v="2688"/>
    <n v="1.1000000238418599"/>
    <s v="False"/>
    <s v="False"/>
    <s v="1-3 stories"/>
    <n v="314.36013793945301"/>
    <n v="314.36013793945301"/>
  </r>
  <r>
    <n v="21576"/>
    <s v="wall_4"/>
    <n v="2"/>
    <x v="2"/>
    <m/>
    <m/>
    <m/>
    <n v="180"/>
    <m/>
    <s v="False"/>
    <s v="False"/>
    <s v="1-3 stories"/>
    <n v="314.36013793945301"/>
    <n v="314.36013793945301"/>
  </r>
  <r>
    <n v="21627"/>
    <s v="wall_4"/>
    <n v="1"/>
    <x v="0"/>
    <s v="Double"/>
    <s v="&lt;1/2&quot;"/>
    <n v="50"/>
    <n v="1992"/>
    <n v="0.60000002384185802"/>
    <s v="False"/>
    <s v="False"/>
    <s v="1-3 stories"/>
    <n v="314.36013793945301"/>
    <n v="314.36013793945301"/>
  </r>
  <r>
    <n v="21642"/>
    <s v="wall_3"/>
    <n v="1"/>
    <x v="0"/>
    <s v="Double"/>
    <s v="&lt;1/2&quot;"/>
    <n v="22"/>
    <n v="724"/>
    <n v="0.55000001192092896"/>
    <s v="False"/>
    <s v="True"/>
    <s v="1-3 stories"/>
    <n v="943.08038330078102"/>
    <n v="943.08038330078102"/>
  </r>
  <r>
    <n v="21691"/>
    <s v="wall_4"/>
    <n v="1"/>
    <x v="0"/>
    <s v="Double"/>
    <s v="&gt;=1/2&quot;"/>
    <n v="75"/>
    <n v="200"/>
    <n v="0.44999998807907099"/>
    <s v="False"/>
    <s v="True"/>
    <s v="1-3 stories"/>
    <n v="943.08038330078102"/>
    <n v="943.08038330078102"/>
  </r>
  <r>
    <n v="21691"/>
    <s v="wall_5"/>
    <n v="2"/>
    <x v="0"/>
    <s v="Double"/>
    <s v="&lt;1/2&quot;"/>
    <n v="100"/>
    <n v="15"/>
    <n v="0.55000001192092896"/>
    <s v="False"/>
    <s v="True"/>
    <s v="1-3 stories"/>
    <n v="943.08038330078102"/>
    <n v="943.08038330078102"/>
  </r>
  <r>
    <n v="21757"/>
    <s v="wall_3"/>
    <n v="1"/>
    <x v="0"/>
    <s v="Double"/>
    <s v="&gt;=1/2&quot;"/>
    <n v="100"/>
    <n v="672"/>
    <n v="0.44999998807907099"/>
    <s v="False"/>
    <s v="True"/>
    <s v="1-3 stories"/>
    <n v="1257.44055175781"/>
    <n v="1257.44055175781"/>
  </r>
  <r>
    <n v="21839"/>
    <s v="wall_3"/>
    <n v="1"/>
    <x v="0"/>
    <s v="Double"/>
    <s v="&gt;=1/2&quot;"/>
    <n v="100"/>
    <n v="2424"/>
    <n v="0.44999998807907099"/>
    <s v="False"/>
    <s v="True"/>
    <s v="4-6 stories"/>
    <n v="314.36013793945301"/>
    <s v=""/>
  </r>
  <r>
    <n v="21844"/>
    <s v="wall_4"/>
    <n v="1"/>
    <x v="0"/>
    <s v="Double"/>
    <s v="&lt;1/2&quot;"/>
    <n v="100"/>
    <n v="885"/>
    <n v="0.55000001192092896"/>
    <s v="False"/>
    <s v="True"/>
    <s v="1-3 stories"/>
    <n v="628.72027587890602"/>
    <n v="628.72027587890602"/>
  </r>
  <r>
    <n v="21844"/>
    <s v="wall_5"/>
    <n v="2"/>
    <x v="0"/>
    <s v="Double"/>
    <s v="&lt;1/2&quot;"/>
    <n v="0"/>
    <n v="132"/>
    <n v="0.55000001192092896"/>
    <s v="False"/>
    <s v="True"/>
    <s v="1-3 stories"/>
    <n v="628.72027587890602"/>
    <n v="628.72027587890602"/>
  </r>
  <r>
    <n v="21910"/>
    <s v="wall_4"/>
    <n v="1"/>
    <x v="0"/>
    <s v="Double"/>
    <s v="&gt;=1/2&quot;"/>
    <n v="50"/>
    <n v="1008"/>
    <n v="0.44999998807907099"/>
    <s v="False"/>
    <s v="True"/>
    <s v="1-3 stories"/>
    <n v="184.01568603515599"/>
    <n v="184.01568603515599"/>
  </r>
  <r>
    <n v="21910"/>
    <s v="wall_5"/>
    <n v="2"/>
    <x v="0"/>
    <s v="Double"/>
    <s v="&gt;=1/2&quot;"/>
    <n v="50"/>
    <n v="1008"/>
    <n v="0.44999998807907099"/>
    <s v="False"/>
    <s v="True"/>
    <s v="1-3 stories"/>
    <n v="184.01568603515599"/>
    <n v="184.01568603515599"/>
  </r>
  <r>
    <n v="21952"/>
    <s v="wall_3"/>
    <n v="1"/>
    <x v="1"/>
    <s v="Single"/>
    <m/>
    <n v="100"/>
    <n v="1626"/>
    <n v="0.94999998807907104"/>
    <s v="False"/>
    <s v="True"/>
    <s v="1-3 stories"/>
    <n v="419.14685058593801"/>
    <n v="419.14685058593801"/>
  </r>
  <r>
    <n v="21985"/>
    <s v="wall_3"/>
    <n v="1"/>
    <x v="0"/>
    <s v="Double"/>
    <s v="&lt;1/2&quot;"/>
    <n v="0"/>
    <n v="33"/>
    <n v="0.55000001192092896"/>
    <s v="False"/>
    <s v="True"/>
    <s v="1-3 stories"/>
    <n v="754.46429443359398"/>
    <n v="754.46429443359398"/>
  </r>
  <r>
    <n v="21985"/>
    <s v="wall_4"/>
    <n v="2"/>
    <x v="0"/>
    <s v="Double"/>
    <s v="&lt;1/2&quot;"/>
    <n v="97"/>
    <n v="1032"/>
    <n v="0.55000001192092896"/>
    <s v="False"/>
    <s v="True"/>
    <s v="1-3 stories"/>
    <n v="754.46429443359398"/>
    <n v="754.46429443359398"/>
  </r>
  <r>
    <n v="21998"/>
    <s v="wall_6"/>
    <n v="1"/>
    <x v="0"/>
    <s v="Double"/>
    <s v="&lt;1/2&quot;"/>
    <n v="75"/>
    <n v="549"/>
    <n v="0.55000001192092896"/>
    <s v="False"/>
    <s v="True"/>
    <s v="1-3 stories"/>
    <n v="943.08038330078102"/>
    <n v="943.08038330078102"/>
  </r>
  <r>
    <n v="22058"/>
    <s v="wall_3"/>
    <n v="1"/>
    <x v="0"/>
    <s v="Double"/>
    <s v="&gt;=1/2&quot;"/>
    <n v="88"/>
    <n v="2143"/>
    <n v="0.55000001192092896"/>
    <s v="False"/>
    <s v="False"/>
    <s v="1-3 stories"/>
    <n v="251.48811340332"/>
    <n v="251.48811340332"/>
  </r>
  <r>
    <n v="22058"/>
    <s v="wall_4"/>
    <n v="2"/>
    <x v="0"/>
    <s v="Double"/>
    <s v="&gt;=1/2&quot;"/>
    <n v="100"/>
    <n v="640"/>
    <n v="0.55000001192092896"/>
    <s v="False"/>
    <s v="False"/>
    <s v="1-3 stories"/>
    <n v="251.48811340332"/>
    <n v="251.48811340332"/>
  </r>
  <r>
    <n v="22106"/>
    <s v="wall_3"/>
    <n v="1"/>
    <x v="0"/>
    <s v="Double"/>
    <s v="&gt;=1/2&quot;"/>
    <n v="100"/>
    <n v="1620"/>
    <n v="0.44999998807907099"/>
    <s v="False"/>
    <s v="True"/>
    <s v="1-3 stories"/>
    <n v="235.770095825195"/>
    <n v="235.770095825195"/>
  </r>
  <r>
    <n v="22262"/>
    <s v="wall_3"/>
    <n v="1"/>
    <x v="0"/>
    <s v="Double"/>
    <s v="&lt;1/2&quot;"/>
    <n v="9"/>
    <n v="720"/>
    <n v="0.60000002384185802"/>
    <s v="False"/>
    <s v="False"/>
    <s v="1-3 stories"/>
    <n v="943.08038330078102"/>
    <n v="943.08038330078102"/>
  </r>
  <r>
    <n v="22262"/>
    <s v="wall_4"/>
    <n v="2"/>
    <x v="1"/>
    <s v="Double"/>
    <s v="&gt;=1/2&quot;"/>
    <n v="40"/>
    <n v="288"/>
    <n v="0.80000001192092896"/>
    <s v="False"/>
    <s v="False"/>
    <s v="1-3 stories"/>
    <n v="943.08038330078102"/>
    <n v="943.08038330078102"/>
  </r>
  <r>
    <n v="22371"/>
    <s v="wall_3"/>
    <n v="1"/>
    <x v="0"/>
    <s v="Double"/>
    <s v="&lt;1/2&quot;"/>
    <n v="100"/>
    <n v="630"/>
    <n v="0.60000002384185802"/>
    <s v="False"/>
    <s v="False"/>
    <s v="1-3 stories"/>
    <n v="1257.44055175781"/>
    <n v="1257.44055175781"/>
  </r>
  <r>
    <n v="22450"/>
    <s v="wall_3"/>
    <n v="1"/>
    <x v="1"/>
    <s v="Double"/>
    <s v="&lt;1/2&quot;"/>
    <n v="100"/>
    <n v="1150"/>
    <n v="0.85000002384185802"/>
    <s v="False"/>
    <s v="False"/>
    <s v="1-3 stories"/>
    <n v="538.903076171875"/>
    <n v="538.903076171875"/>
  </r>
  <r>
    <n v="22536"/>
    <s v="wall_3"/>
    <n v="1"/>
    <x v="1"/>
    <s v="Single"/>
    <m/>
    <n v="99"/>
    <n v="3279"/>
    <n v="1.1000000238418599"/>
    <s v="False"/>
    <s v="False"/>
    <s v="1-3 stories"/>
    <n v="100.59523773193401"/>
    <n v="100.59523773193401"/>
  </r>
  <r>
    <n v="22536"/>
    <s v="wall_4"/>
    <n v="2"/>
    <x v="0"/>
    <s v="Double"/>
    <s v="&gt;=1/2&quot;"/>
    <n v="99"/>
    <n v="1232"/>
    <n v="0.55000001192092896"/>
    <s v="False"/>
    <s v="False"/>
    <s v="1-3 stories"/>
    <n v="100.59523773193401"/>
    <n v="100.59523773193401"/>
  </r>
  <r>
    <n v="22536"/>
    <s v="wall_5"/>
    <n v="3"/>
    <x v="1"/>
    <s v="Single"/>
    <m/>
    <n v="100"/>
    <n v="2100"/>
    <n v="1.1000000238418599"/>
    <s v="False"/>
    <s v="False"/>
    <s v="1-3 stories"/>
    <n v="100.59523773193401"/>
    <n v="100.59523773193401"/>
  </r>
  <r>
    <n v="22870"/>
    <s v="wall_3"/>
    <n v="1"/>
    <x v="0"/>
    <s v="Double"/>
    <s v="&gt;=1/2&quot;"/>
    <n v="100"/>
    <n v="1228"/>
    <n v="0.44999998807907099"/>
    <s v="False"/>
    <s v="True"/>
    <s v="1-3 stories"/>
    <n v="471.54019165039102"/>
    <n v="471.54019165039102"/>
  </r>
  <r>
    <n v="22870"/>
    <s v="wall_4"/>
    <n v="2"/>
    <x v="0"/>
    <s v="Double"/>
    <s v="&gt;=1/2&quot;"/>
    <n v="100"/>
    <n v="208"/>
    <n v="0.44999998807907099"/>
    <s v="False"/>
    <s v="True"/>
    <s v="1-3 stories"/>
    <n v="471.54019165039102"/>
    <n v="471.54019165039102"/>
  </r>
  <r>
    <n v="22870"/>
    <s v="wall_5"/>
    <n v="3"/>
    <x v="1"/>
    <s v="Single"/>
    <m/>
    <n v="0"/>
    <n v="60"/>
    <n v="1.1000000238418599"/>
    <s v="False"/>
    <s v="False"/>
    <s v="1-3 stories"/>
    <n v="471.54019165039102"/>
    <n v="471.54019165039102"/>
  </r>
  <r>
    <n v="22906"/>
    <s v="wall_3"/>
    <n v="1"/>
    <x v="0"/>
    <s v="Double"/>
    <s v="&gt;=1/2&quot;"/>
    <n v="100"/>
    <n v="1279"/>
    <n v="0.44999998807907099"/>
    <s v="False"/>
    <s v="True"/>
    <s v="1-3 stories"/>
    <n v="628.72027587890602"/>
    <n v="628.72027587890602"/>
  </r>
  <r>
    <n v="23106"/>
    <s v="wall_5"/>
    <n v="1"/>
    <x v="1"/>
    <s v="Double"/>
    <s v="&lt;1/2&quot;"/>
    <n v="10"/>
    <n v="12939"/>
    <n v="0.75"/>
    <s v="False"/>
    <s v="True"/>
    <s v="7+ stories"/>
    <n v="123.68268585205099"/>
    <s v=""/>
  </r>
  <r>
    <n v="23425"/>
    <s v="wall_3"/>
    <n v="1"/>
    <x v="1"/>
    <s v="Single"/>
    <m/>
    <n v="100"/>
    <n v="596"/>
    <n v="1.1000000238418599"/>
    <s v="False"/>
    <s v="False"/>
    <s v="1-3 stories"/>
    <n v="754.46429443359398"/>
    <n v="754.46429443359398"/>
  </r>
  <r>
    <n v="23531"/>
    <s v="wall_3"/>
    <n v="1"/>
    <x v="0"/>
    <s v="Double"/>
    <s v="&gt;=1/2&quot;"/>
    <n v="100"/>
    <n v="774"/>
    <n v="0.44999998807907099"/>
    <s v="False"/>
    <s v="True"/>
    <s v="1-3 stories"/>
    <n v="419.14685058593801"/>
    <n v="419.14685058593801"/>
  </r>
  <r>
    <n v="23531"/>
    <s v="wall_4"/>
    <n v="2"/>
    <x v="1"/>
    <s v="Double"/>
    <s v="&gt;=1/2&quot;"/>
    <n v="41"/>
    <n v="540"/>
    <n v="0.75"/>
    <s v="False"/>
    <s v="True"/>
    <s v="1-3 stories"/>
    <n v="419.14685058593801"/>
    <n v="419.14685058593801"/>
  </r>
  <r>
    <n v="23623"/>
    <s v="wall_3"/>
    <n v="1"/>
    <x v="1"/>
    <s v="Single"/>
    <m/>
    <n v="100"/>
    <n v="576"/>
    <n v="0.85000002384185802"/>
    <s v="True"/>
    <s v="False"/>
    <s v="1-3 stories"/>
    <n v="314.36013793945301"/>
    <n v="314.36013793945301"/>
  </r>
  <r>
    <n v="23623"/>
    <s v="wall_4"/>
    <n v="2"/>
    <x v="0"/>
    <s v="Double"/>
    <s v="&lt;1/2&quot;"/>
    <n v="43"/>
    <n v="432"/>
    <n v="0.55000001192092896"/>
    <s v="False"/>
    <s v="True"/>
    <s v="1-3 stories"/>
    <n v="314.36013793945301"/>
    <n v="314.36013793945301"/>
  </r>
  <r>
    <n v="23681"/>
    <s v="wall_3"/>
    <n v="1"/>
    <x v="0"/>
    <s v="Double"/>
    <s v="&gt;=1/2&quot;"/>
    <n v="100"/>
    <n v="1240"/>
    <n v="0.44999998807907099"/>
    <s v="False"/>
    <s v="True"/>
    <s v="1-3 stories"/>
    <n v="943.08038330078102"/>
    <n v="943.08038330078102"/>
  </r>
  <r>
    <n v="23681"/>
    <s v="wall_4"/>
    <n v="2"/>
    <x v="0"/>
    <s v="Double"/>
    <s v="&gt;=1/2&quot;"/>
    <n v="0"/>
    <n v="80"/>
    <n v="0.44999998807907099"/>
    <s v="False"/>
    <s v="True"/>
    <s v="1-3 stories"/>
    <n v="943.08038330078102"/>
    <n v="943.08038330078102"/>
  </r>
  <r>
    <n v="23685"/>
    <s v="wall_3"/>
    <n v="1"/>
    <x v="0"/>
    <s v="Double"/>
    <s v="&gt;=1/2&quot;"/>
    <n v="100"/>
    <n v="597"/>
    <n v="0.44999998807907099"/>
    <s v="False"/>
    <s v="True"/>
    <s v="1-3 stories"/>
    <n v="754.46429443359398"/>
    <n v="754.46429443359398"/>
  </r>
  <r>
    <n v="23685"/>
    <s v="wall_4"/>
    <n v="2"/>
    <x v="1"/>
    <s v="Double"/>
    <s v="&gt;=1/2&quot;"/>
    <n v="100"/>
    <n v="380"/>
    <n v="0.75"/>
    <s v="False"/>
    <s v="True"/>
    <s v="1-3 stories"/>
    <n v="754.46429443359398"/>
    <n v="754.46429443359398"/>
  </r>
  <r>
    <n v="23800"/>
    <s v="wall_6"/>
    <n v="1"/>
    <x v="0"/>
    <s v="Double"/>
    <s v="&gt;=1/2&quot;"/>
    <n v="50"/>
    <n v="1413"/>
    <n v="0.55000001192092896"/>
    <s v="False"/>
    <s v="False"/>
    <s v="1-3 stories"/>
    <n v="188.61607360839801"/>
    <n v="188.61607360839801"/>
  </r>
  <r>
    <n v="23899"/>
    <s v="wall_4"/>
    <n v="1"/>
    <x v="0"/>
    <s v="Double"/>
    <s v="&gt;=1/2&quot;"/>
    <n v="100"/>
    <n v="2745"/>
    <n v="0.44999998807907099"/>
    <s v="False"/>
    <s v="True"/>
    <s v="1-3 stories"/>
    <n v="167.65873718261699"/>
    <n v="167.65873718261699"/>
  </r>
  <r>
    <n v="23899"/>
    <s v="wall_5"/>
    <n v="2"/>
    <x v="0"/>
    <s v="Double"/>
    <s v="&gt;=1/2&quot;"/>
    <n v="0"/>
    <n v="280"/>
    <n v="0.44999998807907099"/>
    <s v="False"/>
    <s v="True"/>
    <s v="1-3 stories"/>
    <n v="167.65873718261699"/>
    <n v="167.65873718261699"/>
  </r>
  <r>
    <n v="23996"/>
    <s v="wall_3"/>
    <n v="1"/>
    <x v="1"/>
    <s v="Double"/>
    <s v="&lt;1/2&quot;"/>
    <n v="84"/>
    <n v="9808"/>
    <n v="0.75"/>
    <s v="False"/>
    <s v="True"/>
    <s v="7+ stories"/>
    <n v="89.817184448242202"/>
    <s v=""/>
  </r>
  <r>
    <n v="23996"/>
    <s v="wall_4"/>
    <n v="2"/>
    <x v="2"/>
    <m/>
    <m/>
    <n v="100"/>
    <n v="105"/>
    <m/>
    <s v="False"/>
    <m/>
    <s v="7+ stories"/>
    <n v="89.817184448242202"/>
    <s v=""/>
  </r>
  <r>
    <n v="24009"/>
    <s v="wall_3"/>
    <n v="1"/>
    <x v="0"/>
    <s v="Double"/>
    <s v="&lt;1/2&quot;"/>
    <n v="100"/>
    <n v="752"/>
    <n v="0.55000001192092896"/>
    <s v="False"/>
    <s v="True"/>
    <s v="1-3 stories"/>
    <n v="943.08038330078102"/>
    <n v="943.08038330078102"/>
  </r>
  <r>
    <n v="24123"/>
    <s v="wall_5"/>
    <n v="1"/>
    <x v="0"/>
    <s v="Single"/>
    <m/>
    <n v="100"/>
    <n v="286"/>
    <n v="0.94999998807907104"/>
    <s v="False"/>
    <s v="False"/>
    <s v="1-3 stories"/>
    <n v="1257.44055175781"/>
    <n v="1257.44055175781"/>
  </r>
  <r>
    <n v="24123"/>
    <s v="wall_6"/>
    <n v="2"/>
    <x v="0"/>
    <s v="Single"/>
    <m/>
    <n v="0"/>
    <n v="62"/>
    <n v="0.75"/>
    <s v="True"/>
    <s v="False"/>
    <s v="1-3 stories"/>
    <n v="1257.44055175781"/>
    <n v="1257.44055175781"/>
  </r>
  <r>
    <n v="24123"/>
    <s v="wall_7"/>
    <n v="3"/>
    <x v="0"/>
    <s v="Double"/>
    <s v="&gt;=1/2&quot;"/>
    <n v="100"/>
    <n v="10"/>
    <n v="0.55000001192092896"/>
    <s v="False"/>
    <s v="False"/>
    <s v="1-3 stories"/>
    <n v="1257.44055175781"/>
    <n v="1257.44055175781"/>
  </r>
  <r>
    <n v="24139"/>
    <s v="wall_3"/>
    <n v="1"/>
    <x v="1"/>
    <s v="Double"/>
    <s v="&gt;=1/2&quot;"/>
    <n v="100"/>
    <n v="1152"/>
    <n v="0.75"/>
    <s v="False"/>
    <s v="True"/>
    <s v="1-3 stories"/>
    <n v="471.54019165039102"/>
    <n v="471.54019165039102"/>
  </r>
  <r>
    <n v="24637"/>
    <s v="wall_3"/>
    <n v="1"/>
    <x v="1"/>
    <s v="Double"/>
    <s v="&lt;1/2&quot;"/>
    <n v="100"/>
    <n v="3313"/>
    <n v="0.85000002384185802"/>
    <s v="False"/>
    <s v="False"/>
    <s v="1-3 stories"/>
    <n v="209.57342529296901"/>
    <n v="209.57342529296901"/>
  </r>
  <r>
    <n v="24802"/>
    <s v="wall_3"/>
    <n v="1"/>
    <x v="0"/>
    <s v="Double"/>
    <s v="&lt;1/2&quot;"/>
    <n v="100"/>
    <n v="2300"/>
    <n v="0.55000001192092896"/>
    <s v="False"/>
    <s v="True"/>
    <s v="1-3 stories"/>
    <n v="314.36013793945301"/>
    <n v="314.36013793945301"/>
  </r>
  <r>
    <n v="29940"/>
    <s v="wall_3"/>
    <n v="1"/>
    <x v="0"/>
    <s v="Double"/>
    <s v="&gt;=1/2&quot;"/>
    <n v="52"/>
    <n v="7854"/>
    <n v="0.44999998807907099"/>
    <s v="False"/>
    <s v="True"/>
    <s v="4-6 stories"/>
    <n v="21.904685974121101"/>
    <s v=""/>
  </r>
  <r>
    <n v="60022"/>
    <s v="wall_3"/>
    <n v="1"/>
    <x v="0"/>
    <s v="Double"/>
    <s v="&gt;=1/2&quot;"/>
    <n v="100"/>
    <n v="636"/>
    <n v="0.44999998807907099"/>
    <s v="False"/>
    <s v="True"/>
    <s v="1-3 stories"/>
    <n v="600.53796386718795"/>
    <n v="600.53796386718795"/>
  </r>
  <r>
    <n v="60051"/>
    <s v="wall_3"/>
    <n v="1"/>
    <x v="0"/>
    <s v="Double"/>
    <s v="&gt;=1/2&quot;"/>
    <n v="86"/>
    <n v="647"/>
    <n v="0.44999998807907099"/>
    <s v="False"/>
    <s v="True"/>
    <s v="1-3 stories"/>
    <n v="960.86071777343795"/>
    <n v="960.86071777343795"/>
  </r>
  <r>
    <n v="60051"/>
    <s v="wall_4"/>
    <n v="2"/>
    <x v="1"/>
    <s v="Double"/>
    <s v="&gt;=1/2&quot;"/>
    <n v="100"/>
    <n v="255"/>
    <n v="0.75"/>
    <s v="False"/>
    <s v="True"/>
    <s v="1-3 stories"/>
    <n v="960.86071777343795"/>
    <n v="960.86071777343795"/>
  </r>
  <r>
    <n v="60071"/>
    <s v="wall_5"/>
    <n v="1"/>
    <x v="0"/>
    <s v="Double"/>
    <s v="&gt;=1/2&quot;"/>
    <n v="97"/>
    <n v="2802"/>
    <n v="0.55000001192092896"/>
    <s v="False"/>
    <s v="False"/>
    <s v="4-6 stories"/>
    <n v="184.78091430664099"/>
    <s v=""/>
  </r>
  <r>
    <n v="60071"/>
    <s v="wall_6"/>
    <n v="2"/>
    <x v="0"/>
    <s v="Double"/>
    <s v="&gt;=1/2&quot;"/>
    <n v="100"/>
    <n v="442"/>
    <n v="0.44999998807907099"/>
    <s v="False"/>
    <s v="True"/>
    <s v="4-6 stories"/>
    <n v="184.78091430664099"/>
    <s v=""/>
  </r>
  <r>
    <n v="60099"/>
    <s v="wall_3"/>
    <n v="1"/>
    <x v="1"/>
    <s v="Double"/>
    <s v="&lt;1/2&quot;"/>
    <n v="100"/>
    <n v="1036"/>
    <n v="0.85000002384185802"/>
    <s v="False"/>
    <s v="False"/>
    <s v="1-3 stories"/>
    <n v="300.26898193359398"/>
    <n v="300.26898193359398"/>
  </r>
  <r>
    <n v="71001"/>
    <s v="wall_3"/>
    <n v="1"/>
    <x v="0"/>
    <s v="Double"/>
    <s v="&lt;1/2&quot;"/>
    <n v="100"/>
    <n v="540"/>
    <n v="0.55000001192092896"/>
    <s v="False"/>
    <s v="True"/>
    <s v="1-3 stories"/>
    <n v="136.90428161621099"/>
    <n v="136.90428161621099"/>
  </r>
  <r>
    <n v="71001"/>
    <s v="wall_4"/>
    <n v="2"/>
    <x v="1"/>
    <s v="Single"/>
    <m/>
    <n v="0"/>
    <n v="9"/>
    <n v="1.1000000238418599"/>
    <s v="False"/>
    <s v="False"/>
    <s v="1-3 stories"/>
    <n v="136.90428161621099"/>
    <n v="136.90428161621099"/>
  </r>
  <r>
    <n v="71002"/>
    <s v="wall_3"/>
    <n v="1"/>
    <x v="0"/>
    <s v="Double"/>
    <s v="&gt;=1/2&quot;"/>
    <n v="100"/>
    <n v="1366"/>
    <n v="0.44999998807907099"/>
    <s v="False"/>
    <s v="True"/>
    <s v="4-6 stories"/>
    <n v="136.90428161621099"/>
    <s v=""/>
  </r>
  <r>
    <n v="71002"/>
    <s v="wall_4"/>
    <n v="2"/>
    <x v="0"/>
    <s v="Double"/>
    <s v="&lt;1/2&quot;"/>
    <n v="100"/>
    <n v="14"/>
    <n v="0.55000001192092896"/>
    <s v="False"/>
    <s v="True"/>
    <s v="4-6 stories"/>
    <n v="136.90428161621099"/>
    <s v=""/>
  </r>
  <r>
    <n v="71002"/>
    <s v="wall_5"/>
    <n v="3"/>
    <x v="0"/>
    <s v="Double"/>
    <s v="&gt;=1/2&quot;"/>
    <n v="0"/>
    <n v="13"/>
    <n v="0.55000001192092896"/>
    <s v="False"/>
    <s v="False"/>
    <s v="4-6 stories"/>
    <n v="136.90428161621099"/>
    <s v=""/>
  </r>
  <r>
    <n v="71003"/>
    <s v="wall_3"/>
    <n v="1"/>
    <x v="1"/>
    <s v="Double"/>
    <s v="&gt;=1/2&quot;"/>
    <n v="100"/>
    <n v="413"/>
    <n v="0.80000001192092896"/>
    <s v="False"/>
    <s v="False"/>
    <s v="1-3 stories"/>
    <n v="182.53904724121099"/>
    <n v="182.53904724121099"/>
  </r>
  <r>
    <n v="71003"/>
    <s v="wall_4"/>
    <n v="2"/>
    <x v="0"/>
    <s v="Double"/>
    <s v="&gt;=1/2&quot;"/>
    <n v="10"/>
    <n v="24"/>
    <n v="0.44999998807907099"/>
    <s v="False"/>
    <s v="True"/>
    <s v="1-3 stories"/>
    <n v="182.53904724121099"/>
    <n v="182.53904724121099"/>
  </r>
  <r>
    <n v="71004"/>
    <s v="wall_3"/>
    <n v="1"/>
    <x v="1"/>
    <s v="Double"/>
    <s v="&lt;1/2&quot;"/>
    <n v="98"/>
    <n v="790"/>
    <n v="0.85000002384185802"/>
    <s v="False"/>
    <s v="False"/>
    <s v="1-3 stories"/>
    <n v="136.90428161621099"/>
    <n v="136.90428161621099"/>
  </r>
  <r>
    <n v="71005"/>
    <s v="wall_4"/>
    <n v="1"/>
    <x v="1"/>
    <s v="Single"/>
    <m/>
    <n v="100"/>
    <n v="1026"/>
    <n v="1.1000000238418599"/>
    <s v="False"/>
    <s v="False"/>
    <s v="1-3 stories"/>
    <n v="121.69268798828099"/>
    <n v="121.69268798828099"/>
  </r>
  <r>
    <n v="71005"/>
    <s v="wall_5"/>
    <n v="2"/>
    <x v="0"/>
    <s v="Double"/>
    <s v="&gt;=1/2&quot;"/>
    <n v="100"/>
    <n v="51"/>
    <n v="0.44999998807907099"/>
    <s v="False"/>
    <s v="True"/>
    <s v="1-3 stories"/>
    <n v="121.69268798828099"/>
    <n v="121.69268798828099"/>
  </r>
  <r>
    <n v="71006"/>
    <s v="wall_4"/>
    <n v="1"/>
    <x v="0"/>
    <s v="Double"/>
    <s v="&gt;=1/2&quot;"/>
    <n v="100"/>
    <n v="361"/>
    <n v="0.44999998807907099"/>
    <s v="False"/>
    <s v="True"/>
    <s v="1-3 stories"/>
    <n v="219.04685974121099"/>
    <n v="219.04685974121099"/>
  </r>
  <r>
    <n v="71007"/>
    <s v="wall_3"/>
    <n v="1"/>
    <x v="1"/>
    <s v="Single"/>
    <s v="&gt;=1/2&quot;"/>
    <n v="97"/>
    <n v="794"/>
    <n v="1.1000000238418599"/>
    <s v="False"/>
    <s v="False"/>
    <s v="1-3 stories"/>
    <n v="219.04685974121099"/>
    <n v="219.04685974121099"/>
  </r>
  <r>
    <n v="71007"/>
    <s v="wall_4"/>
    <n v="2"/>
    <x v="0"/>
    <s v="Single"/>
    <m/>
    <n v="100"/>
    <n v="20"/>
    <n v="0.94999998807907104"/>
    <s v="False"/>
    <s v="False"/>
    <s v="1-3 stories"/>
    <n v="219.04685974121099"/>
    <n v="219.04685974121099"/>
  </r>
  <r>
    <n v="71008"/>
    <s v="wall_5"/>
    <n v="1"/>
    <x v="0"/>
    <s v="Double"/>
    <s v="&gt;=1/2&quot;"/>
    <n v="100"/>
    <n v="767"/>
    <n v="0.44999998807907099"/>
    <s v="False"/>
    <s v="True"/>
    <s v="1-3 stories"/>
    <n v="182.53904724121099"/>
    <n v="182.53904724121099"/>
  </r>
  <r>
    <n v="71009"/>
    <s v="wall_4"/>
    <n v="1"/>
    <x v="1"/>
    <s v="Double"/>
    <s v="&gt;=1/2&quot;"/>
    <n v="100"/>
    <n v="484"/>
    <n v="0.80000001192092896"/>
    <s v="False"/>
    <s v="False"/>
    <s v="1-3 stories"/>
    <n v="136.90428161621099"/>
    <n v="136.90428161621099"/>
  </r>
  <r>
    <n v="71009"/>
    <s v="wall_5"/>
    <n v="2"/>
    <x v="1"/>
    <s v="Single"/>
    <m/>
    <n v="0"/>
    <n v="9"/>
    <n v="1.1000000238418599"/>
    <s v="False"/>
    <s v="False"/>
    <s v="1-3 stories"/>
    <n v="136.90428161621099"/>
    <n v="136.90428161621099"/>
  </r>
  <r>
    <n v="71010"/>
    <s v="wall_4"/>
    <n v="1"/>
    <x v="1"/>
    <s v="Double"/>
    <s v="&gt;=1/2&quot;"/>
    <n v="100"/>
    <n v="813"/>
    <n v="0.80000001192092896"/>
    <s v="False"/>
    <s v="False"/>
    <s v="1-3 stories"/>
    <n v="182.53904724121099"/>
    <n v="182.53904724121099"/>
  </r>
  <r>
    <n v="71010"/>
    <s v="wall_5"/>
    <n v="2"/>
    <x v="0"/>
    <s v="Double"/>
    <s v="&lt;1/2&quot;"/>
    <n v="100"/>
    <n v="20"/>
    <n v="0.60000002384185802"/>
    <s v="False"/>
    <s v="False"/>
    <s v="1-3 stories"/>
    <n v="182.53904724121099"/>
    <n v="182.53904724121099"/>
  </r>
  <r>
    <n v="71011"/>
    <s v="wall_5"/>
    <n v="1"/>
    <x v="1"/>
    <s v="Double"/>
    <s v="&lt;1/2&quot;"/>
    <n v="90"/>
    <n v="674"/>
    <n v="0.75"/>
    <s v="False"/>
    <s v="True"/>
    <s v="1-3 stories"/>
    <n v="136.90428161621099"/>
    <n v="136.90428161621099"/>
  </r>
  <r>
    <n v="71012"/>
    <s v="wall_4"/>
    <n v="1"/>
    <x v="1"/>
    <s v="Double"/>
    <s v="&lt;1/2&quot;"/>
    <n v="90"/>
    <n v="497"/>
    <n v="0.85000002384185802"/>
    <s v="False"/>
    <s v="False"/>
    <s v="1-3 stories"/>
    <n v="182.53904724121099"/>
    <n v="182.53904724121099"/>
  </r>
  <r>
    <n v="71013"/>
    <s v="wall_4"/>
    <n v="1"/>
    <x v="0"/>
    <s v="Double"/>
    <s v="&gt;=1/2&quot;"/>
    <n v="94"/>
    <n v="834"/>
    <n v="0.55000001192092896"/>
    <s v="False"/>
    <s v="False"/>
    <s v="1-3 stories"/>
    <n v="136.90428161621099"/>
    <n v="136.90428161621099"/>
  </r>
  <r>
    <n v="71013"/>
    <s v="wall_5"/>
    <n v="2"/>
    <x v="1"/>
    <s v="Single"/>
    <s v="&lt;1/2&quot;"/>
    <n v="100"/>
    <n v="24"/>
    <n v="1.1000000238418599"/>
    <s v="False"/>
    <s v="False"/>
    <s v="1-3 stories"/>
    <n v="136.90428161621099"/>
    <n v="136.90428161621099"/>
  </r>
  <r>
    <n v="71014"/>
    <s v="wall_3"/>
    <n v="1"/>
    <x v="0"/>
    <s v="Double"/>
    <s v="&gt;=1/2&quot;"/>
    <n v="100"/>
    <n v="729"/>
    <n v="0.44999998807907099"/>
    <s v="False"/>
    <s v="True"/>
    <s v="1-3 stories"/>
    <n v="136.90428161621099"/>
    <n v="136.90428161621099"/>
  </r>
  <r>
    <n v="72001"/>
    <s v="wall_3"/>
    <n v="1"/>
    <x v="0"/>
    <s v="Double"/>
    <s v="&gt;=1/2&quot;"/>
    <n v="100"/>
    <n v="1490"/>
    <n v="0.44999998807907099"/>
    <s v="False"/>
    <s v="True"/>
    <s v="1-3 stories"/>
    <n v="78.231018066406307"/>
    <n v="78.231018066406307"/>
  </r>
  <r>
    <n v="72001"/>
    <s v="wall_4"/>
    <n v="2"/>
    <x v="0"/>
    <s v="Single"/>
    <m/>
    <n v="0"/>
    <n v="68"/>
    <n v="0.94999998807907104"/>
    <s v="False"/>
    <s v="False"/>
    <s v="1-3 stories"/>
    <n v="78.231018066406307"/>
    <n v="78.231018066406307"/>
  </r>
  <r>
    <n v="72002"/>
    <s v="wall_3"/>
    <n v="1"/>
    <x v="0"/>
    <s v="Double"/>
    <s v="&gt;=1/2&quot;"/>
    <n v="100"/>
    <n v="1576"/>
    <n v="0.44999998807907099"/>
    <s v="False"/>
    <s v="True"/>
    <s v="4-6 stories"/>
    <n v="99.566741943359403"/>
    <s v=""/>
  </r>
  <r>
    <n v="72002"/>
    <s v="wall_4"/>
    <n v="2"/>
    <x v="1"/>
    <s v="Double"/>
    <s v="&gt;=1/2&quot;"/>
    <n v="50"/>
    <n v="70"/>
    <n v="0.75"/>
    <s v="False"/>
    <s v="True"/>
    <s v="4-6 stories"/>
    <n v="99.566741943359403"/>
    <s v=""/>
  </r>
  <r>
    <n v="72002"/>
    <s v="wall_5"/>
    <n v="3"/>
    <x v="0"/>
    <s v="Double"/>
    <s v="&gt;=1/2&quot;"/>
    <n v="0"/>
    <n v="24"/>
    <n v="0.55000001192092896"/>
    <s v="False"/>
    <s v="False"/>
    <s v="4-6 stories"/>
    <n v="99.566741943359403"/>
    <s v=""/>
  </r>
  <r>
    <n v="72003"/>
    <s v="wall_4"/>
    <n v="1"/>
    <x v="1"/>
    <s v="Double"/>
    <s v="&lt;1/2&quot;"/>
    <n v="96"/>
    <n v="1363"/>
    <n v="0.75"/>
    <s v="False"/>
    <s v="True"/>
    <s v="4-6 stories"/>
    <n v="109.523429870605"/>
    <s v=""/>
  </r>
  <r>
    <n v="72004"/>
    <s v="wall_4"/>
    <n v="1"/>
    <x v="0"/>
    <s v="Double"/>
    <s v="&gt;=1/2&quot;"/>
    <n v="69"/>
    <n v="1520"/>
    <n v="0.55000001192092896"/>
    <s v="False"/>
    <s v="False"/>
    <s v="4-6 stories"/>
    <n v="84.248786926269503"/>
    <s v=""/>
  </r>
  <r>
    <n v="72004"/>
    <s v="wall_5"/>
    <n v="2"/>
    <x v="1"/>
    <s v="Single"/>
    <m/>
    <n v="100"/>
    <n v="26"/>
    <n v="1.1000000238418599"/>
    <s v="False"/>
    <s v="False"/>
    <s v="4-6 stories"/>
    <n v="84.248786926269503"/>
    <s v=""/>
  </r>
  <r>
    <n v="72005"/>
    <s v="wall_3"/>
    <n v="1"/>
    <x v="0"/>
    <s v="Double"/>
    <s v="&lt;1/2&quot;"/>
    <n v="100"/>
    <n v="1128"/>
    <n v="0.55000001192092896"/>
    <s v="False"/>
    <s v="True"/>
    <s v="1-3 stories"/>
    <n v="91.269523620605497"/>
    <n v="91.269523620605497"/>
  </r>
  <r>
    <n v="72006"/>
    <s v="wall_4"/>
    <n v="1"/>
    <x v="0"/>
    <s v="Double"/>
    <s v="&gt;=1/2&quot;"/>
    <n v="93"/>
    <n v="1106"/>
    <n v="0.44999998807907099"/>
    <s v="False"/>
    <s v="True"/>
    <s v="1-3 stories"/>
    <n v="91.269523620605497"/>
    <n v="91.269523620605497"/>
  </r>
  <r>
    <n v="72007"/>
    <s v="wall_3"/>
    <n v="1"/>
    <x v="0"/>
    <s v="Double"/>
    <s v="&gt;=1/2&quot;"/>
    <n v="100"/>
    <n v="1296"/>
    <n v="0.44999998807907099"/>
    <s v="False"/>
    <s v="True"/>
    <s v="1-3 stories"/>
    <n v="91.269523620605497"/>
    <n v="91.269523620605497"/>
  </r>
  <r>
    <n v="72008"/>
    <s v="wall_4"/>
    <n v="1"/>
    <x v="1"/>
    <s v="Double"/>
    <s v="&gt;=1/2&quot;"/>
    <n v="100"/>
    <n v="853"/>
    <n v="0.75"/>
    <s v="False"/>
    <s v="True"/>
    <s v="1-3 stories"/>
    <n v="99.566741943359403"/>
    <n v="99.566741943359403"/>
  </r>
  <r>
    <n v="72009"/>
    <s v="wall_6"/>
    <n v="1"/>
    <x v="0"/>
    <s v="Double"/>
    <s v="&gt;=1/2&quot;"/>
    <n v="100"/>
    <n v="1198"/>
    <n v="0.44999998807907099"/>
    <s v="False"/>
    <s v="True"/>
    <s v="1-3 stories"/>
    <n v="91.269523620605497"/>
    <n v="91.269523620605497"/>
  </r>
  <r>
    <n v="72009"/>
    <s v="wall_7"/>
    <n v="2"/>
    <x v="1"/>
    <s v="Single"/>
    <m/>
    <n v="17"/>
    <n v="167"/>
    <n v="1.1000000238418599"/>
    <s v="False"/>
    <s v="False"/>
    <s v="1-3 stories"/>
    <n v="91.269523620605497"/>
    <n v="91.269523620605497"/>
  </r>
  <r>
    <n v="72010"/>
    <s v="wall_4"/>
    <n v="1"/>
    <x v="1"/>
    <s v="Single"/>
    <m/>
    <n v="100"/>
    <n v="1272"/>
    <n v="1.1000000238418599"/>
    <s v="False"/>
    <s v="False"/>
    <s v="4-6 stories"/>
    <n v="91.269523620605497"/>
    <s v=""/>
  </r>
  <r>
    <n v="73001"/>
    <s v="wall_3"/>
    <n v="1"/>
    <x v="1"/>
    <s v="Single"/>
    <m/>
    <n v="100"/>
    <n v="1013"/>
    <n v="1.1000000238418599"/>
    <s v="False"/>
    <s v="False"/>
    <s v="4-6 stories"/>
    <n v="60.846343994140597"/>
    <s v=""/>
  </r>
  <r>
    <n v="73001"/>
    <s v="wall_4"/>
    <n v="2"/>
    <x v="0"/>
    <s v="Double"/>
    <s v="&gt;=1/2&quot;"/>
    <n v="100"/>
    <n v="856"/>
    <n v="0.44999998807907099"/>
    <s v="False"/>
    <s v="True"/>
    <s v="4-6 stories"/>
    <n v="60.846343994140597"/>
    <s v=""/>
  </r>
  <r>
    <n v="73002"/>
    <s v="wall_5"/>
    <n v="1"/>
    <x v="0"/>
    <s v="Double"/>
    <s v="&gt;=1/2&quot;"/>
    <n v="100"/>
    <n v="1528"/>
    <n v="0.44999998807907099"/>
    <s v="False"/>
    <s v="True"/>
    <s v="4-6 stories"/>
    <n v="49.783370971679702"/>
    <s v=""/>
  </r>
  <r>
    <n v="73002"/>
    <s v="wall_6"/>
    <n v="2"/>
    <x v="1"/>
    <s v="Single"/>
    <m/>
    <n v="11"/>
    <n v="161"/>
    <n v="1.1000000238418599"/>
    <s v="False"/>
    <s v="False"/>
    <s v="4-6 stories"/>
    <n v="49.783370971679702"/>
    <s v=""/>
  </r>
  <r>
    <n v="73002"/>
    <s v="wall_7"/>
    <n v="3"/>
    <x v="1"/>
    <s v="Double"/>
    <s v="&lt;1/2&quot;"/>
    <n v="100"/>
    <n v="60"/>
    <n v="0.75"/>
    <s v="False"/>
    <s v="True"/>
    <s v="4-6 stories"/>
    <n v="49.783370971679702"/>
    <s v=""/>
  </r>
  <r>
    <n v="73003"/>
    <s v="wall_4"/>
    <n v="1"/>
    <x v="0"/>
    <s v="Double"/>
    <s v="&gt;=1/2&quot;"/>
    <n v="100"/>
    <n v="1678"/>
    <n v="0.55000001192092896"/>
    <s v="False"/>
    <s v="False"/>
    <s v="1-3 stories"/>
    <n v="60.846343994140597"/>
    <n v="60.846343994140597"/>
  </r>
  <r>
    <n v="73004"/>
    <s v="wall_3"/>
    <n v="1"/>
    <x v="0"/>
    <s v="Double"/>
    <s v="&gt;=1/2&quot;"/>
    <n v="100"/>
    <n v="1567"/>
    <n v="0.55000001192092896"/>
    <s v="False"/>
    <s v="False"/>
    <s v="1-3 stories"/>
    <n v="57.643905639648402"/>
    <n v="57.643905639648402"/>
  </r>
  <r>
    <n v="73005"/>
    <s v="wall_3"/>
    <n v="1"/>
    <x v="1"/>
    <s v="Double"/>
    <s v="&gt;=1/2&quot;"/>
    <n v="90"/>
    <n v="1645"/>
    <n v="0.80000001192092896"/>
    <s v="False"/>
    <s v="False"/>
    <s v="1-3 stories"/>
    <n v="54.761714935302699"/>
    <n v="54.761714935302699"/>
  </r>
  <r>
    <n v="73006"/>
    <s v="wall_3"/>
    <n v="1"/>
    <x v="0"/>
    <s v="Double"/>
    <s v="&gt;=1/2&quot;"/>
    <n v="96"/>
    <n v="906"/>
    <n v="0.55000001192092896"/>
    <s v="False"/>
    <s v="False"/>
    <s v="1-3 stories"/>
    <n v="73.015617370605497"/>
    <n v="73.015617370605497"/>
  </r>
  <r>
    <n v="73006"/>
    <s v="wall_4"/>
    <n v="2"/>
    <x v="1"/>
    <s v="Single"/>
    <m/>
    <n v="58"/>
    <n v="781"/>
    <n v="1.1000000238418599"/>
    <s v="False"/>
    <s v="False"/>
    <s v="1-3 stories"/>
    <n v="73.015617370605497"/>
    <n v="73.015617370605497"/>
  </r>
  <r>
    <n v="73007"/>
    <s v="wall_4"/>
    <n v="1"/>
    <x v="0"/>
    <s v="Double"/>
    <s v="&gt;=1/2&quot;"/>
    <n v="100"/>
    <n v="1720"/>
    <n v="0.55000001192092896"/>
    <s v="False"/>
    <s v="False"/>
    <s v="1-3 stories"/>
    <n v="64.425544738769503"/>
    <n v="64.425544738769503"/>
  </r>
  <r>
    <n v="73008"/>
    <s v="wall_4"/>
    <n v="1"/>
    <x v="1"/>
    <s v="Double"/>
    <s v="&lt;1/2&quot;"/>
    <n v="100"/>
    <n v="1250"/>
    <n v="0.85000002384185802"/>
    <s v="False"/>
    <s v="False"/>
    <s v="1-3 stories"/>
    <n v="52.154014587402301"/>
    <n v="52.154014587402301"/>
  </r>
  <r>
    <n v="73009"/>
    <s v="wall_3"/>
    <n v="1"/>
    <x v="0"/>
    <s v="Double"/>
    <s v="&lt;1/2&quot;"/>
    <n v="100"/>
    <n v="1802"/>
    <n v="0.55000001192092896"/>
    <s v="False"/>
    <s v="True"/>
    <s v="4-6 stories"/>
    <n v="60.846343994140597"/>
    <s v=""/>
  </r>
  <r>
    <n v="73010"/>
    <s v="wall_5"/>
    <n v="1"/>
    <x v="0"/>
    <s v="Double"/>
    <s v="&gt;=1/2&quot;"/>
    <n v="100"/>
    <n v="1934"/>
    <n v="0.55000001192092896"/>
    <s v="False"/>
    <s v="False"/>
    <s v="1-3 stories"/>
    <n v="52.154014587402301"/>
    <n v="52.154014587402301"/>
  </r>
  <r>
    <n v="73010"/>
    <s v="wall_6"/>
    <n v="2"/>
    <x v="1"/>
    <s v="Single"/>
    <m/>
    <n v="0"/>
    <n v="9"/>
    <n v="1.1000000238418599"/>
    <s v="False"/>
    <s v="False"/>
    <s v="1-3 stories"/>
    <n v="52.154014587402301"/>
    <n v="52.154014587402301"/>
  </r>
  <r>
    <n v="74001"/>
    <s v="wall_4"/>
    <n v="1"/>
    <x v="0"/>
    <s v="Double"/>
    <s v="&lt;1/2&quot;"/>
    <n v="99"/>
    <n v="5150"/>
    <n v="0.60000002384185802"/>
    <s v="False"/>
    <s v="False"/>
    <s v="4-6 stories"/>
    <n v="34.226070404052699"/>
    <s v=""/>
  </r>
  <r>
    <n v="74002"/>
    <s v="wall_5"/>
    <n v="1"/>
    <x v="0"/>
    <s v="Double"/>
    <s v="&lt;1/2&quot;"/>
    <n v="100"/>
    <n v="2280"/>
    <n v="0.55000001192092896"/>
    <s v="False"/>
    <s v="True"/>
    <s v="4-6 stories"/>
    <n v="43.809371948242202"/>
    <s v=""/>
  </r>
  <r>
    <n v="74002"/>
    <s v="wall_6"/>
    <n v="3"/>
    <x v="0"/>
    <s v="Double"/>
    <s v="&gt;=1/2&quot;"/>
    <n v="0"/>
    <n v="112"/>
    <n v="0.44999998807907099"/>
    <s v="False"/>
    <s v="True"/>
    <s v="4-6 stories"/>
    <n v="43.809371948242202"/>
    <s v=""/>
  </r>
  <r>
    <n v="74003"/>
    <s v="wall_3"/>
    <n v="1"/>
    <x v="1"/>
    <s v="Double"/>
    <s v="&lt;1/2&quot;"/>
    <n v="90"/>
    <n v="3161"/>
    <n v="0.75"/>
    <s v="False"/>
    <s v="True"/>
    <s v="1-3 stories"/>
    <n v="36.507808685302699"/>
    <n v="36.507808685302699"/>
  </r>
  <r>
    <n v="74003"/>
    <s v="wall_4"/>
    <n v="2"/>
    <x v="1"/>
    <s v="Double"/>
    <s v="&gt;=1/2&quot;"/>
    <n v="0"/>
    <n v="56"/>
    <n v="0.75"/>
    <s v="False"/>
    <s v="True"/>
    <s v="1-3 stories"/>
    <n v="36.507808685302699"/>
    <n v="36.507808685302699"/>
  </r>
  <r>
    <n v="74004"/>
    <s v="wall_3"/>
    <n v="1"/>
    <x v="1"/>
    <s v="Double"/>
    <s v="&lt;1/2&quot;"/>
    <n v="6"/>
    <n v="1726"/>
    <n v="0.75"/>
    <s v="False"/>
    <s v="True"/>
    <s v="1-3 stories"/>
    <n v="45.634761810302699"/>
    <n v="45.634761810302699"/>
  </r>
  <r>
    <n v="74005"/>
    <s v="wall_4"/>
    <n v="1"/>
    <x v="0"/>
    <s v="Double"/>
    <s v="&gt;=1/2&quot;"/>
    <n v="83"/>
    <n v="3399"/>
    <n v="0.55000001192092896"/>
    <s v="False"/>
    <s v="False"/>
    <s v="1-3 stories"/>
    <n v="40.564231872558601"/>
    <n v="40.564231872558601"/>
  </r>
  <r>
    <n v="74005"/>
    <s v="wall_5"/>
    <n v="2"/>
    <x v="1"/>
    <s v="Double"/>
    <s v="&gt;=1/2&quot;"/>
    <n v="0"/>
    <n v="5"/>
    <n v="0.80000001192092896"/>
    <s v="False"/>
    <s v="False"/>
    <s v="1-3 stories"/>
    <n v="40.564231872558601"/>
    <n v="40.564231872558601"/>
  </r>
  <r>
    <n v="74006"/>
    <s v="wall_3"/>
    <n v="1"/>
    <x v="0"/>
    <s v="Double"/>
    <s v="&gt;=1/2&quot;"/>
    <n v="100"/>
    <n v="1866"/>
    <n v="0.44999998807907099"/>
    <s v="False"/>
    <s v="True"/>
    <s v="1-3 stories"/>
    <n v="47.6188774108887"/>
    <n v="47.6188774108887"/>
  </r>
  <r>
    <n v="74007"/>
    <s v="wall_4"/>
    <n v="1"/>
    <x v="1"/>
    <s v="Double"/>
    <s v="&lt;1/2&quot;"/>
    <n v="100"/>
    <n v="3918"/>
    <n v="0.85000002384185802"/>
    <s v="False"/>
    <s v="False"/>
    <s v="4-6 stories"/>
    <n v="45.634761810302699"/>
    <s v=""/>
  </r>
  <r>
    <n v="74008"/>
    <s v="wall_4"/>
    <n v="1"/>
    <x v="0"/>
    <s v="Double"/>
    <s v="&gt;=1/2&quot;"/>
    <n v="95"/>
    <n v="1774"/>
    <n v="0.44999998807907099"/>
    <s v="False"/>
    <s v="True"/>
    <s v="4-6 stories"/>
    <n v="33.188915252685497"/>
    <s v=""/>
  </r>
  <r>
    <n v="74008"/>
    <s v="wall_5"/>
    <n v="2"/>
    <x v="1"/>
    <s v="Double"/>
    <s v="&lt;1/2&quot;"/>
    <n v="50"/>
    <n v="90"/>
    <n v="0.75"/>
    <s v="False"/>
    <s v="True"/>
    <s v="4-6 stories"/>
    <n v="33.188915252685497"/>
    <s v=""/>
  </r>
  <r>
    <n v="74009"/>
    <s v="wall_3"/>
    <n v="1"/>
    <x v="1"/>
    <s v="Double"/>
    <s v="&lt;1/2&quot;"/>
    <n v="85"/>
    <n v="4496"/>
    <n v="0.85000002384185802"/>
    <s v="False"/>
    <s v="False"/>
    <s v="4-6 stories"/>
    <n v="34.226070404052699"/>
    <s v=""/>
  </r>
  <r>
    <n v="74010"/>
    <s v="wall_4"/>
    <n v="1"/>
    <x v="1"/>
    <s v="Double"/>
    <s v="&gt;=1/2&quot;"/>
    <n v="100"/>
    <n v="3451"/>
    <n v="0.75"/>
    <s v="False"/>
    <s v="True"/>
    <s v="4-6 stories"/>
    <n v="31.292406082153299"/>
    <s v=""/>
  </r>
  <r>
    <n v="74011"/>
    <s v="wall_6"/>
    <n v="1"/>
    <x v="0"/>
    <s v="Double"/>
    <s v="&gt;=1/2&quot;"/>
    <n v="100"/>
    <n v="1424"/>
    <n v="0.55000001192092896"/>
    <s v="False"/>
    <s v="False"/>
    <s v="1-3 stories"/>
    <n v="31.292406082153299"/>
    <n v="31.292406082153299"/>
  </r>
  <r>
    <n v="74011"/>
    <s v="wall_7"/>
    <n v="2"/>
    <x v="1"/>
    <s v="Double"/>
    <s v="&gt;=1/2&quot;"/>
    <n v="48"/>
    <n v="138"/>
    <n v="0.80000001192092896"/>
    <s v="False"/>
    <s v="False"/>
    <s v="1-3 stories"/>
    <n v="31.292406082153299"/>
    <n v="31.292406082153299"/>
  </r>
  <r>
    <n v="74012"/>
    <s v="wall_4"/>
    <n v="1"/>
    <x v="1"/>
    <s v="Single"/>
    <m/>
    <n v="100"/>
    <n v="3939"/>
    <n v="1.1000000238418599"/>
    <s v="False"/>
    <s v="False"/>
    <s v="4-6 stories"/>
    <n v="36.507808685302699"/>
    <s v=""/>
  </r>
  <r>
    <n v="74012"/>
    <s v="wall_5"/>
    <n v="2"/>
    <x v="0"/>
    <s v="Double"/>
    <s v="&gt;=1/2&quot;"/>
    <n v="0"/>
    <n v="84"/>
    <n v="0.55000001192092896"/>
    <s v="False"/>
    <s v="False"/>
    <s v="4-6 stories"/>
    <n v="36.507808685302699"/>
    <s v=""/>
  </r>
  <r>
    <n v="74013"/>
    <s v="wall_5"/>
    <n v="1"/>
    <x v="0"/>
    <s v="Double"/>
    <s v="&gt;=1/2&quot;"/>
    <n v="88"/>
    <n v="4318"/>
    <n v="0.44999998807907099"/>
    <s v="False"/>
    <s v="True"/>
    <s v="4-6 stories"/>
    <n v="34.226070404052699"/>
    <s v=""/>
  </r>
  <r>
    <n v="74013"/>
    <s v="wall_6"/>
    <n v="2"/>
    <x v="1"/>
    <s v="Double"/>
    <s v="&gt;=1/2&quot;"/>
    <n v="50"/>
    <n v="785"/>
    <n v="0.75"/>
    <s v="False"/>
    <s v="True"/>
    <s v="4-6 stories"/>
    <n v="34.226070404052699"/>
    <s v=""/>
  </r>
  <r>
    <n v="74014"/>
    <s v="wall_5"/>
    <n v="1"/>
    <x v="1"/>
    <s v="Single"/>
    <m/>
    <n v="95"/>
    <n v="3513"/>
    <n v="1.1000000238418599"/>
    <s v="False"/>
    <s v="False"/>
    <s v="4-6 stories"/>
    <n v="42.124393463134801"/>
    <s v=""/>
  </r>
  <r>
    <n v="74015"/>
    <s v="wall_3"/>
    <n v="1"/>
    <x v="1"/>
    <s v="Double"/>
    <s v="&lt;1/2&quot;"/>
    <n v="100"/>
    <n v="1460"/>
    <n v="0.85000002384185802"/>
    <s v="False"/>
    <s v="False"/>
    <s v="1-3 stories"/>
    <n v="40.564231872558601"/>
    <n v="40.564231872558601"/>
  </r>
  <r>
    <n v="75001"/>
    <s v="wall_3"/>
    <n v="1"/>
    <x v="1"/>
    <s v="Double"/>
    <s v="&gt;=1/2&quot;"/>
    <n v="100"/>
    <n v="1414"/>
    <n v="0.80000001192092896"/>
    <s v="False"/>
    <s v="False"/>
    <s v="1-3 stories"/>
    <n v="28.821952819824201"/>
    <n v="28.821952819824201"/>
  </r>
  <r>
    <n v="75001"/>
    <s v="wall_4"/>
    <n v="2"/>
    <x v="1"/>
    <s v="Double"/>
    <s v="&gt;=1/2&quot;"/>
    <n v="13"/>
    <n v="332"/>
    <n v="0.75"/>
    <s v="False"/>
    <s v="True"/>
    <s v="1-3 stories"/>
    <n v="28.821952819824201"/>
    <n v="28.821952819824201"/>
  </r>
  <r>
    <n v="75002"/>
    <s v="wall_3"/>
    <n v="1"/>
    <x v="1"/>
    <s v="Double"/>
    <s v="&gt;=1/2&quot;"/>
    <n v="94"/>
    <n v="5930"/>
    <n v="0.75"/>
    <s v="False"/>
    <s v="True"/>
    <s v="7+ stories"/>
    <n v="20.2821159362793"/>
    <s v=""/>
  </r>
  <r>
    <n v="75002"/>
    <s v="wall_4"/>
    <n v="2"/>
    <x v="0"/>
    <s v="Double"/>
    <s v="&gt;=1/2&quot;"/>
    <n v="94"/>
    <n v="3591"/>
    <n v="0.44999998807907099"/>
    <s v="False"/>
    <s v="True"/>
    <s v="7+ stories"/>
    <n v="20.2821159362793"/>
    <s v=""/>
  </r>
  <r>
    <n v="75002"/>
    <s v="wall_5"/>
    <n v="3"/>
    <x v="1"/>
    <s v="Single"/>
    <m/>
    <n v="8"/>
    <n v="773"/>
    <n v="1.1000000238418599"/>
    <s v="False"/>
    <s v="False"/>
    <s v="7+ stories"/>
    <n v="20.2821159362793"/>
    <s v=""/>
  </r>
  <r>
    <n v="75003"/>
    <s v="wall_4"/>
    <n v="1"/>
    <x v="1"/>
    <s v="Double"/>
    <s v="&lt;1/2&quot;"/>
    <n v="100"/>
    <n v="3680"/>
    <n v="0.75"/>
    <s v="False"/>
    <s v="True"/>
    <s v="4-6 stories"/>
    <n v="18.883348464965799"/>
    <s v=""/>
  </r>
  <r>
    <n v="75003"/>
    <s v="wall_5"/>
    <n v="2"/>
    <x v="0"/>
    <s v="Double"/>
    <s v="&lt;1/2&quot;"/>
    <n v="100"/>
    <n v="112"/>
    <n v="0.55000001192092896"/>
    <s v="False"/>
    <s v="True"/>
    <s v="4-6 stories"/>
    <n v="18.883348464965799"/>
    <s v=""/>
  </r>
  <r>
    <n v="75004"/>
    <s v="wall_4"/>
    <n v="1"/>
    <x v="1"/>
    <s v="Double"/>
    <s v="&gt;=1/2&quot;"/>
    <n v="60"/>
    <n v="4240"/>
    <n v="0.75"/>
    <s v="False"/>
    <s v="True"/>
    <s v="1-3 stories"/>
    <n v="19.557754516601602"/>
    <n v="19.557754516601602"/>
  </r>
  <r>
    <n v="75005"/>
    <s v="wall_5"/>
    <n v="1"/>
    <x v="1"/>
    <s v="Double"/>
    <s v="&gt;=1/2&quot;"/>
    <n v="100"/>
    <n v="4553"/>
    <n v="0.80000001192092896"/>
    <s v="False"/>
    <s v="False"/>
    <s v="4-6 stories"/>
    <n v="22.817380905151399"/>
    <s v=""/>
  </r>
  <r>
    <n v="75005"/>
    <s v="wall_6"/>
    <n v="2"/>
    <x v="0"/>
    <s v="Double"/>
    <s v="&gt;=1/2&quot;"/>
    <n v="100"/>
    <n v="128"/>
    <n v="0.44999998807907099"/>
    <s v="False"/>
    <s v="True"/>
    <s v="4-6 stories"/>
    <n v="22.817380905151399"/>
    <s v=""/>
  </r>
  <r>
    <n v="75006"/>
    <s v="wall_4"/>
    <n v="1"/>
    <x v="1"/>
    <s v="Double"/>
    <s v="&gt;=1/2&quot;"/>
    <n v="100"/>
    <n v="2898"/>
    <n v="0.80000001192092896"/>
    <s v="False"/>
    <s v="False"/>
    <s v="4-6 stories"/>
    <n v="22.351718902587901"/>
    <s v=""/>
  </r>
  <r>
    <n v="75006"/>
    <s v="wall_5"/>
    <n v="2"/>
    <x v="0"/>
    <s v="Single"/>
    <m/>
    <n v="12"/>
    <n v="414"/>
    <n v="0.94999998807907104"/>
    <s v="False"/>
    <s v="False"/>
    <s v="4-6 stories"/>
    <n v="22.351718902587901"/>
    <s v=""/>
  </r>
  <r>
    <n v="75007"/>
    <s v="wall_5"/>
    <n v="1"/>
    <x v="0"/>
    <s v="Double"/>
    <s v="&gt;=1/2&quot;"/>
    <n v="90"/>
    <n v="4164"/>
    <n v="0.44999998807907099"/>
    <s v="False"/>
    <s v="True"/>
    <s v="4-6 stories"/>
    <n v="21.062196731567401"/>
    <s v=""/>
  </r>
  <r>
    <n v="75007"/>
    <s v="wall_6"/>
    <n v="2"/>
    <x v="1"/>
    <s v="Double"/>
    <s v="&lt;1/2&quot;"/>
    <n v="20"/>
    <n v="1156"/>
    <n v="0.75"/>
    <s v="False"/>
    <s v="True"/>
    <s v="4-6 stories"/>
    <n v="21.062196731567401"/>
    <s v=""/>
  </r>
  <r>
    <n v="75008"/>
    <s v="wall_5"/>
    <n v="1"/>
    <x v="0"/>
    <s v="Double"/>
    <s v="&gt;=1/2&quot;"/>
    <n v="81"/>
    <n v="3632"/>
    <n v="0.44999998807907099"/>
    <s v="False"/>
    <s v="True"/>
    <s v="1-3 stories"/>
    <n v="26.7130317687988"/>
    <n v="26.7130317687988"/>
  </r>
  <r>
    <n v="75009"/>
    <s v="wall_6"/>
    <n v="1"/>
    <x v="0"/>
    <s v="Double"/>
    <s v="&gt;=1/2&quot;"/>
    <n v="100"/>
    <n v="2000"/>
    <n v="0.44999998807907099"/>
    <s v="False"/>
    <s v="True"/>
    <s v="1-3 stories"/>
    <n v="28.082929611206101"/>
    <n v="28.082929611206101"/>
  </r>
  <r>
    <n v="75009"/>
    <s v="wall_7"/>
    <n v="2"/>
    <x v="0"/>
    <s v="Single"/>
    <m/>
    <n v="80"/>
    <n v="1333"/>
    <n v="0.94999998807907104"/>
    <s v="False"/>
    <s v="False"/>
    <s v="1-3 stories"/>
    <n v="28.082929611206101"/>
    <n v="28.082929611206101"/>
  </r>
  <r>
    <n v="75010"/>
    <s v="wall_4"/>
    <n v="1"/>
    <x v="1"/>
    <s v="Double"/>
    <s v="&lt;1/2&quot;"/>
    <n v="98"/>
    <n v="3483"/>
    <n v="0.85000002384185802"/>
    <s v="False"/>
    <s v="False"/>
    <s v="1-3 stories"/>
    <n v="30.423171997070298"/>
    <n v="30.423171997070298"/>
  </r>
  <r>
    <n v="75011"/>
    <s v="wall_4"/>
    <n v="1"/>
    <x v="0"/>
    <s v="Double"/>
    <s v="&gt;=1/2&quot;"/>
    <n v="95"/>
    <n v="4690"/>
    <n v="0.44999998807907099"/>
    <s v="False"/>
    <s v="True"/>
    <s v="4-6 stories"/>
    <n v="23.3028564453125"/>
    <s v=""/>
  </r>
  <r>
    <n v="75011"/>
    <s v="wall_5"/>
    <n v="2"/>
    <x v="1"/>
    <s v="Double"/>
    <s v="&gt;=1/2&quot;"/>
    <n v="100"/>
    <n v="40"/>
    <n v="0.80000001192092896"/>
    <s v="False"/>
    <s v="False"/>
    <s v="4-6 stories"/>
    <n v="23.3028564453125"/>
    <s v=""/>
  </r>
  <r>
    <n v="75012"/>
    <s v="wall_4"/>
    <n v="1"/>
    <x v="0"/>
    <s v="Double"/>
    <s v="&gt;=1/2&quot;"/>
    <n v="100"/>
    <n v="1455"/>
    <n v="0.55000001192092896"/>
    <s v="False"/>
    <s v="False"/>
    <s v="1-3 stories"/>
    <n v="24.338537216186499"/>
    <n v="24.338537216186499"/>
  </r>
  <r>
    <n v="75012"/>
    <s v="wall_5"/>
    <n v="2"/>
    <x v="0"/>
    <s v="Single"/>
    <m/>
    <n v="0"/>
    <n v="87"/>
    <n v="0.94999998807907104"/>
    <s v="False"/>
    <s v="False"/>
    <s v="1-3 stories"/>
    <n v="24.338537216186499"/>
    <n v="24.338537216186499"/>
  </r>
  <r>
    <n v="75013"/>
    <s v="wall_4"/>
    <n v="1"/>
    <x v="0"/>
    <s v="Double"/>
    <s v="&gt;=1/2&quot;"/>
    <n v="100"/>
    <n v="2221"/>
    <n v="0.44999998807907099"/>
    <s v="False"/>
    <s v="True"/>
    <s v="4-6 stories"/>
    <n v="19.214635848998999"/>
    <s v=""/>
  </r>
  <r>
    <n v="75013"/>
    <s v="wall_5"/>
    <n v="2"/>
    <x v="1"/>
    <s v="Double"/>
    <s v="&lt;1/2&quot;"/>
    <n v="61"/>
    <n v="1141"/>
    <n v="0.85000002384185802"/>
    <s v="False"/>
    <s v="False"/>
    <s v="4-6 stories"/>
    <n v="19.214635848998999"/>
    <s v=""/>
  </r>
  <r>
    <n v="76001"/>
    <s v="wall_3"/>
    <n v="1"/>
    <x v="0"/>
    <s v="Single"/>
    <m/>
    <n v="97"/>
    <n v="7066"/>
    <n v="0.94999998807907104"/>
    <s v="False"/>
    <s v="False"/>
    <s v="4-6 stories"/>
    <n v="14.800462722778301"/>
    <s v=""/>
  </r>
  <r>
    <n v="76002"/>
    <s v="wall_3"/>
    <n v="1"/>
    <x v="1"/>
    <s v="Single"/>
    <m/>
    <n v="32"/>
    <n v="19224"/>
    <n v="1.1000000238418599"/>
    <s v="False"/>
    <s v="False"/>
    <s v="4-6 stories"/>
    <n v="13.0385036468506"/>
    <s v=""/>
  </r>
  <r>
    <n v="76003"/>
    <s v="wall_5"/>
    <n v="1"/>
    <x v="1"/>
    <s v="Double"/>
    <s v="&gt;=1/2&quot;"/>
    <n v="99"/>
    <n v="8993"/>
    <n v="0.75"/>
    <s v="False"/>
    <s v="True"/>
    <s v="7+ stories"/>
    <n v="13.195593833923301"/>
    <s v=""/>
  </r>
  <r>
    <n v="76003"/>
    <s v="wall_6"/>
    <n v="2"/>
    <x v="0"/>
    <s v="Single"/>
    <m/>
    <n v="25"/>
    <n v="163"/>
    <n v="0.94999998807907104"/>
    <s v="False"/>
    <s v="False"/>
    <s v="7+ stories"/>
    <n v="13.195593833923301"/>
    <s v=""/>
  </r>
  <r>
    <n v="76004"/>
    <s v="wall_5"/>
    <n v="1"/>
    <x v="0"/>
    <s v="Double"/>
    <s v="&gt;=1/2&quot;"/>
    <n v="42"/>
    <n v="10443"/>
    <n v="0.44999998807907099"/>
    <s v="False"/>
    <s v="True"/>
    <s v="4-6 stories"/>
    <n v="11.6514282226563"/>
    <s v=""/>
  </r>
  <r>
    <n v="76004"/>
    <s v="wall_6"/>
    <n v="2"/>
    <x v="1"/>
    <s v="Double"/>
    <s v="&lt;1/2&quot;"/>
    <n v="2"/>
    <n v="132"/>
    <n v="0.75"/>
    <s v="False"/>
    <s v="True"/>
    <s v="4-6 stories"/>
    <n v="11.6514282226563"/>
    <s v=""/>
  </r>
  <r>
    <n v="76004"/>
    <s v="wall_7"/>
    <n v="3"/>
    <x v="2"/>
    <m/>
    <m/>
    <n v="0"/>
    <n v="33"/>
    <m/>
    <s v="False"/>
    <s v="False"/>
    <s v="4-6 stories"/>
    <n v="11.6514282226563"/>
    <s v=""/>
  </r>
  <r>
    <n v="76005"/>
    <s v="wall_3"/>
    <n v="1"/>
    <x v="0"/>
    <s v="Double"/>
    <s v="&gt;=1/2&quot;"/>
    <n v="93"/>
    <n v="5373"/>
    <n v="0.44999998807907099"/>
    <s v="False"/>
    <s v="True"/>
    <s v="4-6 stories"/>
    <n v="17.665067672729499"/>
    <s v=""/>
  </r>
  <r>
    <n v="76006"/>
    <s v="wall_4"/>
    <n v="1"/>
    <x v="0"/>
    <s v="Double"/>
    <s v="&gt;=1/2&quot;"/>
    <n v="100"/>
    <n v="4760"/>
    <n v="0.44999998807907099"/>
    <s v="False"/>
    <s v="True"/>
    <s v="7+ stories"/>
    <n v="13.3565158843994"/>
    <s v=""/>
  </r>
  <r>
    <n v="76006"/>
    <s v="wall_5"/>
    <n v="2"/>
    <x v="1"/>
    <s v="Double"/>
    <s v="&gt;=1/2&quot;"/>
    <n v="100"/>
    <n v="430"/>
    <n v="0.75"/>
    <s v="False"/>
    <s v="True"/>
    <s v="7+ stories"/>
    <n v="13.3565158843994"/>
    <s v=""/>
  </r>
  <r>
    <n v="76006"/>
    <s v="wall_6"/>
    <n v="3"/>
    <x v="1"/>
    <s v="Single"/>
    <m/>
    <n v="18"/>
    <n v="724"/>
    <n v="1.1000000238418599"/>
    <s v="False"/>
    <s v="False"/>
    <s v="7+ stories"/>
    <n v="13.3565158843994"/>
    <s v=""/>
  </r>
  <r>
    <n v="76007"/>
    <s v="wall_6"/>
    <n v="1"/>
    <x v="0"/>
    <s v="Double"/>
    <s v="&gt;=1/2&quot;"/>
    <n v="90"/>
    <n v="3350"/>
    <n v="0.44999998807907099"/>
    <s v="False"/>
    <s v="True"/>
    <s v="4-6 stories"/>
    <n v="13.195593833923301"/>
    <s v=""/>
  </r>
  <r>
    <n v="76007"/>
    <s v="wall_7"/>
    <n v="2"/>
    <x v="1"/>
    <s v="Double"/>
    <s v="&gt;=1/2&quot;"/>
    <n v="9"/>
    <n v="1100"/>
    <n v="0.75"/>
    <s v="False"/>
    <s v="True"/>
    <s v="4-6 stories"/>
    <n v="13.195593833923301"/>
    <s v=""/>
  </r>
  <r>
    <n v="76007"/>
    <s v="wall_8"/>
    <n v="3"/>
    <x v="0"/>
    <s v="Double"/>
    <s v="&gt;=1/2&quot;"/>
    <n v="0"/>
    <n v="50"/>
    <n v="0.55000001192092896"/>
    <s v="False"/>
    <s v="False"/>
    <s v="4-6 stories"/>
    <n v="13.195593833923301"/>
    <s v=""/>
  </r>
  <r>
    <n v="76008"/>
    <s v="wall_4"/>
    <n v="1"/>
    <x v="0"/>
    <s v="Double"/>
    <s v="&gt;=1/2&quot;"/>
    <n v="95"/>
    <n v="6700"/>
    <n v="0.44999998807907099"/>
    <s v="False"/>
    <s v="True"/>
    <s v="7+ stories"/>
    <n v="12.169268608093301"/>
    <s v=""/>
  </r>
  <r>
    <n v="76009"/>
    <s v="wall_3"/>
    <n v="1"/>
    <x v="1"/>
    <s v="Double"/>
    <s v="&gt;=1/2&quot;"/>
    <n v="100"/>
    <n v="3488"/>
    <n v="0.80000001192092896"/>
    <s v="False"/>
    <s v="False"/>
    <s v="1-3 stories"/>
    <n v="16.346778869628899"/>
    <n v="16.346778869628899"/>
  </r>
  <r>
    <n v="76010"/>
    <s v="wall_6"/>
    <n v="1"/>
    <x v="0"/>
    <s v="Double"/>
    <s v="&gt;=1/2&quot;"/>
    <n v="100"/>
    <n v="8839"/>
    <n v="0.44999998807907099"/>
    <s v="False"/>
    <s v="True"/>
    <s v="1-3 stories"/>
    <n v="16.106386184692401"/>
    <n v="16.106386184692401"/>
  </r>
  <r>
    <n v="76010"/>
    <s v="wall_7"/>
    <n v="3"/>
    <x v="1"/>
    <s v="Single"/>
    <m/>
    <n v="15"/>
    <n v="665"/>
    <n v="1.1000000238418599"/>
    <s v="False"/>
    <s v="False"/>
    <s v="1-3 stories"/>
    <n v="16.106386184692401"/>
    <n v="16.106386184692401"/>
  </r>
  <r>
    <n v="76011"/>
    <s v="wall_4"/>
    <n v="1"/>
    <x v="0"/>
    <s v="Double"/>
    <s v="&gt;=1/2&quot;"/>
    <n v="95"/>
    <n v="6491"/>
    <n v="0.44999998807907099"/>
    <s v="False"/>
    <s v="True"/>
    <s v="7+ stories"/>
    <n v="12.169268608093301"/>
    <s v=""/>
  </r>
  <r>
    <n v="76012"/>
    <s v="wall_4"/>
    <n v="1"/>
    <x v="0"/>
    <s v="Double"/>
    <s v="&gt;=1/2&quot;"/>
    <n v="96"/>
    <n v="11674"/>
    <n v="0.44999998807907099"/>
    <s v="False"/>
    <s v="True"/>
    <s v="4-6 stories"/>
    <n v="12.445842742919901"/>
    <s v=""/>
  </r>
  <r>
    <n v="76012"/>
    <s v="wall_5"/>
    <n v="2"/>
    <x v="1"/>
    <s v="Double"/>
    <s v="&gt;=1/2&quot;"/>
    <n v="62"/>
    <n v="65"/>
    <n v="0.75"/>
    <s v="False"/>
    <s v="True"/>
    <s v="4-6 stories"/>
    <n v="12.445842742919901"/>
    <s v=""/>
  </r>
  <r>
    <n v="76013"/>
    <s v="wall_5"/>
    <n v="1"/>
    <x v="0"/>
    <s v="Double"/>
    <s v="&gt;=1/2&quot;"/>
    <n v="85"/>
    <n v="7410"/>
    <n v="0.44999998807907099"/>
    <s v="False"/>
    <s v="True"/>
    <s v="4-6 stories"/>
    <n v="14.2238216400146"/>
    <s v=""/>
  </r>
  <r>
    <n v="77001"/>
    <s v="wall_4"/>
    <n v="1"/>
    <x v="0"/>
    <s v="Double"/>
    <s v="&gt;=1/2&quot;"/>
    <n v="99"/>
    <n v="6549"/>
    <n v="0.44999998807907099"/>
    <s v="False"/>
    <s v="True"/>
    <s v="4-6 stories"/>
    <n v="8.6923351287841797"/>
    <s v=""/>
  </r>
  <r>
    <n v="77001"/>
    <s v="wall_5"/>
    <n v="2"/>
    <x v="1"/>
    <s v="Double"/>
    <s v="&gt;=1/2&quot;"/>
    <n v="8"/>
    <n v="2083"/>
    <n v="0.75"/>
    <s v="False"/>
    <s v="True"/>
    <s v="4-6 stories"/>
    <n v="8.6923351287841797"/>
    <s v=""/>
  </r>
  <r>
    <n v="77001"/>
    <s v="wall_6"/>
    <n v="3"/>
    <x v="0"/>
    <s v="Double"/>
    <s v="&gt;=1/2&quot;"/>
    <n v="100"/>
    <n v="20"/>
    <n v="0.55000001192092896"/>
    <s v="False"/>
    <s v="False"/>
    <s v="4-6 stories"/>
    <n v="8.6923351287841797"/>
    <s v=""/>
  </r>
  <r>
    <n v="77002"/>
    <s v="wall_4"/>
    <n v="1"/>
    <x v="1"/>
    <s v="Single"/>
    <m/>
    <n v="99"/>
    <n v="21658"/>
    <n v="1.1000000238418599"/>
    <s v="False"/>
    <s v="False"/>
    <s v="7+ stories"/>
    <n v="8.0531930923461896"/>
    <s v=""/>
  </r>
  <r>
    <n v="77003"/>
    <s v="wall_5"/>
    <n v="1"/>
    <x v="0"/>
    <s v="Double"/>
    <s v="&gt;=1/2&quot;"/>
    <n v="100"/>
    <n v="14290"/>
    <n v="0.44999998807907099"/>
    <s v="False"/>
    <s v="True"/>
    <s v="4-6 stories"/>
    <n v="8.8325338363647496"/>
    <s v=""/>
  </r>
  <r>
    <n v="77003"/>
    <s v="wall_6"/>
    <n v="2"/>
    <x v="1"/>
    <s v="Double"/>
    <s v="&gt;=1/2&quot;"/>
    <n v="75"/>
    <n v="381"/>
    <n v="0.80000001192092896"/>
    <s v="False"/>
    <s v="False"/>
    <s v="4-6 stories"/>
    <n v="8.8325338363647496"/>
    <s v=""/>
  </r>
  <r>
    <n v="77003"/>
    <s v="wall_7"/>
    <n v="3"/>
    <x v="1"/>
    <s v="Single"/>
    <m/>
    <n v="0"/>
    <n v="672"/>
    <n v="1.1000000238418599"/>
    <s v="False"/>
    <s v="False"/>
    <s v="4-6 stories"/>
    <n v="8.8325338363647496"/>
    <s v=""/>
  </r>
  <r>
    <n v="77004"/>
    <s v="wall_5"/>
    <n v="1"/>
    <x v="0"/>
    <s v="Double"/>
    <s v="&gt;=1/2&quot;"/>
    <n v="78"/>
    <n v="10813"/>
    <n v="0.44999998807907099"/>
    <s v="False"/>
    <s v="True"/>
    <s v="1-3 stories"/>
    <n v="6.93186235427856"/>
    <n v="6.93186235427856"/>
  </r>
  <r>
    <n v="77005"/>
    <s v="wall_6"/>
    <n v="1"/>
    <x v="1"/>
    <s v="Double"/>
    <s v="&gt;=1/2&quot;"/>
    <n v="50"/>
    <n v="18753"/>
    <n v="0.75"/>
    <s v="False"/>
    <s v="True"/>
    <s v="7+ stories"/>
    <n v="6.4425539970397896"/>
    <s v=""/>
  </r>
  <r>
    <n v="77006"/>
    <s v="wall_3"/>
    <n v="1"/>
    <x v="0"/>
    <s v="Double"/>
    <s v="&gt;=1/2&quot;"/>
    <n v="77"/>
    <n v="17230"/>
    <n v="0.44999998807907099"/>
    <s v="False"/>
    <s v="True"/>
    <s v="7+ stories"/>
    <n v="6.84521436691284"/>
    <s v=""/>
  </r>
  <r>
    <n v="77006"/>
    <s v="wall_4"/>
    <n v="2"/>
    <x v="1"/>
    <s v="Double"/>
    <s v="&gt;=1/2&quot;"/>
    <n v="22"/>
    <n v="978"/>
    <n v="0.75"/>
    <s v="False"/>
    <s v="True"/>
    <s v="7+ stories"/>
    <n v="6.84521436691284"/>
    <s v=""/>
  </r>
  <r>
    <n v="77007"/>
    <s v="wall_5"/>
    <n v="1"/>
    <x v="0"/>
    <s v="Double"/>
    <s v="&gt;=1/2&quot;"/>
    <n v="84"/>
    <n v="11581"/>
    <n v="0.44999998807907099"/>
    <s v="False"/>
    <s v="True"/>
    <s v="4-6 stories"/>
    <n v="8.1733894348144496"/>
    <s v=""/>
  </r>
  <r>
    <n v="77008"/>
    <s v="wall_4"/>
    <n v="1"/>
    <x v="1"/>
    <s v="Single"/>
    <m/>
    <n v="100"/>
    <n v="6164"/>
    <n v="1.1000000238418599"/>
    <s v="False"/>
    <s v="False"/>
    <s v="7+ stories"/>
    <n v="9.7788772583007795"/>
    <s v=""/>
  </r>
  <r>
    <n v="77008"/>
    <s v="wall_5"/>
    <n v="2"/>
    <x v="1"/>
    <s v="Single"/>
    <m/>
    <n v="7"/>
    <n v="495"/>
    <n v="1.1000000238418599"/>
    <s v="False"/>
    <s v="False"/>
    <s v="7+ stories"/>
    <n v="9.7788772583007795"/>
    <s v=""/>
  </r>
  <r>
    <n v="77009"/>
    <s v="wall_5"/>
    <n v="1"/>
    <x v="0"/>
    <s v="Double"/>
    <s v="&gt;=1/2&quot;"/>
    <n v="94"/>
    <n v="16265"/>
    <n v="0.44999998807907099"/>
    <s v="False"/>
    <s v="True"/>
    <s v="4-6 stories"/>
    <n v="7.5016040802001998"/>
    <s v=""/>
  </r>
  <r>
    <n v="77009"/>
    <s v="wall_6"/>
    <n v="2"/>
    <x v="0"/>
    <s v="Double"/>
    <s v="&gt;=1/2&quot;"/>
    <n v="5"/>
    <n v="1487"/>
    <n v="0.44999998807907099"/>
    <s v="False"/>
    <s v="True"/>
    <s v="4-6 stories"/>
    <n v="7.5016040802001998"/>
    <s v=""/>
  </r>
  <r>
    <n v="77009"/>
    <s v="wall_7"/>
    <n v="3"/>
    <x v="1"/>
    <s v="Double"/>
    <s v="&gt;=1/2&quot;"/>
    <n v="100"/>
    <n v="84"/>
    <n v="0.75"/>
    <s v="False"/>
    <s v="True"/>
    <s v="4-6 stories"/>
    <n v="7.5016040802001998"/>
    <s v=""/>
  </r>
  <r>
    <n v="77010"/>
    <s v="wall_6"/>
    <n v="1"/>
    <x v="0"/>
    <s v="Double"/>
    <s v="&gt;=1/2&quot;"/>
    <n v="95"/>
    <n v="20335"/>
    <n v="0.44999998807907099"/>
    <s v="False"/>
    <s v="True"/>
    <s v="7+ stories"/>
    <n v="9.3609762191772496"/>
    <s v=""/>
  </r>
  <r>
    <n v="77010"/>
    <s v="wall_7"/>
    <n v="2"/>
    <x v="1"/>
    <s v="Double"/>
    <s v="&gt;=1/2&quot;"/>
    <n v="15"/>
    <n v="2432"/>
    <n v="0.75"/>
    <s v="False"/>
    <s v="True"/>
    <s v="7+ stories"/>
    <n v="9.3609762191772496"/>
    <s v=""/>
  </r>
  <r>
    <n v="77011"/>
    <s v="wall_5"/>
    <n v="1"/>
    <x v="0"/>
    <s v="Double"/>
    <s v="&gt;=1/2&quot;"/>
    <n v="100"/>
    <n v="7149"/>
    <n v="0.44999998807907099"/>
    <s v="False"/>
    <s v="True"/>
    <s v="7+ stories"/>
    <n v="8.8325338363647496"/>
    <s v=""/>
  </r>
  <r>
    <n v="78001"/>
    <s v="wall_3"/>
    <n v="1"/>
    <x v="1"/>
    <s v="Double"/>
    <s v="&gt;=1/2&quot;"/>
    <n v="9"/>
    <n v="115562"/>
    <n v="0.75"/>
    <s v="False"/>
    <s v="True"/>
    <s v="7+ stories"/>
    <n v="4.0715026855468803"/>
    <s v=""/>
  </r>
  <r>
    <n v="78001"/>
    <s v="wall_4"/>
    <n v="2"/>
    <x v="1"/>
    <s v="Double"/>
    <s v="&gt;=1/2&quot;"/>
    <n v="4"/>
    <n v="3266"/>
    <n v="0.75"/>
    <s v="False"/>
    <s v="True"/>
    <s v="7+ stories"/>
    <n v="4.0715026855468803"/>
    <s v=""/>
  </r>
  <r>
    <n v="78002"/>
    <s v="wall_5"/>
    <n v="1"/>
    <x v="0"/>
    <s v="Double"/>
    <s v="&gt;=1/2&quot;"/>
    <n v="90"/>
    <n v="41747"/>
    <n v="0.44999998807907099"/>
    <s v="False"/>
    <s v="True"/>
    <s v="7+ stories"/>
    <n v="4.95581102371216"/>
    <s v=""/>
  </r>
  <r>
    <n v="78002"/>
    <s v="wall_6"/>
    <n v="2"/>
    <x v="1"/>
    <s v="Double"/>
    <s v="&gt;=1/2&quot;"/>
    <n v="48"/>
    <n v="2378"/>
    <n v="0.75"/>
    <s v="False"/>
    <s v="True"/>
    <s v="7+ stories"/>
    <n v="4.95581102371216"/>
    <s v=""/>
  </r>
  <r>
    <n v="78003"/>
    <s v="wall_5"/>
    <n v="1"/>
    <x v="0"/>
    <s v="Double"/>
    <s v="&gt;=1/2&quot;"/>
    <n v="90"/>
    <n v="14106"/>
    <n v="0.44999998807907099"/>
    <s v="False"/>
    <s v="True"/>
    <s v="7+ stories"/>
    <n v="5.8568677902221697"/>
    <s v=""/>
  </r>
  <r>
    <n v="78004"/>
    <s v="wall_5"/>
    <n v="1"/>
    <x v="0"/>
    <s v="Double"/>
    <s v="&gt;=1/2&quot;"/>
    <n v="5"/>
    <n v="14126"/>
    <n v="0.44999998807907099"/>
    <s v="False"/>
    <s v="True"/>
    <s v="7+ stories"/>
    <n v="4.3634829521179199"/>
    <s v=""/>
  </r>
  <r>
    <n v="78005"/>
    <s v="wall_4"/>
    <n v="1"/>
    <x v="1"/>
    <s v="Double"/>
    <s v="&gt;=1/2&quot;"/>
    <n v="10"/>
    <n v="123090"/>
    <n v="0.75"/>
    <s v="False"/>
    <s v="True"/>
    <s v="7+ stories"/>
    <n v="3.0765006542205802"/>
    <s v=""/>
  </r>
  <r>
    <n v="78006"/>
    <s v="wall_4"/>
    <n v="1"/>
    <x v="0"/>
    <s v="Double"/>
    <s v="&gt;=1/2&quot;"/>
    <n v="93"/>
    <n v="31011"/>
    <n v="0.44999998807907099"/>
    <s v="False"/>
    <s v="True"/>
    <s v="7+ stories"/>
    <n v="3.1203253269195601"/>
    <s v=""/>
  </r>
  <r>
    <n v="78006"/>
    <s v="wall_5"/>
    <n v="2"/>
    <x v="1"/>
    <s v="Double"/>
    <s v="&lt;1/2&quot;"/>
    <n v="25"/>
    <n v="1356"/>
    <n v="0.75"/>
    <s v="False"/>
    <s v="True"/>
    <s v="7+ stories"/>
    <n v="3.1203253269195601"/>
    <s v=""/>
  </r>
  <r>
    <n v="78007"/>
    <s v="wall_4"/>
    <n v="1"/>
    <x v="0"/>
    <s v="Double"/>
    <s v="&gt;=1/2&quot;"/>
    <n v="88"/>
    <n v="14502"/>
    <n v="0.44999998807907099"/>
    <s v="False"/>
    <s v="True"/>
    <s v="4-6 stories"/>
    <n v="5.31667137145996"/>
    <s v=""/>
  </r>
  <r>
    <n v="78007"/>
    <s v="wall_5"/>
    <n v="2"/>
    <x v="1"/>
    <s v="Double"/>
    <s v="&gt;=1/2&quot;"/>
    <n v="20"/>
    <n v="1135"/>
    <n v="0.75"/>
    <s v="False"/>
    <s v="True"/>
    <s v="4-6 stories"/>
    <n v="5.31667137145996"/>
    <s v=""/>
  </r>
  <r>
    <n v="78008"/>
    <s v="wall_5"/>
    <n v="1"/>
    <x v="0"/>
    <s v="Double"/>
    <s v="&gt;=1/2&quot;"/>
    <n v="95"/>
    <n v="18682"/>
    <n v="0.44999998807907099"/>
    <s v="False"/>
    <s v="True"/>
    <s v="4-6 stories"/>
    <n v="4.1963000297546396"/>
    <s v=""/>
  </r>
  <r>
    <n v="78008"/>
    <s v="wall_6"/>
    <n v="2"/>
    <x v="1"/>
    <s v="Double"/>
    <s v="&gt;=1/2&quot;"/>
    <n v="18"/>
    <n v="3294"/>
    <n v="0.75"/>
    <s v="False"/>
    <s v="True"/>
    <s v="4-6 stories"/>
    <n v="4.1963000297546396"/>
    <s v=""/>
  </r>
  <r>
    <n v="78009"/>
    <s v="wall_5"/>
    <n v="1"/>
    <x v="1"/>
    <s v="Double"/>
    <s v="&gt;=1/2&quot;"/>
    <n v="80"/>
    <n v="18100"/>
    <n v="0.75"/>
    <s v="False"/>
    <s v="True"/>
    <s v="4-6 stories"/>
    <n v="4.6804881095886204"/>
    <s v=""/>
  </r>
  <r>
    <n v="78009"/>
    <s v="wall_6"/>
    <n v="2"/>
    <x v="1"/>
    <s v="Double"/>
    <s v="&gt;=1/2&quot;"/>
    <n v="30"/>
    <n v="8565"/>
    <n v="0.75"/>
    <s v="False"/>
    <s v="True"/>
    <s v="4-6 stories"/>
    <n v="4.6804881095886204"/>
    <s v=""/>
  </r>
  <r>
    <n v="78010"/>
    <s v="wall_3"/>
    <n v="1"/>
    <x v="0"/>
    <s v="Double"/>
    <s v="&gt;=1/2&quot;"/>
    <n v="100"/>
    <n v="12096"/>
    <n v="0.44999998807907099"/>
    <s v="False"/>
    <s v="True"/>
    <s v="7+ stories"/>
    <n v="5.5314860343933097"/>
    <s v=""/>
  </r>
  <r>
    <n v="78010"/>
    <s v="wall_4"/>
    <n v="2"/>
    <x v="1"/>
    <s v="Double"/>
    <s v="&gt;=1/2&quot;"/>
    <n v="12"/>
    <n v="849"/>
    <n v="0.80000001192092896"/>
    <s v="False"/>
    <s v="False"/>
    <s v="7+ stories"/>
    <n v="5.5314860343933097"/>
    <s v=""/>
  </r>
  <r>
    <n v="78011"/>
    <s v="wall_5"/>
    <n v="1"/>
    <x v="0"/>
    <s v="Single"/>
    <m/>
    <n v="88"/>
    <n v="10094"/>
    <n v="0.94999998807907104"/>
    <s v="False"/>
    <s v="False"/>
    <s v="7+ stories"/>
    <n v="4.6804881095886204"/>
    <s v=""/>
  </r>
  <r>
    <n v="78011"/>
    <s v="wall_6"/>
    <n v="2"/>
    <x v="1"/>
    <s v="Single"/>
    <m/>
    <n v="0"/>
    <n v="54"/>
    <n v="1.1000000238418599"/>
    <s v="False"/>
    <s v="False"/>
    <s v="7+ stories"/>
    <n v="4.6804881095886204"/>
    <s v=""/>
  </r>
  <r>
    <n v="78012"/>
    <s v="wall_5"/>
    <n v="1"/>
    <x v="0"/>
    <s v="Double"/>
    <s v="&gt;=1/2&quot;"/>
    <n v="30"/>
    <n v="13721"/>
    <n v="0.44999998807907099"/>
    <s v="False"/>
    <s v="True"/>
    <s v="7+ stories"/>
    <n v="5.2655491828918501"/>
    <s v=""/>
  </r>
  <r>
    <n v="80061"/>
    <s v="wall_3"/>
    <n v="1"/>
    <x v="0"/>
    <s v="Double"/>
    <s v="&gt;=1/2&quot;"/>
    <n v="100"/>
    <n v="2648"/>
    <n v="0.44999998807907099"/>
    <s v="False"/>
    <s v="True"/>
    <s v="1-3 stories"/>
    <n v="85.864128112792997"/>
    <n v="85.864128112792997"/>
  </r>
  <r>
    <n v="80073"/>
    <s v="wall_5"/>
    <n v="1"/>
    <x v="0"/>
    <s v="Double"/>
    <s v="&gt;=1/2&quot;"/>
    <n v="100"/>
    <n v="1708"/>
    <n v="0.44999998807907099"/>
    <s v="False"/>
    <s v="True"/>
    <s v="1-3 stories"/>
    <n v="128.79620361328099"/>
    <n v="128.79620361328099"/>
  </r>
  <r>
    <m/>
    <m/>
    <m/>
    <x v="2"/>
    <m/>
    <m/>
    <m/>
    <m/>
    <m/>
    <m/>
    <m/>
    <m/>
    <m/>
    <m/>
  </r>
</pivotCacheRecords>
</file>

<file path=xl/pivotCache/pivotCacheRecords3.xml><?xml version="1.0" encoding="utf-8"?>
<pivotCacheRecords xmlns="http://schemas.openxmlformats.org/spreadsheetml/2006/main" xmlns:r="http://schemas.openxmlformats.org/officeDocument/2006/relationships" count="373">
  <r>
    <n v="128"/>
    <s v="wall_4"/>
    <n v="1"/>
    <x v="0"/>
    <s v="Double"/>
    <s v="&gt;=1/2&quot;"/>
    <n v="18"/>
    <n v="1696"/>
    <x v="0"/>
    <s v="False"/>
    <s v="False"/>
    <s v="1-3 stories"/>
    <n v="443.80252075195301"/>
    <n v="443.80252075195301"/>
  </r>
  <r>
    <n v="10137"/>
    <s v="wall_3"/>
    <n v="1"/>
    <x v="1"/>
    <s v="Double"/>
    <s v="&lt;1/2&quot;"/>
    <n v="100"/>
    <n v="576"/>
    <x v="1"/>
    <s v="False"/>
    <s v="False"/>
    <s v="1-3 stories"/>
    <n v="300.26898193359398"/>
    <n v="300.26898193359398"/>
  </r>
  <r>
    <n v="10137"/>
    <s v="wall_4"/>
    <n v="2"/>
    <x v="1"/>
    <s v="Double"/>
    <s v="&lt;1/2&quot;"/>
    <n v="100"/>
    <n v="528"/>
    <x v="2"/>
    <s v="False"/>
    <s v="True"/>
    <s v="1-3 stories"/>
    <n v="300.26898193359398"/>
    <n v="300.26898193359398"/>
  </r>
  <r>
    <n v="10137"/>
    <s v="wall_5"/>
    <n v="3"/>
    <x v="0"/>
    <s v="Double"/>
    <s v="&lt;1/2&quot;"/>
    <n v="0"/>
    <n v="80"/>
    <x v="3"/>
    <s v="False"/>
    <s v="False"/>
    <s v="1-3 stories"/>
    <n v="300.26898193359398"/>
    <n v="300.26898193359398"/>
  </r>
  <r>
    <n v="10238"/>
    <s v="wall_3"/>
    <n v="1"/>
    <x v="0"/>
    <s v="Double"/>
    <s v="&lt;1/2&quot;"/>
    <n v="100"/>
    <n v="2996"/>
    <x v="3"/>
    <s v="False"/>
    <s v="False"/>
    <s v="1-3 stories"/>
    <n v="160.14344787597699"/>
    <n v="160.14344787597699"/>
  </r>
  <r>
    <n v="10260"/>
    <s v="wall_3"/>
    <n v="1"/>
    <x v="0"/>
    <s v="Double"/>
    <s v="&lt;1/2&quot;"/>
    <n v="100"/>
    <n v="917"/>
    <x v="3"/>
    <s v="False"/>
    <s v="False"/>
    <s v="1-3 stories"/>
    <n v="480.43035888671898"/>
    <n v="480.43035888671898"/>
  </r>
  <r>
    <n v="10323"/>
    <s v="wall_3"/>
    <n v="1"/>
    <x v="0"/>
    <s v="Double"/>
    <s v="&lt;1/2&quot;"/>
    <n v="100"/>
    <n v="627"/>
    <x v="0"/>
    <s v="False"/>
    <s v="True"/>
    <s v="1-3 stories"/>
    <n v="256.24374389648398"/>
    <n v="256.24374389648398"/>
  </r>
  <r>
    <n v="10323"/>
    <s v="wall_4"/>
    <n v="2"/>
    <x v="0"/>
    <s v="Double"/>
    <s v="&lt;1/2&quot;"/>
    <n v="8"/>
    <n v="53"/>
    <x v="0"/>
    <s v="False"/>
    <s v="True"/>
    <s v="1-3 stories"/>
    <n v="256.24374389648398"/>
    <n v="256.24374389648398"/>
  </r>
  <r>
    <n v="10400"/>
    <s v="wall_3"/>
    <n v="1"/>
    <x v="0"/>
    <s v="Double"/>
    <s v="&gt;=1/2&quot;"/>
    <n v="100"/>
    <n v="5666"/>
    <x v="4"/>
    <s v="False"/>
    <s v="True"/>
    <s v="1-3 stories"/>
    <n v="34.345653533935497"/>
    <n v="34.345653533935497"/>
  </r>
  <r>
    <n v="10477"/>
    <s v="wall_3"/>
    <n v="1"/>
    <x v="1"/>
    <s v="Double"/>
    <s v="&lt;1/2&quot;"/>
    <n v="96"/>
    <n v="3563"/>
    <x v="1"/>
    <s v="False"/>
    <s v="False"/>
    <s v="4-6 stories"/>
    <n v="30.423171997070298"/>
    <s v=""/>
  </r>
  <r>
    <n v="10480"/>
    <s v="wall_3"/>
    <n v="1"/>
    <x v="0"/>
    <s v="Double"/>
    <s v="&gt;=1/2&quot;"/>
    <n v="100"/>
    <n v="1140"/>
    <x v="4"/>
    <s v="False"/>
    <s v="True"/>
    <s v="1-3 stories"/>
    <n v="400.358642578125"/>
    <n v="400.358642578125"/>
  </r>
  <r>
    <n v="10495"/>
    <s v="wall_3"/>
    <n v="1"/>
    <x v="1"/>
    <s v="Single"/>
    <m/>
    <n v="100"/>
    <n v="865"/>
    <x v="5"/>
    <s v="False"/>
    <s v="False"/>
    <s v="1-3 stories"/>
    <n v="206.07391357421901"/>
    <n v="206.07391357421901"/>
  </r>
  <r>
    <n v="10495"/>
    <s v="wall_4"/>
    <n v="2"/>
    <x v="0"/>
    <s v="Double"/>
    <s v="&gt;=1/2&quot;"/>
    <n v="0"/>
    <n v="67"/>
    <x v="0"/>
    <s v="False"/>
    <s v="False"/>
    <s v="1-3 stories"/>
    <n v="206.07391357421901"/>
    <n v="206.07391357421901"/>
  </r>
  <r>
    <n v="10519"/>
    <s v="wall_5"/>
    <n v="1"/>
    <x v="0"/>
    <s v="Double"/>
    <s v="&gt;=1/2&quot;"/>
    <n v="75"/>
    <n v="16680"/>
    <x v="4"/>
    <s v="False"/>
    <s v="True"/>
    <s v="4-6 stories"/>
    <n v="8.55651760101318"/>
    <s v=""/>
  </r>
  <r>
    <n v="10587"/>
    <s v="wall_4"/>
    <n v="1"/>
    <x v="1"/>
    <s v="Double"/>
    <s v="&gt;=1/2&quot;"/>
    <n v="100"/>
    <n v="1825"/>
    <x v="6"/>
    <s v="False"/>
    <s v="False"/>
    <s v="1-3 stories"/>
    <n v="266.90576171875"/>
    <n v="266.90576171875"/>
  </r>
  <r>
    <n v="10587"/>
    <s v="wall_5"/>
    <n v="2"/>
    <x v="0"/>
    <s v="Double"/>
    <s v="&gt;=1/2&quot;"/>
    <n v="100"/>
    <n v="80"/>
    <x v="4"/>
    <s v="False"/>
    <s v="True"/>
    <s v="1-3 stories"/>
    <n v="266.90576171875"/>
    <n v="266.90576171875"/>
  </r>
  <r>
    <n v="10614"/>
    <s v="wall_4"/>
    <n v="1"/>
    <x v="0"/>
    <s v="Double"/>
    <s v="&gt;=1/2&quot;"/>
    <n v="95"/>
    <n v="5307"/>
    <x v="4"/>
    <s v="False"/>
    <s v="True"/>
    <s v="4-6 stories"/>
    <n v="114.388175964355"/>
    <s v=""/>
  </r>
  <r>
    <n v="10614"/>
    <s v="wall_5"/>
    <n v="2"/>
    <x v="1"/>
    <s v="Double"/>
    <s v="&gt;=1/2&quot;"/>
    <n v="50"/>
    <n v="200"/>
    <x v="2"/>
    <s v="False"/>
    <s v="True"/>
    <s v="4-6 stories"/>
    <n v="114.388175964355"/>
    <s v=""/>
  </r>
  <r>
    <n v="10623"/>
    <s v="wall_4"/>
    <n v="1"/>
    <x v="1"/>
    <s v="Double"/>
    <s v="&gt;=1/2&quot;"/>
    <n v="77"/>
    <n v="1158"/>
    <x v="2"/>
    <s v="False"/>
    <s v="True"/>
    <s v="1-3 stories"/>
    <n v="219.04685974121099"/>
    <n v="219.04685974121099"/>
  </r>
  <r>
    <n v="10805"/>
    <s v="wall_3"/>
    <n v="1"/>
    <x v="0"/>
    <s v="Double"/>
    <s v="&gt;=1/2&quot;"/>
    <n v="100"/>
    <n v="701"/>
    <x v="0"/>
    <s v="False"/>
    <s v="False"/>
    <s v="1-3 stories"/>
    <n v="686.32904052734398"/>
    <n v="686.32904052734398"/>
  </r>
  <r>
    <n v="10862"/>
    <s v="wall_4"/>
    <n v="1"/>
    <x v="1"/>
    <s v="Double"/>
    <s v="&lt;1/2&quot;"/>
    <n v="95"/>
    <n v="3519"/>
    <x v="1"/>
    <s v="False"/>
    <s v="False"/>
    <s v="1-3 stories"/>
    <n v="85.864128112792997"/>
    <n v="85.864128112792997"/>
  </r>
  <r>
    <n v="10862"/>
    <s v="wall_5"/>
    <n v="2"/>
    <x v="0"/>
    <s v="Double"/>
    <s v="&gt;=1/2&quot;"/>
    <n v="100"/>
    <n v="130"/>
    <x v="4"/>
    <s v="False"/>
    <s v="True"/>
    <s v="1-3 stories"/>
    <n v="85.864128112792997"/>
    <n v="85.864128112792997"/>
  </r>
  <r>
    <n v="10871"/>
    <s v="wall_3"/>
    <n v="1"/>
    <x v="0"/>
    <s v="Double"/>
    <s v="&lt;1/2&quot;"/>
    <n v="100"/>
    <n v="1640"/>
    <x v="0"/>
    <s v="False"/>
    <s v="True"/>
    <s v="1-3 stories"/>
    <n v="200.17932128906301"/>
    <n v="200.17932128906301"/>
  </r>
  <r>
    <n v="10901"/>
    <s v="wall_3"/>
    <n v="1"/>
    <x v="1"/>
    <s v="Double"/>
    <s v="&gt;=1/2&quot;"/>
    <n v="60"/>
    <n v="1745"/>
    <x v="2"/>
    <s v="False"/>
    <s v="True"/>
    <s v="1-3 stories"/>
    <n v="228.97100830078099"/>
    <n v="228.97100830078099"/>
  </r>
  <r>
    <n v="10901"/>
    <s v="wall_4"/>
    <n v="2"/>
    <x v="0"/>
    <s v="Double"/>
    <s v="&gt;=1/2&quot;"/>
    <n v="100"/>
    <n v="409"/>
    <x v="4"/>
    <s v="False"/>
    <s v="True"/>
    <s v="1-3 stories"/>
    <n v="228.97100830078099"/>
    <n v="228.97100830078099"/>
  </r>
  <r>
    <n v="10910"/>
    <s v="wall_4"/>
    <n v="1"/>
    <x v="0"/>
    <s v="Double"/>
    <s v="&gt;=1/2&quot;"/>
    <n v="100"/>
    <n v="1038"/>
    <x v="4"/>
    <s v="False"/>
    <s v="True"/>
    <s v="1-3 stories"/>
    <n v="206.07391357421901"/>
    <n v="206.07391357421901"/>
  </r>
  <r>
    <n v="10996"/>
    <s v="wall_4"/>
    <n v="1"/>
    <x v="0"/>
    <s v="Double"/>
    <s v="&lt;1/2&quot;"/>
    <n v="100"/>
    <n v="993"/>
    <x v="0"/>
    <s v="False"/>
    <s v="True"/>
    <s v="1-3 stories"/>
    <n v="112.106643676758"/>
    <n v="112.106643676758"/>
  </r>
  <r>
    <n v="11005"/>
    <s v="wall_4"/>
    <n v="1"/>
    <x v="0"/>
    <s v="Double"/>
    <s v="&lt;1/2&quot;"/>
    <n v="70"/>
    <n v="352"/>
    <x v="0"/>
    <s v="False"/>
    <s v="True"/>
    <s v="1-3 stories"/>
    <n v="358.74127197265602"/>
    <n v="358.74127197265602"/>
  </r>
  <r>
    <n v="11005"/>
    <s v="wall_5"/>
    <n v="2"/>
    <x v="0"/>
    <s v="Single"/>
    <m/>
    <n v="50"/>
    <n v="43"/>
    <x v="7"/>
    <s v="False"/>
    <s v="True"/>
    <s v="1-3 stories"/>
    <n v="358.74127197265602"/>
    <n v="358.74127197265602"/>
  </r>
  <r>
    <n v="11005"/>
    <s v="wall_6"/>
    <n v="3"/>
    <x v="0"/>
    <s v="Double"/>
    <s v="&lt;1/2&quot;"/>
    <n v="100"/>
    <n v="20"/>
    <x v="0"/>
    <s v="False"/>
    <s v="True"/>
    <s v="1-3 stories"/>
    <n v="358.74127197265602"/>
    <n v="358.74127197265602"/>
  </r>
  <r>
    <n v="11263"/>
    <s v="wall_3"/>
    <n v="1"/>
    <x v="0"/>
    <s v="Double"/>
    <s v="&lt;1/2&quot;"/>
    <n v="100"/>
    <n v="570"/>
    <x v="0"/>
    <s v="False"/>
    <s v="True"/>
    <s v="1-3 stories"/>
    <n v="343.45651245117199"/>
    <n v="343.45651245117199"/>
  </r>
  <r>
    <n v="11271"/>
    <s v="wall_4"/>
    <n v="1"/>
    <x v="1"/>
    <s v="Single"/>
    <m/>
    <n v="90"/>
    <n v="1500"/>
    <x v="5"/>
    <s v="False"/>
    <s v="False"/>
    <s v="1-3 stories"/>
    <n v="54.761714935302699"/>
    <n v="54.761714935302699"/>
  </r>
  <r>
    <n v="11290"/>
    <s v="wall_3"/>
    <n v="1"/>
    <x v="1"/>
    <s v="Single"/>
    <m/>
    <n v="100"/>
    <n v="832"/>
    <x v="5"/>
    <s v="False"/>
    <s v="False"/>
    <s v="1-3 stories"/>
    <n v="99.650344848632798"/>
    <n v="99.650344848632798"/>
  </r>
  <r>
    <n v="11290"/>
    <s v="wall_4"/>
    <n v="2"/>
    <x v="1"/>
    <s v="Single"/>
    <m/>
    <n v="100"/>
    <n v="592"/>
    <x v="8"/>
    <s v="False"/>
    <s v="True"/>
    <s v="1-3 stories"/>
    <n v="99.650344848632798"/>
    <n v="99.650344848632798"/>
  </r>
  <r>
    <n v="11297"/>
    <s v="wall_4"/>
    <n v="1"/>
    <x v="0"/>
    <s v="Double"/>
    <s v="&gt;=1/2&quot;"/>
    <n v="67"/>
    <n v="13899"/>
    <x v="4"/>
    <s v="False"/>
    <s v="True"/>
    <s v="1-3 stories"/>
    <n v="40.372299194335902"/>
    <n v="40.372299194335902"/>
  </r>
  <r>
    <n v="11297"/>
    <s v="wall_5"/>
    <n v="2"/>
    <x v="1"/>
    <s v="Double"/>
    <s v="&gt;=1/2&quot;"/>
    <n v="27"/>
    <n v="352"/>
    <x v="2"/>
    <s v="False"/>
    <s v="True"/>
    <s v="1-3 stories"/>
    <n v="40.372299194335902"/>
    <n v="40.372299194335902"/>
  </r>
  <r>
    <n v="11345"/>
    <s v="wall_4"/>
    <n v="1"/>
    <x v="0"/>
    <s v="Double"/>
    <s v="&gt;=1/2&quot;"/>
    <n v="98"/>
    <n v="1627"/>
    <x v="4"/>
    <s v="False"/>
    <s v="True"/>
    <s v="1-3 stories"/>
    <n v="78.231018066406307"/>
    <n v="78.231018066406307"/>
  </r>
  <r>
    <n v="11413"/>
    <s v="wall_6"/>
    <n v="1"/>
    <x v="0"/>
    <s v="Double"/>
    <s v="&gt;=1/2&quot;"/>
    <n v="95"/>
    <n v="19214"/>
    <x v="4"/>
    <s v="False"/>
    <s v="True"/>
    <s v="4-6 stories"/>
    <n v="53.381153106689503"/>
    <s v=""/>
  </r>
  <r>
    <n v="11413"/>
    <s v="wall_7"/>
    <n v="2"/>
    <x v="1"/>
    <s v="Single"/>
    <m/>
    <n v="95"/>
    <n v="2620"/>
    <x v="5"/>
    <s v="False"/>
    <s v="False"/>
    <s v="4-6 stories"/>
    <n v="53.381153106689503"/>
    <s v=""/>
  </r>
  <r>
    <n v="11413"/>
    <s v="wall_8"/>
    <n v="3"/>
    <x v="1"/>
    <s v="Double"/>
    <s v="&gt;=1/2&quot;"/>
    <n v="72"/>
    <n v="296"/>
    <x v="6"/>
    <s v="False"/>
    <s v="False"/>
    <s v="4-6 stories"/>
    <n v="53.381153106689503"/>
    <s v=""/>
  </r>
  <r>
    <n v="11537"/>
    <s v="wall_4"/>
    <n v="1"/>
    <x v="1"/>
    <s v="Single"/>
    <m/>
    <n v="100"/>
    <n v="421"/>
    <x v="5"/>
    <s v="False"/>
    <s v="False"/>
    <s v="1-3 stories"/>
    <n v="149.47552490234401"/>
    <n v="149.47552490234401"/>
  </r>
  <r>
    <n v="11537"/>
    <s v="wall_5"/>
    <n v="2"/>
    <x v="1"/>
    <s v="Double"/>
    <s v="&lt;1/2&quot;"/>
    <n v="100"/>
    <n v="480"/>
    <x v="2"/>
    <s v="False"/>
    <s v="True"/>
    <s v="1-3 stories"/>
    <n v="149.47552490234401"/>
    <n v="149.47552490234401"/>
  </r>
  <r>
    <n v="11537"/>
    <s v="wall_6"/>
    <n v="3"/>
    <x v="0"/>
    <s v="Double"/>
    <s v="&gt;=1/2&quot;"/>
    <n v="100"/>
    <n v="42"/>
    <x v="4"/>
    <s v="False"/>
    <s v="True"/>
    <s v="1-3 stories"/>
    <n v="149.47552490234401"/>
    <n v="149.47552490234401"/>
  </r>
  <r>
    <n v="11598"/>
    <s v="wall_4"/>
    <n v="1"/>
    <x v="1"/>
    <s v="Double"/>
    <s v="&gt;=1/2&quot;"/>
    <n v="100"/>
    <n v="1848"/>
    <x v="6"/>
    <s v="False"/>
    <s v="False"/>
    <s v="1-3 stories"/>
    <n v="400.358642578125"/>
    <n v="400.358642578125"/>
  </r>
  <r>
    <n v="11879"/>
    <s v="wall_3"/>
    <n v="1"/>
    <x v="0"/>
    <s v="Double"/>
    <s v="&gt;=1/2&quot;"/>
    <n v="80"/>
    <n v="1452"/>
    <x v="0"/>
    <s v="False"/>
    <s v="False"/>
    <s v="1-3 stories"/>
    <n v="600.53796386718795"/>
    <n v="600.53796386718795"/>
  </r>
  <r>
    <n v="11887"/>
    <s v="wall_3"/>
    <n v="1"/>
    <x v="1"/>
    <s v="Double"/>
    <s v="&gt;=1/2&quot;"/>
    <n v="100"/>
    <n v="5960"/>
    <x v="6"/>
    <s v="False"/>
    <s v="False"/>
    <s v="1-3 stories"/>
    <n v="53.381153106689503"/>
    <n v="53.381153106689503"/>
  </r>
  <r>
    <n v="11887"/>
    <s v="wall_4"/>
    <n v="2"/>
    <x v="0"/>
    <s v="Double"/>
    <s v="&gt;=1/2&quot;"/>
    <n v="100"/>
    <n v="106"/>
    <x v="4"/>
    <s v="False"/>
    <s v="True"/>
    <s v="1-3 stories"/>
    <n v="53.381153106689503"/>
    <n v="53.381153106689503"/>
  </r>
  <r>
    <n v="11930"/>
    <s v="wall_3"/>
    <n v="1"/>
    <x v="1"/>
    <s v="Double"/>
    <s v="&lt;1/2&quot;"/>
    <n v="100"/>
    <n v="562"/>
    <x v="1"/>
    <s v="False"/>
    <s v="False"/>
    <s v="1-3 stories"/>
    <n v="600.53796386718795"/>
    <n v="600.53796386718795"/>
  </r>
  <r>
    <n v="11949"/>
    <s v="wall_3"/>
    <n v="1"/>
    <x v="0"/>
    <s v="Double"/>
    <s v="&gt;=1/2&quot;"/>
    <n v="65"/>
    <n v="8708"/>
    <x v="4"/>
    <s v="False"/>
    <s v="True"/>
    <s v="4-6 stories"/>
    <n v="57.194087982177699"/>
    <s v=""/>
  </r>
  <r>
    <n v="12167"/>
    <s v="wall_4"/>
    <n v="1"/>
    <x v="1"/>
    <s v="Double"/>
    <s v="&lt;1/2&quot;"/>
    <n v="95"/>
    <n v="914"/>
    <x v="1"/>
    <s v="False"/>
    <s v="False"/>
    <s v="1-3 stories"/>
    <n v="400.358642578125"/>
    <n v="400.358642578125"/>
  </r>
  <r>
    <n v="12192"/>
    <s v="wall_5"/>
    <n v="1"/>
    <x v="0"/>
    <s v="Double"/>
    <s v="&gt;=1/2&quot;"/>
    <n v="95"/>
    <n v="5017"/>
    <x v="4"/>
    <s v="False"/>
    <s v="True"/>
    <s v="4-6 stories"/>
    <n v="62.4466361999512"/>
    <s v=""/>
  </r>
  <r>
    <n v="12192"/>
    <s v="wall_6"/>
    <n v="2"/>
    <x v="1"/>
    <s v="Single"/>
    <m/>
    <n v="50"/>
    <n v="95"/>
    <x v="8"/>
    <s v="False"/>
    <s v="True"/>
    <s v="4-6 stories"/>
    <n v="62.4466361999512"/>
    <s v=""/>
  </r>
  <r>
    <n v="12405"/>
    <s v="wall_3"/>
    <n v="1"/>
    <x v="1"/>
    <s v="Double"/>
    <s v="&lt;1/2&quot;"/>
    <n v="100"/>
    <n v="2639"/>
    <x v="1"/>
    <s v="False"/>
    <s v="False"/>
    <s v="1-3 stories"/>
    <n v="165.66564941406301"/>
    <n v="165.66564941406301"/>
  </r>
  <r>
    <n v="12511"/>
    <s v="wall_3"/>
    <n v="1"/>
    <x v="1"/>
    <s v="Double"/>
    <s v="&lt;1/2&quot;"/>
    <n v="100"/>
    <n v="2800"/>
    <x v="1"/>
    <s v="False"/>
    <s v="False"/>
    <s v="4-6 stories"/>
    <n v="35.170711517333999"/>
    <s v=""/>
  </r>
  <r>
    <n v="12511"/>
    <s v="wall_4"/>
    <n v="2"/>
    <x v="1"/>
    <s v="Double"/>
    <s v="&lt;1/2&quot;"/>
    <n v="0"/>
    <n v="256"/>
    <x v="2"/>
    <s v="False"/>
    <s v="True"/>
    <s v="4-6 stories"/>
    <n v="35.170711517333999"/>
    <s v=""/>
  </r>
  <r>
    <n v="12623"/>
    <s v="wall_3"/>
    <n v="1"/>
    <x v="1"/>
    <s v="Single"/>
    <m/>
    <n v="100"/>
    <n v="953"/>
    <x v="5"/>
    <s v="False"/>
    <s v="False"/>
    <s v="1-3 stories"/>
    <n v="600.53796386718795"/>
    <n v="600.53796386718795"/>
  </r>
  <r>
    <n v="12651"/>
    <s v="wall_4"/>
    <n v="1"/>
    <x v="0"/>
    <s v="Double"/>
    <s v="&gt;=1/2&quot;"/>
    <n v="82"/>
    <n v="2140"/>
    <x v="4"/>
    <s v="False"/>
    <s v="True"/>
    <s v="1-3 stories"/>
    <n v="266.90576171875"/>
    <n v="266.90576171875"/>
  </r>
  <r>
    <n v="12783"/>
    <s v="wall_3"/>
    <n v="1"/>
    <x v="1"/>
    <s v="Double"/>
    <s v="&lt;1/2&quot;"/>
    <n v="97"/>
    <n v="2768"/>
    <x v="1"/>
    <s v="False"/>
    <s v="False"/>
    <s v="4-6 stories"/>
    <n v="35.330135345458999"/>
    <s v=""/>
  </r>
  <r>
    <n v="12932"/>
    <s v="wall_6"/>
    <n v="1"/>
    <x v="1"/>
    <s v="Double"/>
    <s v="&lt;1/2&quot;"/>
    <n v="100"/>
    <n v="1783"/>
    <x v="1"/>
    <s v="False"/>
    <s v="False"/>
    <s v="4-6 stories"/>
    <n v="137.38261413574199"/>
    <s v=""/>
  </r>
  <r>
    <n v="12932"/>
    <s v="wall_7"/>
    <n v="2"/>
    <x v="0"/>
    <s v="Double"/>
    <s v="&lt;1/2&quot;"/>
    <n v="0"/>
    <n v="658"/>
    <x v="3"/>
    <s v="False"/>
    <s v="False"/>
    <s v="4-6 stories"/>
    <n v="137.38261413574199"/>
    <s v=""/>
  </r>
  <r>
    <n v="12932"/>
    <s v="wall_8"/>
    <n v="3"/>
    <x v="0"/>
    <s v="Single"/>
    <m/>
    <n v="0"/>
    <n v="150"/>
    <x v="8"/>
    <s v="False"/>
    <s v="False"/>
    <s v="4-6 stories"/>
    <n v="137.38261413574199"/>
    <s v=""/>
  </r>
  <r>
    <n v="12986"/>
    <s v="wall_5"/>
    <n v="1"/>
    <x v="0"/>
    <s v="Double"/>
    <s v="&gt;=1/2&quot;"/>
    <n v="100"/>
    <n v="9684"/>
    <x v="4"/>
    <s v="False"/>
    <s v="True"/>
    <s v="4-6 stories"/>
    <n v="19.080919265747099"/>
    <s v=""/>
  </r>
  <r>
    <n v="12986"/>
    <s v="wall_6"/>
    <n v="2"/>
    <x v="1"/>
    <s v="Double"/>
    <s v="&gt;=1/2&quot;"/>
    <n v="8"/>
    <n v="84"/>
    <x v="2"/>
    <s v="False"/>
    <s v="True"/>
    <s v="4-6 stories"/>
    <n v="19.080919265747099"/>
    <s v=""/>
  </r>
  <r>
    <n v="12998"/>
    <s v="wall_3"/>
    <n v="1"/>
    <x v="1"/>
    <s v="Double"/>
    <s v="&gt;=1/2&quot;"/>
    <n v="95"/>
    <n v="2030"/>
    <x v="6"/>
    <s v="False"/>
    <s v="False"/>
    <s v="1-3 stories"/>
    <n v="34.226070404052699"/>
    <n v="34.226070404052699"/>
  </r>
  <r>
    <n v="12998"/>
    <s v="wall_4"/>
    <n v="2"/>
    <x v="0"/>
    <s v="Double"/>
    <s v="&gt;=1/2&quot;"/>
    <n v="95"/>
    <n v="1354"/>
    <x v="4"/>
    <s v="False"/>
    <s v="True"/>
    <s v="1-3 stories"/>
    <n v="34.226070404052699"/>
    <n v="34.226070404052699"/>
  </r>
  <r>
    <n v="13039"/>
    <s v="wall_4"/>
    <n v="1"/>
    <x v="0"/>
    <s v="Double"/>
    <s v="&gt;=1/2&quot;"/>
    <n v="51"/>
    <n v="7042"/>
    <x v="4"/>
    <s v="False"/>
    <s v="True"/>
    <s v="4-6 stories"/>
    <n v="66.475456237792997"/>
    <s v=""/>
  </r>
  <r>
    <n v="13039"/>
    <s v="wall_5"/>
    <n v="2"/>
    <x v="1"/>
    <s v="Double"/>
    <s v="&lt;1/2&quot;"/>
    <n v="90"/>
    <n v="626"/>
    <x v="2"/>
    <s v="False"/>
    <s v="True"/>
    <s v="4-6 stories"/>
    <n v="66.475456237792997"/>
    <s v=""/>
  </r>
  <r>
    <n v="13039"/>
    <s v="wall_6"/>
    <n v="3"/>
    <x v="0"/>
    <s v="Single"/>
    <m/>
    <n v="100"/>
    <n v="156"/>
    <x v="8"/>
    <s v="False"/>
    <s v="False"/>
    <s v="4-6 stories"/>
    <n v="66.475456237792997"/>
    <s v=""/>
  </r>
  <r>
    <n v="13048"/>
    <s v="wall_4"/>
    <n v="1"/>
    <x v="1"/>
    <s v="Double"/>
    <s v="&gt;=1/2&quot;"/>
    <n v="100"/>
    <n v="1578"/>
    <x v="6"/>
    <s v="False"/>
    <s v="False"/>
    <s v="1-3 stories"/>
    <n v="266.90576171875"/>
    <n v="266.90576171875"/>
  </r>
  <r>
    <n v="13048"/>
    <s v="wall_5"/>
    <n v="2"/>
    <x v="0"/>
    <s v="Double"/>
    <s v="&gt;=1/2&quot;"/>
    <n v="100"/>
    <n v="240"/>
    <x v="0"/>
    <s v="False"/>
    <s v="False"/>
    <s v="1-3 stories"/>
    <n v="266.90576171875"/>
    <n v="266.90576171875"/>
  </r>
  <r>
    <n v="13054"/>
    <s v="wall_3"/>
    <n v="1"/>
    <x v="0"/>
    <s v="Double"/>
    <s v="&gt;=1/2&quot;"/>
    <n v="100"/>
    <n v="670"/>
    <x v="4"/>
    <s v="False"/>
    <s v="True"/>
    <s v="1-3 stories"/>
    <n v="149.47552490234401"/>
    <n v="149.47552490234401"/>
  </r>
  <r>
    <n v="13054"/>
    <s v="wall_4"/>
    <n v="2"/>
    <x v="0"/>
    <s v="Double"/>
    <s v="&lt;1/2&quot;"/>
    <n v="37"/>
    <n v="384"/>
    <x v="0"/>
    <s v="False"/>
    <s v="True"/>
    <s v="1-3 stories"/>
    <n v="149.47552490234401"/>
    <n v="149.47552490234401"/>
  </r>
  <r>
    <n v="13062"/>
    <s v="wall_4"/>
    <n v="1"/>
    <x v="1"/>
    <s v="Double"/>
    <s v="&gt;=1/2&quot;"/>
    <n v="100"/>
    <n v="1448"/>
    <x v="6"/>
    <s v="False"/>
    <s v="False"/>
    <s v="1-3 stories"/>
    <n v="400.358642578125"/>
    <n v="400.358642578125"/>
  </r>
  <r>
    <n v="13126"/>
    <s v="wall_4"/>
    <n v="1"/>
    <x v="1"/>
    <s v="Single"/>
    <m/>
    <n v="80"/>
    <n v="9930"/>
    <x v="5"/>
    <s v="False"/>
    <s v="False"/>
    <s v="7+ stories"/>
    <n v="19.557754516601602"/>
    <s v=""/>
  </r>
  <r>
    <n v="13126"/>
    <s v="wall_5"/>
    <n v="2"/>
    <x v="0"/>
    <s v="Double"/>
    <s v="&gt;=1/2&quot;"/>
    <n v="0"/>
    <n v="135"/>
    <x v="4"/>
    <s v="False"/>
    <s v="True"/>
    <s v="7+ stories"/>
    <n v="19.557754516601602"/>
    <s v=""/>
  </r>
  <r>
    <n v="13202"/>
    <s v="wall_3"/>
    <n v="1"/>
    <x v="0"/>
    <s v="Double"/>
    <s v="&lt;1/2&quot;"/>
    <n v="100"/>
    <n v="1116"/>
    <x v="3"/>
    <s v="False"/>
    <s v="False"/>
    <s v="1-3 stories"/>
    <n v="480.43035888671898"/>
    <n v="480.43035888671898"/>
  </r>
  <r>
    <n v="13218"/>
    <s v="wall_3"/>
    <n v="1"/>
    <x v="1"/>
    <s v="Double"/>
    <s v="&lt;1/2&quot;"/>
    <n v="100"/>
    <n v="1261"/>
    <x v="1"/>
    <s v="False"/>
    <s v="False"/>
    <s v="1-3 stories"/>
    <n v="128.79620361328099"/>
    <n v="128.79620361328099"/>
  </r>
  <r>
    <n v="13268"/>
    <s v="wall_4"/>
    <n v="1"/>
    <x v="0"/>
    <s v="Double"/>
    <s v="&gt;=1/2&quot;"/>
    <n v="100"/>
    <n v="1176"/>
    <x v="4"/>
    <s v="False"/>
    <s v="True"/>
    <s v="1-3 stories"/>
    <n v="171.72825622558599"/>
    <n v="171.72825622558599"/>
  </r>
  <r>
    <n v="13321"/>
    <s v="wall_3"/>
    <n v="1"/>
    <x v="0"/>
    <s v="Double"/>
    <s v="&gt;=1/2&quot;"/>
    <n v="100"/>
    <n v="870"/>
    <x v="0"/>
    <s v="False"/>
    <s v="False"/>
    <s v="1-3 stories"/>
    <n v="266.90576171875"/>
    <n v="266.90576171875"/>
  </r>
  <r>
    <n v="13321"/>
    <s v="wall_4"/>
    <n v="2"/>
    <x v="0"/>
    <s v="Double"/>
    <s v="&gt;=1/2&quot;"/>
    <n v="100"/>
    <n v="585"/>
    <x v="4"/>
    <s v="False"/>
    <s v="True"/>
    <s v="1-3 stories"/>
    <n v="266.90576171875"/>
    <n v="266.90576171875"/>
  </r>
  <r>
    <n v="13321"/>
    <s v="wall_5"/>
    <n v="3"/>
    <x v="0"/>
    <s v="Single"/>
    <m/>
    <n v="0"/>
    <n v="81"/>
    <x v="8"/>
    <s v="False"/>
    <s v="False"/>
    <s v="1-3 stories"/>
    <n v="266.90576171875"/>
    <n v="266.90576171875"/>
  </r>
  <r>
    <n v="13360"/>
    <s v="wall_3"/>
    <n v="1"/>
    <x v="1"/>
    <s v="Single"/>
    <m/>
    <n v="100"/>
    <n v="800"/>
    <x v="5"/>
    <s v="False"/>
    <s v="False"/>
    <s v="1-3 stories"/>
    <n v="343.16452026367199"/>
    <n v="343.16452026367199"/>
  </r>
  <r>
    <n v="13384"/>
    <s v="wall_3"/>
    <n v="1"/>
    <x v="1"/>
    <s v="Double"/>
    <s v="&gt;=1/2&quot;"/>
    <n v="100"/>
    <n v="615"/>
    <x v="6"/>
    <s v="False"/>
    <s v="False"/>
    <s v="1-3 stories"/>
    <n v="343.45651245117199"/>
    <n v="343.45651245117199"/>
  </r>
  <r>
    <n v="13384"/>
    <s v="wall_4"/>
    <n v="2"/>
    <x v="2"/>
    <m/>
    <m/>
    <n v="100"/>
    <n v="53"/>
    <x v="9"/>
    <m/>
    <m/>
    <s v="1-3 stories"/>
    <n v="343.45651245117199"/>
    <n v="343.45651245117199"/>
  </r>
  <r>
    <n v="13384"/>
    <s v="wall_5"/>
    <n v="3"/>
    <x v="1"/>
    <s v="Single"/>
    <m/>
    <n v="0"/>
    <n v="16"/>
    <x v="5"/>
    <s v="False"/>
    <s v="False"/>
    <s v="1-3 stories"/>
    <n v="343.45651245117199"/>
    <n v="343.45651245117199"/>
  </r>
  <r>
    <n v="13520"/>
    <s v="wall_4"/>
    <n v="1"/>
    <x v="1"/>
    <s v="Double"/>
    <s v="&gt;=1/2&quot;"/>
    <n v="100"/>
    <n v="2134"/>
    <x v="6"/>
    <s v="False"/>
    <s v="False"/>
    <s v="1-3 stories"/>
    <n v="114.48550415039099"/>
    <n v="114.48550415039099"/>
  </r>
  <r>
    <n v="13628"/>
    <s v="wall_3"/>
    <n v="1"/>
    <x v="1"/>
    <s v="Double"/>
    <s v="&lt;1/2&quot;"/>
    <n v="100"/>
    <n v="419"/>
    <x v="1"/>
    <s v="False"/>
    <s v="False"/>
    <s v="1-3 stories"/>
    <n v="343.45651245117199"/>
    <n v="343.45651245117199"/>
  </r>
  <r>
    <n v="13694"/>
    <s v="wall_4"/>
    <n v="1"/>
    <x v="0"/>
    <s v="Double"/>
    <s v="&lt;1/2&quot;"/>
    <n v="100"/>
    <n v="1626"/>
    <x v="3"/>
    <s v="False"/>
    <s v="False"/>
    <s v="1-3 stories"/>
    <n v="266.90576171875"/>
    <n v="266.90576171875"/>
  </r>
  <r>
    <n v="13712"/>
    <s v="wall_3"/>
    <n v="1"/>
    <x v="0"/>
    <s v="Double"/>
    <s v="&gt;=1/2&quot;"/>
    <n v="100"/>
    <n v="604"/>
    <x v="4"/>
    <s v="False"/>
    <s v="True"/>
    <s v="1-3 stories"/>
    <n v="136.90428161621099"/>
    <n v="136.90428161621099"/>
  </r>
  <r>
    <n v="13861"/>
    <s v="wall_4"/>
    <n v="1"/>
    <x v="0"/>
    <s v="Double"/>
    <s v="&lt;1/2&quot;"/>
    <n v="99"/>
    <n v="3953"/>
    <x v="0"/>
    <s v="False"/>
    <s v="True"/>
    <s v="1-3 stories"/>
    <n v="18.253904342651399"/>
    <n v="18.253904342651399"/>
  </r>
  <r>
    <n v="13899"/>
    <s v="wall_5"/>
    <n v="1"/>
    <x v="1"/>
    <s v="Double"/>
    <s v="&gt;=1/2&quot;"/>
    <n v="100"/>
    <n v="1528"/>
    <x v="6"/>
    <s v="False"/>
    <s v="False"/>
    <s v="1-3 stories"/>
    <n v="42.124393463134801"/>
    <n v="42.124393463134801"/>
  </r>
  <r>
    <n v="13988"/>
    <s v="wall_3"/>
    <n v="1"/>
    <x v="1"/>
    <s v="Single"/>
    <m/>
    <n v="100"/>
    <n v="754"/>
    <x v="5"/>
    <s v="False"/>
    <s v="False"/>
    <s v="1-3 stories"/>
    <n v="114.48550415039099"/>
    <n v="114.48550415039099"/>
  </r>
  <r>
    <n v="13988"/>
    <s v="wall_4"/>
    <n v="2"/>
    <x v="0"/>
    <s v="Double"/>
    <s v="&lt;1/2&quot;"/>
    <n v="100"/>
    <n v="56"/>
    <x v="3"/>
    <s v="False"/>
    <s v="False"/>
    <s v="1-3 stories"/>
    <n v="114.48550415039099"/>
    <n v="114.48550415039099"/>
  </r>
  <r>
    <n v="13988"/>
    <s v="wall_5"/>
    <n v="3"/>
    <x v="1"/>
    <s v="Double"/>
    <s v="&lt;1/2&quot;"/>
    <n v="8"/>
    <n v="56"/>
    <x v="1"/>
    <s v="False"/>
    <s v="False"/>
    <s v="1-3 stories"/>
    <n v="114.48550415039099"/>
    <n v="114.48550415039099"/>
  </r>
  <r>
    <n v="14014"/>
    <s v="wall_3"/>
    <n v="1"/>
    <x v="0"/>
    <s v="Double"/>
    <s v="&gt;=1/2&quot;"/>
    <n v="100"/>
    <n v="1602"/>
    <x v="4"/>
    <s v="False"/>
    <s v="True"/>
    <s v="1-3 stories"/>
    <n v="85.864128112792997"/>
    <n v="85.864128112792997"/>
  </r>
  <r>
    <n v="14020"/>
    <s v="wall_4"/>
    <n v="1"/>
    <x v="1"/>
    <s v="Double"/>
    <s v="&gt;=1/2&quot;"/>
    <n v="97"/>
    <n v="1156"/>
    <x v="6"/>
    <s v="False"/>
    <s v="False"/>
    <s v="1-3 stories"/>
    <n v="171.72825622558599"/>
    <n v="171.72825622558599"/>
  </r>
  <r>
    <n v="14059"/>
    <s v="wall_4"/>
    <n v="1"/>
    <x v="0"/>
    <s v="Double"/>
    <s v="&lt;1/2&quot;"/>
    <n v="100"/>
    <n v="3022"/>
    <x v="0"/>
    <s v="False"/>
    <s v="True"/>
    <s v="4-6 stories"/>
    <n v="47.924167633056598"/>
    <s v=""/>
  </r>
  <r>
    <n v="14059"/>
    <s v="wall_5"/>
    <n v="2"/>
    <x v="1"/>
    <s v="Double"/>
    <s v="&gt;=1/2&quot;"/>
    <n v="0"/>
    <n v="224"/>
    <x v="2"/>
    <s v="False"/>
    <s v="True"/>
    <s v="4-6 stories"/>
    <n v="47.924167633056598"/>
    <s v=""/>
  </r>
  <r>
    <n v="14059"/>
    <s v="wall_6"/>
    <n v="3"/>
    <x v="0"/>
    <s v="Double"/>
    <s v="&lt;1/2&quot;"/>
    <n v="100"/>
    <n v="20"/>
    <x v="0"/>
    <s v="False"/>
    <s v="True"/>
    <s v="4-6 stories"/>
    <n v="47.924167633056598"/>
    <s v=""/>
  </r>
  <r>
    <n v="14163"/>
    <s v="wall_3"/>
    <n v="1"/>
    <x v="1"/>
    <s v="Single"/>
    <m/>
    <n v="100"/>
    <n v="5665"/>
    <x v="5"/>
    <s v="False"/>
    <s v="False"/>
    <s v="4-6 stories"/>
    <n v="38.881870269775398"/>
    <s v=""/>
  </r>
  <r>
    <n v="14163"/>
    <s v="wall_4"/>
    <n v="2"/>
    <x v="0"/>
    <s v="Double"/>
    <s v="&gt;=1/2&quot;"/>
    <n v="4"/>
    <n v="216"/>
    <x v="0"/>
    <s v="False"/>
    <s v="False"/>
    <s v="4-6 stories"/>
    <n v="38.881870269775398"/>
    <s v=""/>
  </r>
  <r>
    <n v="14240"/>
    <s v="wall_3"/>
    <n v="1"/>
    <x v="0"/>
    <s v="Double"/>
    <s v="&gt;=1/2&quot;"/>
    <n v="86"/>
    <n v="769"/>
    <x v="4"/>
    <s v="False"/>
    <s v="True"/>
    <s v="1-3 stories"/>
    <n v="800.71728515625"/>
    <n v="800.71728515625"/>
  </r>
  <r>
    <n v="14258"/>
    <s v="wall_3"/>
    <n v="1"/>
    <x v="0"/>
    <s v="Double"/>
    <s v="&lt;1/2&quot;"/>
    <n v="100"/>
    <n v="1439"/>
    <x v="0"/>
    <s v="False"/>
    <s v="True"/>
    <s v="1-3 stories"/>
    <n v="436.75485229492199"/>
    <n v="436.75485229492199"/>
  </r>
  <r>
    <n v="14259"/>
    <s v="wall_4"/>
    <n v="1"/>
    <x v="1"/>
    <s v="Double"/>
    <s v="&gt;=1/2&quot;"/>
    <n v="90"/>
    <n v="6433"/>
    <x v="6"/>
    <s v="False"/>
    <s v="False"/>
    <s v="4-6 stories"/>
    <n v="10.1410579681396"/>
    <s v=""/>
  </r>
  <r>
    <n v="14346"/>
    <s v="wall_4"/>
    <n v="1"/>
    <x v="1"/>
    <s v="Double"/>
    <s v="&gt;=1/2&quot;"/>
    <n v="91"/>
    <n v="4114"/>
    <x v="2"/>
    <s v="False"/>
    <s v="True"/>
    <s v="1-3 stories"/>
    <n v="171.58226013183599"/>
    <n v="171.58226013183599"/>
  </r>
  <r>
    <n v="14346"/>
    <s v="wall_5"/>
    <n v="2"/>
    <x v="1"/>
    <s v="Single"/>
    <m/>
    <n v="24"/>
    <n v="196"/>
    <x v="5"/>
    <s v="False"/>
    <s v="False"/>
    <s v="1-3 stories"/>
    <n v="171.58226013183599"/>
    <n v="171.58226013183599"/>
  </r>
  <r>
    <n v="14507"/>
    <s v="wall_4"/>
    <n v="1"/>
    <x v="1"/>
    <s v="Double"/>
    <s v="&lt;1/2&quot;"/>
    <n v="100"/>
    <n v="640"/>
    <x v="1"/>
    <s v="False"/>
    <s v="False"/>
    <s v="1-3 stories"/>
    <n v="412.14782714843801"/>
    <n v="412.14782714843801"/>
  </r>
  <r>
    <n v="14507"/>
    <s v="wall_5"/>
    <n v="2"/>
    <x v="0"/>
    <s v="Single"/>
    <m/>
    <n v="0"/>
    <n v="65"/>
    <x v="8"/>
    <s v="False"/>
    <s v="False"/>
    <s v="1-3 stories"/>
    <n v="412.14782714843801"/>
    <n v="412.14782714843801"/>
  </r>
  <r>
    <n v="14613"/>
    <s v="wall_3"/>
    <n v="1"/>
    <x v="0"/>
    <s v="Double"/>
    <s v="&gt;=1/2&quot;"/>
    <n v="100"/>
    <n v="1116"/>
    <x v="4"/>
    <s v="False"/>
    <s v="True"/>
    <s v="1-3 stories"/>
    <n v="99.650344848632798"/>
    <n v="99.650344848632798"/>
  </r>
  <r>
    <n v="14613"/>
    <s v="wall_4"/>
    <n v="2"/>
    <x v="1"/>
    <s v="Double"/>
    <s v="&gt;=1/2&quot;"/>
    <n v="100"/>
    <n v="594"/>
    <x v="2"/>
    <s v="False"/>
    <s v="True"/>
    <s v="1-3 stories"/>
    <n v="99.650344848632798"/>
    <n v="99.650344848632798"/>
  </r>
  <r>
    <n v="14614"/>
    <s v="wall_5"/>
    <n v="1"/>
    <x v="0"/>
    <s v="Double"/>
    <s v="&gt;=1/2&quot;"/>
    <n v="100"/>
    <n v="731"/>
    <x v="4"/>
    <s v="False"/>
    <s v="True"/>
    <s v="1-3 stories"/>
    <n v="320.28689575195301"/>
    <n v="320.28689575195301"/>
  </r>
  <r>
    <n v="20021"/>
    <s v="wall_4"/>
    <n v="1"/>
    <x v="1"/>
    <s v="Double"/>
    <s v="&gt;=1/2&quot;"/>
    <n v="100"/>
    <n v="12347"/>
    <x v="6"/>
    <s v="False"/>
    <s v="False"/>
    <s v="7+ stories"/>
    <n v="61.841342926025398"/>
    <s v=""/>
  </r>
  <r>
    <n v="20021"/>
    <s v="wall_5"/>
    <n v="2"/>
    <x v="1"/>
    <s v="Double"/>
    <s v="&gt;=1/2&quot;"/>
    <n v="0"/>
    <n v="556"/>
    <x v="2"/>
    <s v="False"/>
    <s v="True"/>
    <s v="7+ stories"/>
    <n v="61.841342926025398"/>
    <s v=""/>
  </r>
  <r>
    <n v="20101"/>
    <s v="wall_7"/>
    <n v="1"/>
    <x v="0"/>
    <s v="Single"/>
    <m/>
    <n v="69"/>
    <n v="654"/>
    <x v="7"/>
    <s v="False"/>
    <s v="True"/>
    <s v="1-3 stories"/>
    <n v="167.65873718261699"/>
    <n v="167.65873718261699"/>
  </r>
  <r>
    <n v="20101"/>
    <s v="wall_8"/>
    <n v="2"/>
    <x v="1"/>
    <s v="Single"/>
    <m/>
    <n v="53"/>
    <n v="732"/>
    <x v="8"/>
    <s v="False"/>
    <s v="True"/>
    <s v="1-3 stories"/>
    <n v="167.65873718261699"/>
    <n v="167.65873718261699"/>
  </r>
  <r>
    <n v="20101"/>
    <s v="wall_9"/>
    <n v="3"/>
    <x v="1"/>
    <s v="Single"/>
    <m/>
    <m/>
    <n v="3206"/>
    <x v="8"/>
    <s v="False"/>
    <s v="True"/>
    <s v="1-3 stories"/>
    <n v="167.65873718261699"/>
    <n v="167.65873718261699"/>
  </r>
  <r>
    <n v="20119"/>
    <s v="wall_5"/>
    <n v="1"/>
    <x v="0"/>
    <s v="Double"/>
    <s v="&gt;=1/2&quot;"/>
    <n v="100"/>
    <n v="4068"/>
    <x v="4"/>
    <s v="False"/>
    <s v="True"/>
    <s v="1-3 stories"/>
    <n v="116.07144165039099"/>
    <n v="116.07144165039099"/>
  </r>
  <r>
    <n v="20119"/>
    <s v="wall_6"/>
    <n v="2"/>
    <x v="1"/>
    <s v="Double"/>
    <s v="&gt;=1/2&quot;"/>
    <n v="0"/>
    <n v="89"/>
    <x v="2"/>
    <s v="False"/>
    <s v="True"/>
    <s v="1-3 stories"/>
    <n v="116.07144165039099"/>
    <n v="116.07144165039099"/>
  </r>
  <r>
    <n v="20119"/>
    <s v="wall_7"/>
    <n v="3"/>
    <x v="0"/>
    <s v="Double"/>
    <s v="&gt;=1/2&quot;"/>
    <n v="0"/>
    <n v="168"/>
    <x v="4"/>
    <s v="False"/>
    <s v="True"/>
    <s v="1-3 stories"/>
    <n v="116.07144165039099"/>
    <n v="116.07144165039099"/>
  </r>
  <r>
    <n v="20165"/>
    <s v="wall_3"/>
    <n v="1"/>
    <x v="0"/>
    <s v="Double"/>
    <s v="&gt;=1/2&quot;"/>
    <n v="100"/>
    <n v="576"/>
    <x v="4"/>
    <s v="False"/>
    <s v="True"/>
    <s v="1-3 stories"/>
    <n v="628.72027587890602"/>
    <n v="628.72027587890602"/>
  </r>
  <r>
    <n v="20165"/>
    <s v="wall_4"/>
    <n v="2"/>
    <x v="0"/>
    <s v="Double"/>
    <s v="&gt;=1/2&quot;"/>
    <n v="35"/>
    <n v="312"/>
    <x v="4"/>
    <s v="False"/>
    <s v="True"/>
    <s v="1-3 stories"/>
    <n v="628.72027587890602"/>
    <n v="628.72027587890602"/>
  </r>
  <r>
    <n v="20193"/>
    <s v="wall_3"/>
    <n v="1"/>
    <x v="1"/>
    <s v="Single"/>
    <m/>
    <n v="100"/>
    <n v="1310"/>
    <x v="5"/>
    <s v="False"/>
    <s v="False"/>
    <s v="1-3 stories"/>
    <n v="538.903076171875"/>
    <n v="538.903076171875"/>
  </r>
  <r>
    <n v="20193"/>
    <s v="wall_4"/>
    <n v="2"/>
    <x v="1"/>
    <s v="Single"/>
    <m/>
    <n v="0"/>
    <n v="260"/>
    <x v="5"/>
    <s v="False"/>
    <s v="False"/>
    <s v="1-3 stories"/>
    <n v="538.903076171875"/>
    <n v="538.903076171875"/>
  </r>
  <r>
    <n v="20195"/>
    <s v="wall_10"/>
    <n v="3"/>
    <x v="1"/>
    <s v="Double"/>
    <s v="&lt;1/2&quot;"/>
    <n v="0"/>
    <n v="576"/>
    <x v="1"/>
    <s v="False"/>
    <s v="False"/>
    <s v="4-6 stories"/>
    <n v="580.357177734375"/>
    <s v=""/>
  </r>
  <r>
    <n v="20195"/>
    <s v="wall_8"/>
    <n v="1"/>
    <x v="0"/>
    <s v="Double"/>
    <s v="&gt;=1/2&quot;"/>
    <n v="50"/>
    <n v="984"/>
    <x v="4"/>
    <s v="False"/>
    <s v="True"/>
    <s v="4-6 stories"/>
    <n v="580.357177734375"/>
    <s v=""/>
  </r>
  <r>
    <n v="20195"/>
    <s v="wall_9"/>
    <n v="2"/>
    <x v="1"/>
    <s v="Single"/>
    <m/>
    <n v="20"/>
    <n v="690"/>
    <x v="5"/>
    <s v="False"/>
    <s v="False"/>
    <s v="4-6 stories"/>
    <n v="580.357177734375"/>
    <s v=""/>
  </r>
  <r>
    <n v="20241"/>
    <s v="wall_5"/>
    <n v="1"/>
    <x v="1"/>
    <s v="Single"/>
    <m/>
    <n v="52"/>
    <n v="463"/>
    <x v="5"/>
    <s v="False"/>
    <s v="False"/>
    <s v="1-3 stories"/>
    <n v="1257.44055175781"/>
    <n v="1257.44055175781"/>
  </r>
  <r>
    <n v="20241"/>
    <s v="wall_6"/>
    <n v="2"/>
    <x v="1"/>
    <s v="Single"/>
    <m/>
    <n v="100"/>
    <n v="26"/>
    <x v="5"/>
    <s v="False"/>
    <s v="False"/>
    <s v="1-3 stories"/>
    <n v="1257.44055175781"/>
    <n v="1257.44055175781"/>
  </r>
  <r>
    <n v="20241"/>
    <s v="wall_7"/>
    <n v="3"/>
    <x v="1"/>
    <s v="Double"/>
    <s v="&lt;1/2&quot;"/>
    <n v="100"/>
    <n v="84"/>
    <x v="1"/>
    <s v="False"/>
    <s v="False"/>
    <s v="1-3 stories"/>
    <n v="1257.44055175781"/>
    <n v="1257.44055175781"/>
  </r>
  <r>
    <n v="20289"/>
    <s v="wall_3"/>
    <n v="1"/>
    <x v="1"/>
    <s v="Double"/>
    <s v="&lt;1/2&quot;"/>
    <n v="100"/>
    <n v="544"/>
    <x v="2"/>
    <s v="False"/>
    <s v="True"/>
    <s v="1-3 stories"/>
    <n v="943.08038330078102"/>
    <n v="943.08038330078102"/>
  </r>
  <r>
    <n v="20532"/>
    <s v="wall_4"/>
    <n v="1"/>
    <x v="1"/>
    <s v="Single"/>
    <m/>
    <n v="100"/>
    <n v="729"/>
    <x v="5"/>
    <s v="False"/>
    <s v="False"/>
    <s v="1-3 stories"/>
    <n v="502.97622680664102"/>
    <n v="502.97622680664102"/>
  </r>
  <r>
    <n v="20532"/>
    <s v="wall_5"/>
    <n v="2"/>
    <x v="0"/>
    <s v="Double"/>
    <s v="&lt;1/2&quot;"/>
    <n v="100"/>
    <n v="58"/>
    <x v="3"/>
    <s v="False"/>
    <s v="False"/>
    <s v="1-3 stories"/>
    <n v="502.97622680664102"/>
    <n v="502.97622680664102"/>
  </r>
  <r>
    <n v="20566"/>
    <s v="wall_3"/>
    <n v="1"/>
    <x v="1"/>
    <s v="Single"/>
    <m/>
    <n v="100"/>
    <n v="880"/>
    <x v="5"/>
    <s v="False"/>
    <s v="False"/>
    <s v="1-3 stories"/>
    <n v="754.46429443359398"/>
    <n v="754.46429443359398"/>
  </r>
  <r>
    <n v="20581"/>
    <s v="wall_3"/>
    <n v="1"/>
    <x v="1"/>
    <s v="Double"/>
    <s v="&lt;1/2&quot;"/>
    <n v="100"/>
    <n v="596"/>
    <x v="2"/>
    <s v="False"/>
    <s v="True"/>
    <s v="1-3 stories"/>
    <n v="1257.44055175781"/>
    <n v="1257.44055175781"/>
  </r>
  <r>
    <n v="20665"/>
    <s v="wall_3"/>
    <n v="1"/>
    <x v="0"/>
    <s v="Double"/>
    <s v="&lt;1/2&quot;"/>
    <n v="100"/>
    <n v="471"/>
    <x v="0"/>
    <s v="False"/>
    <s v="True"/>
    <s v="1-3 stories"/>
    <n v="685.87664794921898"/>
    <n v="685.87664794921898"/>
  </r>
  <r>
    <n v="20665"/>
    <s v="wall_4"/>
    <n v="2"/>
    <x v="1"/>
    <s v="Double"/>
    <s v="&lt;1/2&quot;"/>
    <n v="80"/>
    <n v="1257"/>
    <x v="2"/>
    <s v="False"/>
    <s v="True"/>
    <s v="1-3 stories"/>
    <n v="685.87664794921898"/>
    <n v="685.87664794921898"/>
  </r>
  <r>
    <n v="20705"/>
    <s v="wall_3"/>
    <n v="1"/>
    <x v="0"/>
    <s v="Double"/>
    <s v="&gt;=1/2&quot;"/>
    <n v="100"/>
    <n v="426"/>
    <x v="4"/>
    <s v="False"/>
    <s v="True"/>
    <s v="1-3 stories"/>
    <n v="1257.44055175781"/>
    <n v="1257.44055175781"/>
  </r>
  <r>
    <n v="20803"/>
    <s v="wall_3"/>
    <n v="1"/>
    <x v="0"/>
    <s v="Double"/>
    <s v="&gt;=1/2&quot;"/>
    <n v="100"/>
    <n v="438"/>
    <x v="4"/>
    <s v="False"/>
    <s v="True"/>
    <s v="1-3 stories"/>
    <n v="838.293701171875"/>
    <n v="838.293701171875"/>
  </r>
  <r>
    <n v="21000"/>
    <s v="wall_5"/>
    <n v="1"/>
    <x v="1"/>
    <s v="Double"/>
    <s v="&lt;1/2&quot;"/>
    <n v="75"/>
    <n v="1528"/>
    <x v="2"/>
    <s v="False"/>
    <s v="True"/>
    <s v="1-3 stories"/>
    <n v="251.48811340332"/>
    <n v="251.48811340332"/>
  </r>
  <r>
    <n v="21000"/>
    <s v="wall_6"/>
    <n v="2"/>
    <x v="1"/>
    <s v="Double"/>
    <s v="&gt;=1/2&quot;"/>
    <n v="47"/>
    <n v="77"/>
    <x v="2"/>
    <s v="False"/>
    <s v="True"/>
    <s v="1-3 stories"/>
    <n v="251.48811340332"/>
    <n v="251.48811340332"/>
  </r>
  <r>
    <n v="21000"/>
    <s v="wall_7"/>
    <n v="3"/>
    <x v="2"/>
    <m/>
    <m/>
    <m/>
    <n v="36"/>
    <x v="9"/>
    <m/>
    <m/>
    <s v="1-3 stories"/>
    <n v="251.48811340332"/>
    <n v="251.48811340332"/>
  </r>
  <r>
    <n v="21268"/>
    <s v="wall_3"/>
    <n v="1"/>
    <x v="1"/>
    <s v="Single"/>
    <m/>
    <n v="100"/>
    <n v="600"/>
    <x v="5"/>
    <s v="False"/>
    <s v="False"/>
    <s v="1-3 stories"/>
    <n v="1257.44055175781"/>
    <n v="1257.44055175781"/>
  </r>
  <r>
    <n v="21346"/>
    <s v="wall_12"/>
    <n v="1"/>
    <x v="0"/>
    <s v="Double"/>
    <s v="&lt;1/2&quot;"/>
    <n v="80"/>
    <n v="766"/>
    <x v="0"/>
    <s v="False"/>
    <s v="True"/>
    <s v="1-3 stories"/>
    <n v="754.46429443359398"/>
    <n v="754.46429443359398"/>
  </r>
  <r>
    <n v="21424"/>
    <s v="wall_4"/>
    <n v="1"/>
    <x v="1"/>
    <s v="Single"/>
    <m/>
    <n v="100"/>
    <n v="1220"/>
    <x v="8"/>
    <s v="False"/>
    <s v="True"/>
    <s v="1-3 stories"/>
    <n v="397.08648681640602"/>
    <n v="397.08648681640602"/>
  </r>
  <r>
    <n v="21424"/>
    <s v="wall_5"/>
    <n v="2"/>
    <x v="1"/>
    <s v="Single"/>
    <m/>
    <n v="43"/>
    <n v="812"/>
    <x v="8"/>
    <s v="False"/>
    <s v="True"/>
    <s v="1-3 stories"/>
    <n v="397.08648681640602"/>
    <n v="397.08648681640602"/>
  </r>
  <r>
    <n v="21424"/>
    <s v="wall_6"/>
    <n v="3"/>
    <x v="1"/>
    <s v="Single"/>
    <m/>
    <n v="100"/>
    <n v="96"/>
    <x v="5"/>
    <s v="False"/>
    <s v="False"/>
    <s v="1-3 stories"/>
    <n v="397.08648681640602"/>
    <n v="397.08648681640602"/>
  </r>
  <r>
    <n v="21488"/>
    <s v="wall_3"/>
    <n v="1"/>
    <x v="0"/>
    <s v="Double"/>
    <s v="&gt;=1/2&quot;"/>
    <n v="100"/>
    <n v="656"/>
    <x v="4"/>
    <s v="False"/>
    <s v="True"/>
    <s v="1-3 stories"/>
    <n v="943.08038330078102"/>
    <n v="943.08038330078102"/>
  </r>
  <r>
    <n v="21505"/>
    <s v="wall_3"/>
    <n v="1"/>
    <x v="1"/>
    <s v="Single"/>
    <m/>
    <n v="50"/>
    <n v="1400"/>
    <x v="5"/>
    <s v="False"/>
    <s v="False"/>
    <s v="1-3 stories"/>
    <n v="628.72027587890602"/>
    <n v="628.72027587890602"/>
  </r>
  <r>
    <n v="21564"/>
    <s v="wall_4"/>
    <n v="1"/>
    <x v="1"/>
    <s v="Double"/>
    <s v="&lt;1/2&quot;"/>
    <n v="99"/>
    <n v="1973"/>
    <x v="2"/>
    <s v="False"/>
    <s v="True"/>
    <s v="1-3 stories"/>
    <n v="328.02795410156301"/>
    <n v="328.02795410156301"/>
  </r>
  <r>
    <n v="21564"/>
    <s v="wall_5"/>
    <n v="2"/>
    <x v="1"/>
    <s v="Single"/>
    <m/>
    <n v="100"/>
    <n v="64"/>
    <x v="5"/>
    <s v="False"/>
    <s v="False"/>
    <s v="1-3 stories"/>
    <n v="328.02795410156301"/>
    <n v="328.02795410156301"/>
  </r>
  <r>
    <n v="21576"/>
    <s v="wall_3"/>
    <n v="1"/>
    <x v="1"/>
    <s v="Single"/>
    <m/>
    <n v="100"/>
    <n v="2688"/>
    <x v="5"/>
    <s v="False"/>
    <s v="False"/>
    <s v="1-3 stories"/>
    <n v="314.36013793945301"/>
    <n v="314.36013793945301"/>
  </r>
  <r>
    <n v="21576"/>
    <s v="wall_4"/>
    <n v="2"/>
    <x v="2"/>
    <m/>
    <m/>
    <m/>
    <n v="180"/>
    <x v="9"/>
    <s v="False"/>
    <s v="False"/>
    <s v="1-3 stories"/>
    <n v="314.36013793945301"/>
    <n v="314.36013793945301"/>
  </r>
  <r>
    <n v="21627"/>
    <s v="wall_4"/>
    <n v="1"/>
    <x v="0"/>
    <s v="Double"/>
    <s v="&lt;1/2&quot;"/>
    <n v="50"/>
    <n v="1992"/>
    <x v="3"/>
    <s v="False"/>
    <s v="False"/>
    <s v="1-3 stories"/>
    <n v="314.36013793945301"/>
    <n v="314.36013793945301"/>
  </r>
  <r>
    <n v="21642"/>
    <s v="wall_3"/>
    <n v="1"/>
    <x v="0"/>
    <s v="Double"/>
    <s v="&lt;1/2&quot;"/>
    <n v="22"/>
    <n v="724"/>
    <x v="0"/>
    <s v="False"/>
    <s v="True"/>
    <s v="1-3 stories"/>
    <n v="943.08038330078102"/>
    <n v="943.08038330078102"/>
  </r>
  <r>
    <n v="21691"/>
    <s v="wall_4"/>
    <n v="1"/>
    <x v="0"/>
    <s v="Double"/>
    <s v="&gt;=1/2&quot;"/>
    <n v="75"/>
    <n v="200"/>
    <x v="4"/>
    <s v="False"/>
    <s v="True"/>
    <s v="1-3 stories"/>
    <n v="943.08038330078102"/>
    <n v="943.08038330078102"/>
  </r>
  <r>
    <n v="21691"/>
    <s v="wall_5"/>
    <n v="2"/>
    <x v="0"/>
    <s v="Double"/>
    <s v="&lt;1/2&quot;"/>
    <n v="100"/>
    <n v="15"/>
    <x v="0"/>
    <s v="False"/>
    <s v="True"/>
    <s v="1-3 stories"/>
    <n v="943.08038330078102"/>
    <n v="943.08038330078102"/>
  </r>
  <r>
    <n v="21757"/>
    <s v="wall_3"/>
    <n v="1"/>
    <x v="0"/>
    <s v="Double"/>
    <s v="&gt;=1/2&quot;"/>
    <n v="100"/>
    <n v="672"/>
    <x v="4"/>
    <s v="False"/>
    <s v="True"/>
    <s v="1-3 stories"/>
    <n v="1257.44055175781"/>
    <n v="1257.44055175781"/>
  </r>
  <r>
    <n v="21839"/>
    <s v="wall_3"/>
    <n v="1"/>
    <x v="0"/>
    <s v="Double"/>
    <s v="&gt;=1/2&quot;"/>
    <n v="100"/>
    <n v="2424"/>
    <x v="4"/>
    <s v="False"/>
    <s v="True"/>
    <s v="4-6 stories"/>
    <n v="314.36013793945301"/>
    <s v=""/>
  </r>
  <r>
    <n v="21844"/>
    <s v="wall_4"/>
    <n v="1"/>
    <x v="0"/>
    <s v="Double"/>
    <s v="&lt;1/2&quot;"/>
    <n v="100"/>
    <n v="885"/>
    <x v="0"/>
    <s v="False"/>
    <s v="True"/>
    <s v="1-3 stories"/>
    <n v="628.72027587890602"/>
    <n v="628.72027587890602"/>
  </r>
  <r>
    <n v="21844"/>
    <s v="wall_5"/>
    <n v="2"/>
    <x v="0"/>
    <s v="Double"/>
    <s v="&lt;1/2&quot;"/>
    <n v="0"/>
    <n v="132"/>
    <x v="0"/>
    <s v="False"/>
    <s v="True"/>
    <s v="1-3 stories"/>
    <n v="628.72027587890602"/>
    <n v="628.72027587890602"/>
  </r>
  <r>
    <n v="21910"/>
    <s v="wall_4"/>
    <n v="1"/>
    <x v="0"/>
    <s v="Double"/>
    <s v="&gt;=1/2&quot;"/>
    <n v="50"/>
    <n v="1008"/>
    <x v="4"/>
    <s v="False"/>
    <s v="True"/>
    <s v="1-3 stories"/>
    <n v="184.01568603515599"/>
    <n v="184.01568603515599"/>
  </r>
  <r>
    <n v="21910"/>
    <s v="wall_5"/>
    <n v="2"/>
    <x v="0"/>
    <s v="Double"/>
    <s v="&gt;=1/2&quot;"/>
    <n v="50"/>
    <n v="1008"/>
    <x v="4"/>
    <s v="False"/>
    <s v="True"/>
    <s v="1-3 stories"/>
    <n v="184.01568603515599"/>
    <n v="184.01568603515599"/>
  </r>
  <r>
    <n v="21952"/>
    <s v="wall_3"/>
    <n v="1"/>
    <x v="1"/>
    <s v="Single"/>
    <m/>
    <n v="100"/>
    <n v="1626"/>
    <x v="8"/>
    <s v="False"/>
    <s v="True"/>
    <s v="1-3 stories"/>
    <n v="419.14685058593801"/>
    <n v="419.14685058593801"/>
  </r>
  <r>
    <n v="21985"/>
    <s v="wall_3"/>
    <n v="1"/>
    <x v="0"/>
    <s v="Double"/>
    <s v="&lt;1/2&quot;"/>
    <n v="0"/>
    <n v="33"/>
    <x v="0"/>
    <s v="False"/>
    <s v="True"/>
    <s v="1-3 stories"/>
    <n v="754.46429443359398"/>
    <n v="754.46429443359398"/>
  </r>
  <r>
    <n v="21985"/>
    <s v="wall_4"/>
    <n v="2"/>
    <x v="0"/>
    <s v="Double"/>
    <s v="&lt;1/2&quot;"/>
    <n v="97"/>
    <n v="1032"/>
    <x v="0"/>
    <s v="False"/>
    <s v="True"/>
    <s v="1-3 stories"/>
    <n v="754.46429443359398"/>
    <n v="754.46429443359398"/>
  </r>
  <r>
    <n v="21998"/>
    <s v="wall_6"/>
    <n v="1"/>
    <x v="0"/>
    <s v="Double"/>
    <s v="&lt;1/2&quot;"/>
    <n v="75"/>
    <n v="549"/>
    <x v="0"/>
    <s v="False"/>
    <s v="True"/>
    <s v="1-3 stories"/>
    <n v="943.08038330078102"/>
    <n v="943.08038330078102"/>
  </r>
  <r>
    <n v="22058"/>
    <s v="wall_3"/>
    <n v="1"/>
    <x v="0"/>
    <s v="Double"/>
    <s v="&gt;=1/2&quot;"/>
    <n v="88"/>
    <n v="2143"/>
    <x v="0"/>
    <s v="False"/>
    <s v="False"/>
    <s v="1-3 stories"/>
    <n v="251.48811340332"/>
    <n v="251.48811340332"/>
  </r>
  <r>
    <n v="22058"/>
    <s v="wall_4"/>
    <n v="2"/>
    <x v="0"/>
    <s v="Double"/>
    <s v="&gt;=1/2&quot;"/>
    <n v="100"/>
    <n v="640"/>
    <x v="0"/>
    <s v="False"/>
    <s v="False"/>
    <s v="1-3 stories"/>
    <n v="251.48811340332"/>
    <n v="251.48811340332"/>
  </r>
  <r>
    <n v="22106"/>
    <s v="wall_3"/>
    <n v="1"/>
    <x v="0"/>
    <s v="Double"/>
    <s v="&gt;=1/2&quot;"/>
    <n v="100"/>
    <n v="1620"/>
    <x v="4"/>
    <s v="False"/>
    <s v="True"/>
    <s v="1-3 stories"/>
    <n v="235.770095825195"/>
    <n v="235.770095825195"/>
  </r>
  <r>
    <n v="22262"/>
    <s v="wall_3"/>
    <n v="1"/>
    <x v="0"/>
    <s v="Double"/>
    <s v="&lt;1/2&quot;"/>
    <n v="9"/>
    <n v="720"/>
    <x v="3"/>
    <s v="False"/>
    <s v="False"/>
    <s v="1-3 stories"/>
    <n v="943.08038330078102"/>
    <n v="943.08038330078102"/>
  </r>
  <r>
    <n v="22262"/>
    <s v="wall_4"/>
    <n v="2"/>
    <x v="1"/>
    <s v="Double"/>
    <s v="&gt;=1/2&quot;"/>
    <n v="40"/>
    <n v="288"/>
    <x v="6"/>
    <s v="False"/>
    <s v="False"/>
    <s v="1-3 stories"/>
    <n v="943.08038330078102"/>
    <n v="943.08038330078102"/>
  </r>
  <r>
    <n v="22371"/>
    <s v="wall_3"/>
    <n v="1"/>
    <x v="0"/>
    <s v="Double"/>
    <s v="&lt;1/2&quot;"/>
    <n v="100"/>
    <n v="630"/>
    <x v="3"/>
    <s v="False"/>
    <s v="False"/>
    <s v="1-3 stories"/>
    <n v="1257.44055175781"/>
    <n v="1257.44055175781"/>
  </r>
  <r>
    <n v="22450"/>
    <s v="wall_3"/>
    <n v="1"/>
    <x v="1"/>
    <s v="Double"/>
    <s v="&lt;1/2&quot;"/>
    <n v="100"/>
    <n v="1150"/>
    <x v="1"/>
    <s v="False"/>
    <s v="False"/>
    <s v="1-3 stories"/>
    <n v="538.903076171875"/>
    <n v="538.903076171875"/>
  </r>
  <r>
    <n v="22536"/>
    <s v="wall_3"/>
    <n v="1"/>
    <x v="1"/>
    <s v="Single"/>
    <m/>
    <n v="99"/>
    <n v="3279"/>
    <x v="5"/>
    <s v="False"/>
    <s v="False"/>
    <s v="1-3 stories"/>
    <n v="100.59523773193401"/>
    <n v="100.59523773193401"/>
  </r>
  <r>
    <n v="22536"/>
    <s v="wall_4"/>
    <n v="2"/>
    <x v="0"/>
    <s v="Double"/>
    <s v="&gt;=1/2&quot;"/>
    <n v="99"/>
    <n v="1232"/>
    <x v="0"/>
    <s v="False"/>
    <s v="False"/>
    <s v="1-3 stories"/>
    <n v="100.59523773193401"/>
    <n v="100.59523773193401"/>
  </r>
  <r>
    <n v="22536"/>
    <s v="wall_5"/>
    <n v="3"/>
    <x v="1"/>
    <s v="Single"/>
    <m/>
    <n v="100"/>
    <n v="2100"/>
    <x v="5"/>
    <s v="False"/>
    <s v="False"/>
    <s v="1-3 stories"/>
    <n v="100.59523773193401"/>
    <n v="100.59523773193401"/>
  </r>
  <r>
    <n v="22870"/>
    <s v="wall_3"/>
    <n v="1"/>
    <x v="0"/>
    <s v="Double"/>
    <s v="&gt;=1/2&quot;"/>
    <n v="100"/>
    <n v="1228"/>
    <x v="4"/>
    <s v="False"/>
    <s v="True"/>
    <s v="1-3 stories"/>
    <n v="471.54019165039102"/>
    <n v="471.54019165039102"/>
  </r>
  <r>
    <n v="22870"/>
    <s v="wall_4"/>
    <n v="2"/>
    <x v="0"/>
    <s v="Double"/>
    <s v="&gt;=1/2&quot;"/>
    <n v="100"/>
    <n v="208"/>
    <x v="4"/>
    <s v="False"/>
    <s v="True"/>
    <s v="1-3 stories"/>
    <n v="471.54019165039102"/>
    <n v="471.54019165039102"/>
  </r>
  <r>
    <n v="22870"/>
    <s v="wall_5"/>
    <n v="3"/>
    <x v="1"/>
    <s v="Single"/>
    <m/>
    <n v="0"/>
    <n v="60"/>
    <x v="5"/>
    <s v="False"/>
    <s v="False"/>
    <s v="1-3 stories"/>
    <n v="471.54019165039102"/>
    <n v="471.54019165039102"/>
  </r>
  <r>
    <n v="22906"/>
    <s v="wall_3"/>
    <n v="1"/>
    <x v="0"/>
    <s v="Double"/>
    <s v="&gt;=1/2&quot;"/>
    <n v="100"/>
    <n v="1279"/>
    <x v="4"/>
    <s v="False"/>
    <s v="True"/>
    <s v="1-3 stories"/>
    <n v="628.72027587890602"/>
    <n v="628.72027587890602"/>
  </r>
  <r>
    <n v="23106"/>
    <s v="wall_5"/>
    <n v="1"/>
    <x v="1"/>
    <s v="Double"/>
    <s v="&lt;1/2&quot;"/>
    <n v="10"/>
    <n v="12939"/>
    <x v="2"/>
    <s v="False"/>
    <s v="True"/>
    <s v="7+ stories"/>
    <n v="123.68268585205099"/>
    <s v=""/>
  </r>
  <r>
    <n v="23425"/>
    <s v="wall_3"/>
    <n v="1"/>
    <x v="1"/>
    <s v="Single"/>
    <m/>
    <n v="100"/>
    <n v="596"/>
    <x v="5"/>
    <s v="False"/>
    <s v="False"/>
    <s v="1-3 stories"/>
    <n v="754.46429443359398"/>
    <n v="754.46429443359398"/>
  </r>
  <r>
    <n v="23531"/>
    <s v="wall_3"/>
    <n v="1"/>
    <x v="0"/>
    <s v="Double"/>
    <s v="&gt;=1/2&quot;"/>
    <n v="100"/>
    <n v="774"/>
    <x v="4"/>
    <s v="False"/>
    <s v="True"/>
    <s v="1-3 stories"/>
    <n v="419.14685058593801"/>
    <n v="419.14685058593801"/>
  </r>
  <r>
    <n v="23531"/>
    <s v="wall_4"/>
    <n v="2"/>
    <x v="1"/>
    <s v="Double"/>
    <s v="&gt;=1/2&quot;"/>
    <n v="41"/>
    <n v="540"/>
    <x v="2"/>
    <s v="False"/>
    <s v="True"/>
    <s v="1-3 stories"/>
    <n v="419.14685058593801"/>
    <n v="419.14685058593801"/>
  </r>
  <r>
    <n v="23623"/>
    <s v="wall_3"/>
    <n v="1"/>
    <x v="1"/>
    <s v="Single"/>
    <m/>
    <n v="100"/>
    <n v="576"/>
    <x v="1"/>
    <s v="True"/>
    <s v="False"/>
    <s v="1-3 stories"/>
    <n v="314.36013793945301"/>
    <n v="314.36013793945301"/>
  </r>
  <r>
    <n v="23623"/>
    <s v="wall_4"/>
    <n v="2"/>
    <x v="0"/>
    <s v="Double"/>
    <s v="&lt;1/2&quot;"/>
    <n v="43"/>
    <n v="432"/>
    <x v="0"/>
    <s v="False"/>
    <s v="True"/>
    <s v="1-3 stories"/>
    <n v="314.36013793945301"/>
    <n v="314.36013793945301"/>
  </r>
  <r>
    <n v="23681"/>
    <s v="wall_3"/>
    <n v="1"/>
    <x v="0"/>
    <s v="Double"/>
    <s v="&gt;=1/2&quot;"/>
    <n v="100"/>
    <n v="1240"/>
    <x v="4"/>
    <s v="False"/>
    <s v="True"/>
    <s v="1-3 stories"/>
    <n v="943.08038330078102"/>
    <n v="943.08038330078102"/>
  </r>
  <r>
    <n v="23681"/>
    <s v="wall_4"/>
    <n v="2"/>
    <x v="0"/>
    <s v="Double"/>
    <s v="&gt;=1/2&quot;"/>
    <n v="0"/>
    <n v="80"/>
    <x v="4"/>
    <s v="False"/>
    <s v="True"/>
    <s v="1-3 stories"/>
    <n v="943.08038330078102"/>
    <n v="943.08038330078102"/>
  </r>
  <r>
    <n v="23685"/>
    <s v="wall_3"/>
    <n v="1"/>
    <x v="0"/>
    <s v="Double"/>
    <s v="&gt;=1/2&quot;"/>
    <n v="100"/>
    <n v="597"/>
    <x v="4"/>
    <s v="False"/>
    <s v="True"/>
    <s v="1-3 stories"/>
    <n v="754.46429443359398"/>
    <n v="754.46429443359398"/>
  </r>
  <r>
    <n v="23685"/>
    <s v="wall_4"/>
    <n v="2"/>
    <x v="1"/>
    <s v="Double"/>
    <s v="&gt;=1/2&quot;"/>
    <n v="100"/>
    <n v="380"/>
    <x v="2"/>
    <s v="False"/>
    <s v="True"/>
    <s v="1-3 stories"/>
    <n v="754.46429443359398"/>
    <n v="754.46429443359398"/>
  </r>
  <r>
    <n v="23800"/>
    <s v="wall_6"/>
    <n v="1"/>
    <x v="0"/>
    <s v="Double"/>
    <s v="&gt;=1/2&quot;"/>
    <n v="50"/>
    <n v="1413"/>
    <x v="0"/>
    <s v="False"/>
    <s v="False"/>
    <s v="1-3 stories"/>
    <n v="188.61607360839801"/>
    <n v="188.61607360839801"/>
  </r>
  <r>
    <n v="23899"/>
    <s v="wall_4"/>
    <n v="1"/>
    <x v="0"/>
    <s v="Double"/>
    <s v="&gt;=1/2&quot;"/>
    <n v="100"/>
    <n v="2745"/>
    <x v="4"/>
    <s v="False"/>
    <s v="True"/>
    <s v="1-3 stories"/>
    <n v="167.65873718261699"/>
    <n v="167.65873718261699"/>
  </r>
  <r>
    <n v="23899"/>
    <s v="wall_5"/>
    <n v="2"/>
    <x v="0"/>
    <s v="Double"/>
    <s v="&gt;=1/2&quot;"/>
    <n v="0"/>
    <n v="280"/>
    <x v="4"/>
    <s v="False"/>
    <s v="True"/>
    <s v="1-3 stories"/>
    <n v="167.65873718261699"/>
    <n v="167.65873718261699"/>
  </r>
  <r>
    <n v="23996"/>
    <s v="wall_3"/>
    <n v="1"/>
    <x v="1"/>
    <s v="Double"/>
    <s v="&lt;1/2&quot;"/>
    <n v="84"/>
    <n v="9808"/>
    <x v="2"/>
    <s v="False"/>
    <s v="True"/>
    <s v="7+ stories"/>
    <n v="89.817184448242202"/>
    <s v=""/>
  </r>
  <r>
    <n v="23996"/>
    <s v="wall_4"/>
    <n v="2"/>
    <x v="2"/>
    <m/>
    <m/>
    <n v="100"/>
    <n v="105"/>
    <x v="9"/>
    <s v="False"/>
    <m/>
    <s v="7+ stories"/>
    <n v="89.817184448242202"/>
    <s v=""/>
  </r>
  <r>
    <n v="24009"/>
    <s v="wall_3"/>
    <n v="1"/>
    <x v="0"/>
    <s v="Double"/>
    <s v="&lt;1/2&quot;"/>
    <n v="100"/>
    <n v="752"/>
    <x v="0"/>
    <s v="False"/>
    <s v="True"/>
    <s v="1-3 stories"/>
    <n v="943.08038330078102"/>
    <n v="943.08038330078102"/>
  </r>
  <r>
    <n v="24123"/>
    <s v="wall_5"/>
    <n v="1"/>
    <x v="0"/>
    <s v="Single"/>
    <m/>
    <n v="100"/>
    <n v="286"/>
    <x v="8"/>
    <s v="False"/>
    <s v="False"/>
    <s v="1-3 stories"/>
    <n v="1257.44055175781"/>
    <n v="1257.44055175781"/>
  </r>
  <r>
    <n v="24123"/>
    <s v="wall_6"/>
    <n v="2"/>
    <x v="0"/>
    <s v="Single"/>
    <m/>
    <n v="0"/>
    <n v="62"/>
    <x v="2"/>
    <s v="True"/>
    <s v="False"/>
    <s v="1-3 stories"/>
    <n v="1257.44055175781"/>
    <n v="1257.44055175781"/>
  </r>
  <r>
    <n v="24123"/>
    <s v="wall_7"/>
    <n v="3"/>
    <x v="0"/>
    <s v="Double"/>
    <s v="&gt;=1/2&quot;"/>
    <n v="100"/>
    <n v="10"/>
    <x v="0"/>
    <s v="False"/>
    <s v="False"/>
    <s v="1-3 stories"/>
    <n v="1257.44055175781"/>
    <n v="1257.44055175781"/>
  </r>
  <r>
    <n v="24139"/>
    <s v="wall_3"/>
    <n v="1"/>
    <x v="1"/>
    <s v="Double"/>
    <s v="&gt;=1/2&quot;"/>
    <n v="100"/>
    <n v="1152"/>
    <x v="2"/>
    <s v="False"/>
    <s v="True"/>
    <s v="1-3 stories"/>
    <n v="471.54019165039102"/>
    <n v="471.54019165039102"/>
  </r>
  <r>
    <n v="24637"/>
    <s v="wall_3"/>
    <n v="1"/>
    <x v="1"/>
    <s v="Double"/>
    <s v="&lt;1/2&quot;"/>
    <n v="100"/>
    <n v="3313"/>
    <x v="1"/>
    <s v="False"/>
    <s v="False"/>
    <s v="1-3 stories"/>
    <n v="209.57342529296901"/>
    <n v="209.57342529296901"/>
  </r>
  <r>
    <n v="24802"/>
    <s v="wall_3"/>
    <n v="1"/>
    <x v="0"/>
    <s v="Double"/>
    <s v="&lt;1/2&quot;"/>
    <n v="100"/>
    <n v="2300"/>
    <x v="0"/>
    <s v="False"/>
    <s v="True"/>
    <s v="1-3 stories"/>
    <n v="314.36013793945301"/>
    <n v="314.36013793945301"/>
  </r>
  <r>
    <n v="29940"/>
    <s v="wall_3"/>
    <n v="1"/>
    <x v="0"/>
    <s v="Double"/>
    <s v="&gt;=1/2&quot;"/>
    <n v="52"/>
    <n v="7854"/>
    <x v="4"/>
    <s v="False"/>
    <s v="True"/>
    <s v="4-6 stories"/>
    <n v="21.904685974121101"/>
    <s v=""/>
  </r>
  <r>
    <n v="60022"/>
    <s v="wall_3"/>
    <n v="1"/>
    <x v="0"/>
    <s v="Double"/>
    <s v="&gt;=1/2&quot;"/>
    <n v="100"/>
    <n v="636"/>
    <x v="4"/>
    <s v="False"/>
    <s v="True"/>
    <s v="1-3 stories"/>
    <n v="600.53796386718795"/>
    <n v="600.53796386718795"/>
  </r>
  <r>
    <n v="60051"/>
    <s v="wall_3"/>
    <n v="1"/>
    <x v="0"/>
    <s v="Double"/>
    <s v="&gt;=1/2&quot;"/>
    <n v="86"/>
    <n v="647"/>
    <x v="4"/>
    <s v="False"/>
    <s v="True"/>
    <s v="1-3 stories"/>
    <n v="960.86071777343795"/>
    <n v="960.86071777343795"/>
  </r>
  <r>
    <n v="60051"/>
    <s v="wall_4"/>
    <n v="2"/>
    <x v="1"/>
    <s v="Double"/>
    <s v="&gt;=1/2&quot;"/>
    <n v="100"/>
    <n v="255"/>
    <x v="2"/>
    <s v="False"/>
    <s v="True"/>
    <s v="1-3 stories"/>
    <n v="960.86071777343795"/>
    <n v="960.86071777343795"/>
  </r>
  <r>
    <n v="60071"/>
    <s v="wall_5"/>
    <n v="1"/>
    <x v="0"/>
    <s v="Double"/>
    <s v="&gt;=1/2&quot;"/>
    <n v="97"/>
    <n v="2802"/>
    <x v="0"/>
    <s v="False"/>
    <s v="False"/>
    <s v="4-6 stories"/>
    <n v="184.78091430664099"/>
    <s v=""/>
  </r>
  <r>
    <n v="60071"/>
    <s v="wall_6"/>
    <n v="2"/>
    <x v="0"/>
    <s v="Double"/>
    <s v="&gt;=1/2&quot;"/>
    <n v="100"/>
    <n v="442"/>
    <x v="4"/>
    <s v="False"/>
    <s v="True"/>
    <s v="4-6 stories"/>
    <n v="184.78091430664099"/>
    <s v=""/>
  </r>
  <r>
    <n v="60099"/>
    <s v="wall_3"/>
    <n v="1"/>
    <x v="1"/>
    <s v="Double"/>
    <s v="&lt;1/2&quot;"/>
    <n v="100"/>
    <n v="1036"/>
    <x v="1"/>
    <s v="False"/>
    <s v="False"/>
    <s v="1-3 stories"/>
    <n v="300.26898193359398"/>
    <n v="300.26898193359398"/>
  </r>
  <r>
    <n v="71001"/>
    <s v="wall_3"/>
    <n v="1"/>
    <x v="0"/>
    <s v="Double"/>
    <s v="&lt;1/2&quot;"/>
    <n v="100"/>
    <n v="540"/>
    <x v="0"/>
    <s v="False"/>
    <s v="True"/>
    <s v="1-3 stories"/>
    <n v="136.90428161621099"/>
    <n v="136.90428161621099"/>
  </r>
  <r>
    <n v="71001"/>
    <s v="wall_4"/>
    <n v="2"/>
    <x v="1"/>
    <s v="Single"/>
    <m/>
    <n v="0"/>
    <n v="9"/>
    <x v="5"/>
    <s v="False"/>
    <s v="False"/>
    <s v="1-3 stories"/>
    <n v="136.90428161621099"/>
    <n v="136.90428161621099"/>
  </r>
  <r>
    <n v="71002"/>
    <s v="wall_3"/>
    <n v="1"/>
    <x v="0"/>
    <s v="Double"/>
    <s v="&gt;=1/2&quot;"/>
    <n v="100"/>
    <n v="1366"/>
    <x v="4"/>
    <s v="False"/>
    <s v="True"/>
    <s v="4-6 stories"/>
    <n v="136.90428161621099"/>
    <s v=""/>
  </r>
  <r>
    <n v="71002"/>
    <s v="wall_4"/>
    <n v="2"/>
    <x v="0"/>
    <s v="Double"/>
    <s v="&lt;1/2&quot;"/>
    <n v="100"/>
    <n v="14"/>
    <x v="0"/>
    <s v="False"/>
    <s v="True"/>
    <s v="4-6 stories"/>
    <n v="136.90428161621099"/>
    <s v=""/>
  </r>
  <r>
    <n v="71002"/>
    <s v="wall_5"/>
    <n v="3"/>
    <x v="0"/>
    <s v="Double"/>
    <s v="&gt;=1/2&quot;"/>
    <n v="0"/>
    <n v="13"/>
    <x v="0"/>
    <s v="False"/>
    <s v="False"/>
    <s v="4-6 stories"/>
    <n v="136.90428161621099"/>
    <s v=""/>
  </r>
  <r>
    <n v="71003"/>
    <s v="wall_3"/>
    <n v="1"/>
    <x v="1"/>
    <s v="Double"/>
    <s v="&gt;=1/2&quot;"/>
    <n v="100"/>
    <n v="413"/>
    <x v="6"/>
    <s v="False"/>
    <s v="False"/>
    <s v="1-3 stories"/>
    <n v="182.53904724121099"/>
    <n v="182.53904724121099"/>
  </r>
  <r>
    <n v="71003"/>
    <s v="wall_4"/>
    <n v="2"/>
    <x v="0"/>
    <s v="Double"/>
    <s v="&gt;=1/2&quot;"/>
    <n v="10"/>
    <n v="24"/>
    <x v="4"/>
    <s v="False"/>
    <s v="True"/>
    <s v="1-3 stories"/>
    <n v="182.53904724121099"/>
    <n v="182.53904724121099"/>
  </r>
  <r>
    <n v="71004"/>
    <s v="wall_3"/>
    <n v="1"/>
    <x v="1"/>
    <s v="Double"/>
    <s v="&lt;1/2&quot;"/>
    <n v="98"/>
    <n v="790"/>
    <x v="1"/>
    <s v="False"/>
    <s v="False"/>
    <s v="1-3 stories"/>
    <n v="136.90428161621099"/>
    <n v="136.90428161621099"/>
  </r>
  <r>
    <n v="71005"/>
    <s v="wall_4"/>
    <n v="1"/>
    <x v="1"/>
    <s v="Single"/>
    <m/>
    <n v="100"/>
    <n v="1026"/>
    <x v="5"/>
    <s v="False"/>
    <s v="False"/>
    <s v="1-3 stories"/>
    <n v="121.69268798828099"/>
    <n v="121.69268798828099"/>
  </r>
  <r>
    <n v="71005"/>
    <s v="wall_5"/>
    <n v="2"/>
    <x v="0"/>
    <s v="Double"/>
    <s v="&gt;=1/2&quot;"/>
    <n v="100"/>
    <n v="51"/>
    <x v="4"/>
    <s v="False"/>
    <s v="True"/>
    <s v="1-3 stories"/>
    <n v="121.69268798828099"/>
    <n v="121.69268798828099"/>
  </r>
  <r>
    <n v="71006"/>
    <s v="wall_4"/>
    <n v="1"/>
    <x v="0"/>
    <s v="Double"/>
    <s v="&gt;=1/2&quot;"/>
    <n v="100"/>
    <n v="361"/>
    <x v="4"/>
    <s v="False"/>
    <s v="True"/>
    <s v="1-3 stories"/>
    <n v="219.04685974121099"/>
    <n v="219.04685974121099"/>
  </r>
  <r>
    <n v="71007"/>
    <s v="wall_3"/>
    <n v="1"/>
    <x v="1"/>
    <s v="Single"/>
    <s v="&gt;=1/2&quot;"/>
    <n v="97"/>
    <n v="794"/>
    <x v="5"/>
    <s v="False"/>
    <s v="False"/>
    <s v="1-3 stories"/>
    <n v="219.04685974121099"/>
    <n v="219.04685974121099"/>
  </r>
  <r>
    <n v="71007"/>
    <s v="wall_4"/>
    <n v="2"/>
    <x v="0"/>
    <s v="Single"/>
    <m/>
    <n v="100"/>
    <n v="20"/>
    <x v="8"/>
    <s v="False"/>
    <s v="False"/>
    <s v="1-3 stories"/>
    <n v="219.04685974121099"/>
    <n v="219.04685974121099"/>
  </r>
  <r>
    <n v="71008"/>
    <s v="wall_5"/>
    <n v="1"/>
    <x v="0"/>
    <s v="Double"/>
    <s v="&gt;=1/2&quot;"/>
    <n v="100"/>
    <n v="767"/>
    <x v="4"/>
    <s v="False"/>
    <s v="True"/>
    <s v="1-3 stories"/>
    <n v="182.53904724121099"/>
    <n v="182.53904724121099"/>
  </r>
  <r>
    <n v="71009"/>
    <s v="wall_4"/>
    <n v="1"/>
    <x v="1"/>
    <s v="Double"/>
    <s v="&gt;=1/2&quot;"/>
    <n v="100"/>
    <n v="484"/>
    <x v="6"/>
    <s v="False"/>
    <s v="False"/>
    <s v="1-3 stories"/>
    <n v="136.90428161621099"/>
    <n v="136.90428161621099"/>
  </r>
  <r>
    <n v="71009"/>
    <s v="wall_5"/>
    <n v="2"/>
    <x v="1"/>
    <s v="Single"/>
    <m/>
    <n v="0"/>
    <n v="9"/>
    <x v="5"/>
    <s v="False"/>
    <s v="False"/>
    <s v="1-3 stories"/>
    <n v="136.90428161621099"/>
    <n v="136.90428161621099"/>
  </r>
  <r>
    <n v="71010"/>
    <s v="wall_4"/>
    <n v="1"/>
    <x v="1"/>
    <s v="Double"/>
    <s v="&gt;=1/2&quot;"/>
    <n v="100"/>
    <n v="813"/>
    <x v="6"/>
    <s v="False"/>
    <s v="False"/>
    <s v="1-3 stories"/>
    <n v="182.53904724121099"/>
    <n v="182.53904724121099"/>
  </r>
  <r>
    <n v="71010"/>
    <s v="wall_5"/>
    <n v="2"/>
    <x v="0"/>
    <s v="Double"/>
    <s v="&lt;1/2&quot;"/>
    <n v="100"/>
    <n v="20"/>
    <x v="3"/>
    <s v="False"/>
    <s v="False"/>
    <s v="1-3 stories"/>
    <n v="182.53904724121099"/>
    <n v="182.53904724121099"/>
  </r>
  <r>
    <n v="71011"/>
    <s v="wall_5"/>
    <n v="1"/>
    <x v="1"/>
    <s v="Double"/>
    <s v="&lt;1/2&quot;"/>
    <n v="90"/>
    <n v="674"/>
    <x v="2"/>
    <s v="False"/>
    <s v="True"/>
    <s v="1-3 stories"/>
    <n v="136.90428161621099"/>
    <n v="136.90428161621099"/>
  </r>
  <r>
    <n v="71012"/>
    <s v="wall_4"/>
    <n v="1"/>
    <x v="1"/>
    <s v="Double"/>
    <s v="&lt;1/2&quot;"/>
    <n v="90"/>
    <n v="497"/>
    <x v="1"/>
    <s v="False"/>
    <s v="False"/>
    <s v="1-3 stories"/>
    <n v="182.53904724121099"/>
    <n v="182.53904724121099"/>
  </r>
  <r>
    <n v="71013"/>
    <s v="wall_4"/>
    <n v="1"/>
    <x v="0"/>
    <s v="Double"/>
    <s v="&gt;=1/2&quot;"/>
    <n v="94"/>
    <n v="834"/>
    <x v="0"/>
    <s v="False"/>
    <s v="False"/>
    <s v="1-3 stories"/>
    <n v="136.90428161621099"/>
    <n v="136.90428161621099"/>
  </r>
  <r>
    <n v="71013"/>
    <s v="wall_5"/>
    <n v="2"/>
    <x v="1"/>
    <s v="Single"/>
    <s v="&lt;1/2&quot;"/>
    <n v="100"/>
    <n v="24"/>
    <x v="5"/>
    <s v="False"/>
    <s v="False"/>
    <s v="1-3 stories"/>
    <n v="136.90428161621099"/>
    <n v="136.90428161621099"/>
  </r>
  <r>
    <n v="71014"/>
    <s v="wall_3"/>
    <n v="1"/>
    <x v="0"/>
    <s v="Double"/>
    <s v="&gt;=1/2&quot;"/>
    <n v="100"/>
    <n v="729"/>
    <x v="4"/>
    <s v="False"/>
    <s v="True"/>
    <s v="1-3 stories"/>
    <n v="136.90428161621099"/>
    <n v="136.90428161621099"/>
  </r>
  <r>
    <n v="72001"/>
    <s v="wall_3"/>
    <n v="1"/>
    <x v="0"/>
    <s v="Double"/>
    <s v="&gt;=1/2&quot;"/>
    <n v="100"/>
    <n v="1490"/>
    <x v="4"/>
    <s v="False"/>
    <s v="True"/>
    <s v="1-3 stories"/>
    <n v="78.231018066406307"/>
    <n v="78.231018066406307"/>
  </r>
  <r>
    <n v="72001"/>
    <s v="wall_4"/>
    <n v="2"/>
    <x v="0"/>
    <s v="Single"/>
    <m/>
    <n v="0"/>
    <n v="68"/>
    <x v="8"/>
    <s v="False"/>
    <s v="False"/>
    <s v="1-3 stories"/>
    <n v="78.231018066406307"/>
    <n v="78.231018066406307"/>
  </r>
  <r>
    <n v="72002"/>
    <s v="wall_3"/>
    <n v="1"/>
    <x v="0"/>
    <s v="Double"/>
    <s v="&gt;=1/2&quot;"/>
    <n v="100"/>
    <n v="1576"/>
    <x v="4"/>
    <s v="False"/>
    <s v="True"/>
    <s v="4-6 stories"/>
    <n v="99.566741943359403"/>
    <s v=""/>
  </r>
  <r>
    <n v="72002"/>
    <s v="wall_4"/>
    <n v="2"/>
    <x v="1"/>
    <s v="Double"/>
    <s v="&gt;=1/2&quot;"/>
    <n v="50"/>
    <n v="70"/>
    <x v="2"/>
    <s v="False"/>
    <s v="True"/>
    <s v="4-6 stories"/>
    <n v="99.566741943359403"/>
    <s v=""/>
  </r>
  <r>
    <n v="72002"/>
    <s v="wall_5"/>
    <n v="3"/>
    <x v="0"/>
    <s v="Double"/>
    <s v="&gt;=1/2&quot;"/>
    <n v="0"/>
    <n v="24"/>
    <x v="0"/>
    <s v="False"/>
    <s v="False"/>
    <s v="4-6 stories"/>
    <n v="99.566741943359403"/>
    <s v=""/>
  </r>
  <r>
    <n v="72003"/>
    <s v="wall_4"/>
    <n v="1"/>
    <x v="1"/>
    <s v="Double"/>
    <s v="&lt;1/2&quot;"/>
    <n v="96"/>
    <n v="1363"/>
    <x v="2"/>
    <s v="False"/>
    <s v="True"/>
    <s v="4-6 stories"/>
    <n v="109.523429870605"/>
    <s v=""/>
  </r>
  <r>
    <n v="72004"/>
    <s v="wall_4"/>
    <n v="1"/>
    <x v="0"/>
    <s v="Double"/>
    <s v="&gt;=1/2&quot;"/>
    <n v="69"/>
    <n v="1520"/>
    <x v="0"/>
    <s v="False"/>
    <s v="False"/>
    <s v="4-6 stories"/>
    <n v="84.248786926269503"/>
    <s v=""/>
  </r>
  <r>
    <n v="72004"/>
    <s v="wall_5"/>
    <n v="2"/>
    <x v="1"/>
    <s v="Single"/>
    <m/>
    <n v="100"/>
    <n v="26"/>
    <x v="5"/>
    <s v="False"/>
    <s v="False"/>
    <s v="4-6 stories"/>
    <n v="84.248786926269503"/>
    <s v=""/>
  </r>
  <r>
    <n v="72005"/>
    <s v="wall_3"/>
    <n v="1"/>
    <x v="0"/>
    <s v="Double"/>
    <s v="&lt;1/2&quot;"/>
    <n v="100"/>
    <n v="1128"/>
    <x v="0"/>
    <s v="False"/>
    <s v="True"/>
    <s v="1-3 stories"/>
    <n v="91.269523620605497"/>
    <n v="91.269523620605497"/>
  </r>
  <r>
    <n v="72006"/>
    <s v="wall_4"/>
    <n v="1"/>
    <x v="0"/>
    <s v="Double"/>
    <s v="&gt;=1/2&quot;"/>
    <n v="93"/>
    <n v="1106"/>
    <x v="4"/>
    <s v="False"/>
    <s v="True"/>
    <s v="1-3 stories"/>
    <n v="91.269523620605497"/>
    <n v="91.269523620605497"/>
  </r>
  <r>
    <n v="72007"/>
    <s v="wall_3"/>
    <n v="1"/>
    <x v="0"/>
    <s v="Double"/>
    <s v="&gt;=1/2&quot;"/>
    <n v="100"/>
    <n v="1296"/>
    <x v="4"/>
    <s v="False"/>
    <s v="True"/>
    <s v="1-3 stories"/>
    <n v="91.269523620605497"/>
    <n v="91.269523620605497"/>
  </r>
  <r>
    <n v="72008"/>
    <s v="wall_4"/>
    <n v="1"/>
    <x v="1"/>
    <s v="Double"/>
    <s v="&gt;=1/2&quot;"/>
    <n v="100"/>
    <n v="853"/>
    <x v="2"/>
    <s v="False"/>
    <s v="True"/>
    <s v="1-3 stories"/>
    <n v="99.566741943359403"/>
    <n v="99.566741943359403"/>
  </r>
  <r>
    <n v="72009"/>
    <s v="wall_6"/>
    <n v="1"/>
    <x v="0"/>
    <s v="Double"/>
    <s v="&gt;=1/2&quot;"/>
    <n v="100"/>
    <n v="1198"/>
    <x v="4"/>
    <s v="False"/>
    <s v="True"/>
    <s v="1-3 stories"/>
    <n v="91.269523620605497"/>
    <n v="91.269523620605497"/>
  </r>
  <r>
    <n v="72009"/>
    <s v="wall_7"/>
    <n v="2"/>
    <x v="1"/>
    <s v="Single"/>
    <m/>
    <n v="17"/>
    <n v="167"/>
    <x v="5"/>
    <s v="False"/>
    <s v="False"/>
    <s v="1-3 stories"/>
    <n v="91.269523620605497"/>
    <n v="91.269523620605497"/>
  </r>
  <r>
    <n v="72010"/>
    <s v="wall_4"/>
    <n v="1"/>
    <x v="1"/>
    <s v="Single"/>
    <m/>
    <n v="100"/>
    <n v="1272"/>
    <x v="5"/>
    <s v="False"/>
    <s v="False"/>
    <s v="4-6 stories"/>
    <n v="91.269523620605497"/>
    <s v=""/>
  </r>
  <r>
    <n v="73001"/>
    <s v="wall_3"/>
    <n v="1"/>
    <x v="1"/>
    <s v="Single"/>
    <m/>
    <n v="100"/>
    <n v="1013"/>
    <x v="5"/>
    <s v="False"/>
    <s v="False"/>
    <s v="4-6 stories"/>
    <n v="60.846343994140597"/>
    <s v=""/>
  </r>
  <r>
    <n v="73001"/>
    <s v="wall_4"/>
    <n v="2"/>
    <x v="0"/>
    <s v="Double"/>
    <s v="&gt;=1/2&quot;"/>
    <n v="100"/>
    <n v="856"/>
    <x v="4"/>
    <s v="False"/>
    <s v="True"/>
    <s v="4-6 stories"/>
    <n v="60.846343994140597"/>
    <s v=""/>
  </r>
  <r>
    <n v="73002"/>
    <s v="wall_5"/>
    <n v="1"/>
    <x v="0"/>
    <s v="Double"/>
    <s v="&gt;=1/2&quot;"/>
    <n v="100"/>
    <n v="1528"/>
    <x v="4"/>
    <s v="False"/>
    <s v="True"/>
    <s v="4-6 stories"/>
    <n v="49.783370971679702"/>
    <s v=""/>
  </r>
  <r>
    <n v="73002"/>
    <s v="wall_6"/>
    <n v="2"/>
    <x v="1"/>
    <s v="Single"/>
    <m/>
    <n v="11"/>
    <n v="161"/>
    <x v="5"/>
    <s v="False"/>
    <s v="False"/>
    <s v="4-6 stories"/>
    <n v="49.783370971679702"/>
    <s v=""/>
  </r>
  <r>
    <n v="73002"/>
    <s v="wall_7"/>
    <n v="3"/>
    <x v="1"/>
    <s v="Double"/>
    <s v="&lt;1/2&quot;"/>
    <n v="100"/>
    <n v="60"/>
    <x v="2"/>
    <s v="False"/>
    <s v="True"/>
    <s v="4-6 stories"/>
    <n v="49.783370971679702"/>
    <s v=""/>
  </r>
  <r>
    <n v="73003"/>
    <s v="wall_4"/>
    <n v="1"/>
    <x v="0"/>
    <s v="Double"/>
    <s v="&gt;=1/2&quot;"/>
    <n v="100"/>
    <n v="1678"/>
    <x v="0"/>
    <s v="False"/>
    <s v="False"/>
    <s v="1-3 stories"/>
    <n v="60.846343994140597"/>
    <n v="60.846343994140597"/>
  </r>
  <r>
    <n v="73004"/>
    <s v="wall_3"/>
    <n v="1"/>
    <x v="0"/>
    <s v="Double"/>
    <s v="&gt;=1/2&quot;"/>
    <n v="100"/>
    <n v="1567"/>
    <x v="0"/>
    <s v="False"/>
    <s v="False"/>
    <s v="1-3 stories"/>
    <n v="57.643905639648402"/>
    <n v="57.643905639648402"/>
  </r>
  <r>
    <n v="73005"/>
    <s v="wall_3"/>
    <n v="1"/>
    <x v="1"/>
    <s v="Double"/>
    <s v="&gt;=1/2&quot;"/>
    <n v="90"/>
    <n v="1645"/>
    <x v="6"/>
    <s v="False"/>
    <s v="False"/>
    <s v="1-3 stories"/>
    <n v="54.761714935302699"/>
    <n v="54.761714935302699"/>
  </r>
  <r>
    <n v="73006"/>
    <s v="wall_3"/>
    <n v="1"/>
    <x v="0"/>
    <s v="Double"/>
    <s v="&gt;=1/2&quot;"/>
    <n v="96"/>
    <n v="906"/>
    <x v="0"/>
    <s v="False"/>
    <s v="False"/>
    <s v="1-3 stories"/>
    <n v="73.015617370605497"/>
    <n v="73.015617370605497"/>
  </r>
  <r>
    <n v="73006"/>
    <s v="wall_4"/>
    <n v="2"/>
    <x v="1"/>
    <s v="Single"/>
    <m/>
    <n v="58"/>
    <n v="781"/>
    <x v="5"/>
    <s v="False"/>
    <s v="False"/>
    <s v="1-3 stories"/>
    <n v="73.015617370605497"/>
    <n v="73.015617370605497"/>
  </r>
  <r>
    <n v="73007"/>
    <s v="wall_4"/>
    <n v="1"/>
    <x v="0"/>
    <s v="Double"/>
    <s v="&gt;=1/2&quot;"/>
    <n v="100"/>
    <n v="1720"/>
    <x v="0"/>
    <s v="False"/>
    <s v="False"/>
    <s v="1-3 stories"/>
    <n v="64.425544738769503"/>
    <n v="64.425544738769503"/>
  </r>
  <r>
    <n v="73008"/>
    <s v="wall_4"/>
    <n v="1"/>
    <x v="1"/>
    <s v="Double"/>
    <s v="&lt;1/2&quot;"/>
    <n v="100"/>
    <n v="1250"/>
    <x v="1"/>
    <s v="False"/>
    <s v="False"/>
    <s v="1-3 stories"/>
    <n v="52.154014587402301"/>
    <n v="52.154014587402301"/>
  </r>
  <r>
    <n v="73009"/>
    <s v="wall_3"/>
    <n v="1"/>
    <x v="0"/>
    <s v="Double"/>
    <s v="&lt;1/2&quot;"/>
    <n v="100"/>
    <n v="1802"/>
    <x v="0"/>
    <s v="False"/>
    <s v="True"/>
    <s v="4-6 stories"/>
    <n v="60.846343994140597"/>
    <s v=""/>
  </r>
  <r>
    <n v="73010"/>
    <s v="wall_5"/>
    <n v="1"/>
    <x v="0"/>
    <s v="Double"/>
    <s v="&gt;=1/2&quot;"/>
    <n v="100"/>
    <n v="1934"/>
    <x v="0"/>
    <s v="False"/>
    <s v="False"/>
    <s v="1-3 stories"/>
    <n v="52.154014587402301"/>
    <n v="52.154014587402301"/>
  </r>
  <r>
    <n v="73010"/>
    <s v="wall_6"/>
    <n v="2"/>
    <x v="1"/>
    <s v="Single"/>
    <m/>
    <n v="0"/>
    <n v="9"/>
    <x v="5"/>
    <s v="False"/>
    <s v="False"/>
    <s v="1-3 stories"/>
    <n v="52.154014587402301"/>
    <n v="52.154014587402301"/>
  </r>
  <r>
    <n v="74001"/>
    <s v="wall_4"/>
    <n v="1"/>
    <x v="0"/>
    <s v="Double"/>
    <s v="&lt;1/2&quot;"/>
    <n v="99"/>
    <n v="5150"/>
    <x v="3"/>
    <s v="False"/>
    <s v="False"/>
    <s v="4-6 stories"/>
    <n v="34.226070404052699"/>
    <s v=""/>
  </r>
  <r>
    <n v="74002"/>
    <s v="wall_5"/>
    <n v="1"/>
    <x v="0"/>
    <s v="Double"/>
    <s v="&lt;1/2&quot;"/>
    <n v="100"/>
    <n v="2280"/>
    <x v="0"/>
    <s v="False"/>
    <s v="True"/>
    <s v="4-6 stories"/>
    <n v="43.809371948242202"/>
    <s v=""/>
  </r>
  <r>
    <n v="74002"/>
    <s v="wall_6"/>
    <n v="3"/>
    <x v="0"/>
    <s v="Double"/>
    <s v="&gt;=1/2&quot;"/>
    <n v="0"/>
    <n v="112"/>
    <x v="4"/>
    <s v="False"/>
    <s v="True"/>
    <s v="4-6 stories"/>
    <n v="43.809371948242202"/>
    <s v=""/>
  </r>
  <r>
    <n v="74003"/>
    <s v="wall_3"/>
    <n v="1"/>
    <x v="1"/>
    <s v="Double"/>
    <s v="&lt;1/2&quot;"/>
    <n v="90"/>
    <n v="3161"/>
    <x v="2"/>
    <s v="False"/>
    <s v="True"/>
    <s v="1-3 stories"/>
    <n v="36.507808685302699"/>
    <n v="36.507808685302699"/>
  </r>
  <r>
    <n v="74003"/>
    <s v="wall_4"/>
    <n v="2"/>
    <x v="1"/>
    <s v="Double"/>
    <s v="&gt;=1/2&quot;"/>
    <n v="0"/>
    <n v="56"/>
    <x v="2"/>
    <s v="False"/>
    <s v="True"/>
    <s v="1-3 stories"/>
    <n v="36.507808685302699"/>
    <n v="36.507808685302699"/>
  </r>
  <r>
    <n v="74004"/>
    <s v="wall_3"/>
    <n v="1"/>
    <x v="1"/>
    <s v="Double"/>
    <s v="&lt;1/2&quot;"/>
    <n v="6"/>
    <n v="1726"/>
    <x v="2"/>
    <s v="False"/>
    <s v="True"/>
    <s v="1-3 stories"/>
    <n v="45.634761810302699"/>
    <n v="45.634761810302699"/>
  </r>
  <r>
    <n v="74005"/>
    <s v="wall_4"/>
    <n v="1"/>
    <x v="0"/>
    <s v="Double"/>
    <s v="&gt;=1/2&quot;"/>
    <n v="83"/>
    <n v="3399"/>
    <x v="0"/>
    <s v="False"/>
    <s v="False"/>
    <s v="1-3 stories"/>
    <n v="40.564231872558601"/>
    <n v="40.564231872558601"/>
  </r>
  <r>
    <n v="74005"/>
    <s v="wall_5"/>
    <n v="2"/>
    <x v="1"/>
    <s v="Double"/>
    <s v="&gt;=1/2&quot;"/>
    <n v="0"/>
    <n v="5"/>
    <x v="6"/>
    <s v="False"/>
    <s v="False"/>
    <s v="1-3 stories"/>
    <n v="40.564231872558601"/>
    <n v="40.564231872558601"/>
  </r>
  <r>
    <n v="74006"/>
    <s v="wall_3"/>
    <n v="1"/>
    <x v="0"/>
    <s v="Double"/>
    <s v="&gt;=1/2&quot;"/>
    <n v="100"/>
    <n v="1866"/>
    <x v="4"/>
    <s v="False"/>
    <s v="True"/>
    <s v="1-3 stories"/>
    <n v="47.6188774108887"/>
    <n v="47.6188774108887"/>
  </r>
  <r>
    <n v="74007"/>
    <s v="wall_4"/>
    <n v="1"/>
    <x v="1"/>
    <s v="Double"/>
    <s v="&lt;1/2&quot;"/>
    <n v="100"/>
    <n v="3918"/>
    <x v="1"/>
    <s v="False"/>
    <s v="False"/>
    <s v="4-6 stories"/>
    <n v="45.634761810302699"/>
    <s v=""/>
  </r>
  <r>
    <n v="74008"/>
    <s v="wall_4"/>
    <n v="1"/>
    <x v="0"/>
    <s v="Double"/>
    <s v="&gt;=1/2&quot;"/>
    <n v="95"/>
    <n v="1774"/>
    <x v="4"/>
    <s v="False"/>
    <s v="True"/>
    <s v="4-6 stories"/>
    <n v="33.188915252685497"/>
    <s v=""/>
  </r>
  <r>
    <n v="74008"/>
    <s v="wall_5"/>
    <n v="2"/>
    <x v="1"/>
    <s v="Double"/>
    <s v="&lt;1/2&quot;"/>
    <n v="50"/>
    <n v="90"/>
    <x v="2"/>
    <s v="False"/>
    <s v="True"/>
    <s v="4-6 stories"/>
    <n v="33.188915252685497"/>
    <s v=""/>
  </r>
  <r>
    <n v="74009"/>
    <s v="wall_3"/>
    <n v="1"/>
    <x v="1"/>
    <s v="Double"/>
    <s v="&lt;1/2&quot;"/>
    <n v="85"/>
    <n v="4496"/>
    <x v="1"/>
    <s v="False"/>
    <s v="False"/>
    <s v="4-6 stories"/>
    <n v="34.226070404052699"/>
    <s v=""/>
  </r>
  <r>
    <n v="74010"/>
    <s v="wall_4"/>
    <n v="1"/>
    <x v="1"/>
    <s v="Double"/>
    <s v="&gt;=1/2&quot;"/>
    <n v="100"/>
    <n v="3451"/>
    <x v="2"/>
    <s v="False"/>
    <s v="True"/>
    <s v="4-6 stories"/>
    <n v="31.292406082153299"/>
    <s v=""/>
  </r>
  <r>
    <n v="74011"/>
    <s v="wall_6"/>
    <n v="1"/>
    <x v="0"/>
    <s v="Double"/>
    <s v="&gt;=1/2&quot;"/>
    <n v="100"/>
    <n v="1424"/>
    <x v="0"/>
    <s v="False"/>
    <s v="False"/>
    <s v="1-3 stories"/>
    <n v="31.292406082153299"/>
    <n v="31.292406082153299"/>
  </r>
  <r>
    <n v="74011"/>
    <s v="wall_7"/>
    <n v="2"/>
    <x v="1"/>
    <s v="Double"/>
    <s v="&gt;=1/2&quot;"/>
    <n v="48"/>
    <n v="138"/>
    <x v="6"/>
    <s v="False"/>
    <s v="False"/>
    <s v="1-3 stories"/>
    <n v="31.292406082153299"/>
    <n v="31.292406082153299"/>
  </r>
  <r>
    <n v="74012"/>
    <s v="wall_4"/>
    <n v="1"/>
    <x v="1"/>
    <s v="Single"/>
    <m/>
    <n v="100"/>
    <n v="3939"/>
    <x v="5"/>
    <s v="False"/>
    <s v="False"/>
    <s v="4-6 stories"/>
    <n v="36.507808685302699"/>
    <s v=""/>
  </r>
  <r>
    <n v="74012"/>
    <s v="wall_5"/>
    <n v="2"/>
    <x v="0"/>
    <s v="Double"/>
    <s v="&gt;=1/2&quot;"/>
    <n v="0"/>
    <n v="84"/>
    <x v="0"/>
    <s v="False"/>
    <s v="False"/>
    <s v="4-6 stories"/>
    <n v="36.507808685302699"/>
    <s v=""/>
  </r>
  <r>
    <n v="74013"/>
    <s v="wall_5"/>
    <n v="1"/>
    <x v="0"/>
    <s v="Double"/>
    <s v="&gt;=1/2&quot;"/>
    <n v="88"/>
    <n v="4318"/>
    <x v="4"/>
    <s v="False"/>
    <s v="True"/>
    <s v="4-6 stories"/>
    <n v="34.226070404052699"/>
    <s v=""/>
  </r>
  <r>
    <n v="74013"/>
    <s v="wall_6"/>
    <n v="2"/>
    <x v="1"/>
    <s v="Double"/>
    <s v="&gt;=1/2&quot;"/>
    <n v="50"/>
    <n v="785"/>
    <x v="2"/>
    <s v="False"/>
    <s v="True"/>
    <s v="4-6 stories"/>
    <n v="34.226070404052699"/>
    <s v=""/>
  </r>
  <r>
    <n v="74014"/>
    <s v="wall_5"/>
    <n v="1"/>
    <x v="1"/>
    <s v="Single"/>
    <m/>
    <n v="95"/>
    <n v="3513"/>
    <x v="5"/>
    <s v="False"/>
    <s v="False"/>
    <s v="4-6 stories"/>
    <n v="42.124393463134801"/>
    <s v=""/>
  </r>
  <r>
    <n v="74015"/>
    <s v="wall_3"/>
    <n v="1"/>
    <x v="1"/>
    <s v="Double"/>
    <s v="&lt;1/2&quot;"/>
    <n v="100"/>
    <n v="1460"/>
    <x v="1"/>
    <s v="False"/>
    <s v="False"/>
    <s v="1-3 stories"/>
    <n v="40.564231872558601"/>
    <n v="40.564231872558601"/>
  </r>
  <r>
    <n v="75001"/>
    <s v="wall_3"/>
    <n v="1"/>
    <x v="1"/>
    <s v="Double"/>
    <s v="&gt;=1/2&quot;"/>
    <n v="100"/>
    <n v="1414"/>
    <x v="6"/>
    <s v="False"/>
    <s v="False"/>
    <s v="1-3 stories"/>
    <n v="28.821952819824201"/>
    <n v="28.821952819824201"/>
  </r>
  <r>
    <n v="75001"/>
    <s v="wall_4"/>
    <n v="2"/>
    <x v="1"/>
    <s v="Double"/>
    <s v="&gt;=1/2&quot;"/>
    <n v="13"/>
    <n v="332"/>
    <x v="2"/>
    <s v="False"/>
    <s v="True"/>
    <s v="1-3 stories"/>
    <n v="28.821952819824201"/>
    <n v="28.821952819824201"/>
  </r>
  <r>
    <n v="75002"/>
    <s v="wall_3"/>
    <n v="1"/>
    <x v="1"/>
    <s v="Double"/>
    <s v="&gt;=1/2&quot;"/>
    <n v="94"/>
    <n v="5930"/>
    <x v="2"/>
    <s v="False"/>
    <s v="True"/>
    <s v="7+ stories"/>
    <n v="20.2821159362793"/>
    <s v=""/>
  </r>
  <r>
    <n v="75002"/>
    <s v="wall_4"/>
    <n v="2"/>
    <x v="0"/>
    <s v="Double"/>
    <s v="&gt;=1/2&quot;"/>
    <n v="94"/>
    <n v="3591"/>
    <x v="4"/>
    <s v="False"/>
    <s v="True"/>
    <s v="7+ stories"/>
    <n v="20.2821159362793"/>
    <s v=""/>
  </r>
  <r>
    <n v="75002"/>
    <s v="wall_5"/>
    <n v="3"/>
    <x v="1"/>
    <s v="Single"/>
    <m/>
    <n v="8"/>
    <n v="773"/>
    <x v="5"/>
    <s v="False"/>
    <s v="False"/>
    <s v="7+ stories"/>
    <n v="20.2821159362793"/>
    <s v=""/>
  </r>
  <r>
    <n v="75003"/>
    <s v="wall_4"/>
    <n v="1"/>
    <x v="1"/>
    <s v="Double"/>
    <s v="&lt;1/2&quot;"/>
    <n v="100"/>
    <n v="3680"/>
    <x v="2"/>
    <s v="False"/>
    <s v="True"/>
    <s v="4-6 stories"/>
    <n v="18.883348464965799"/>
    <s v=""/>
  </r>
  <r>
    <n v="75003"/>
    <s v="wall_5"/>
    <n v="2"/>
    <x v="0"/>
    <s v="Double"/>
    <s v="&lt;1/2&quot;"/>
    <n v="100"/>
    <n v="112"/>
    <x v="0"/>
    <s v="False"/>
    <s v="True"/>
    <s v="4-6 stories"/>
    <n v="18.883348464965799"/>
    <s v=""/>
  </r>
  <r>
    <n v="75004"/>
    <s v="wall_4"/>
    <n v="1"/>
    <x v="1"/>
    <s v="Double"/>
    <s v="&gt;=1/2&quot;"/>
    <n v="60"/>
    <n v="4240"/>
    <x v="2"/>
    <s v="False"/>
    <s v="True"/>
    <s v="1-3 stories"/>
    <n v="19.557754516601602"/>
    <n v="19.557754516601602"/>
  </r>
  <r>
    <n v="75005"/>
    <s v="wall_5"/>
    <n v="1"/>
    <x v="1"/>
    <s v="Double"/>
    <s v="&gt;=1/2&quot;"/>
    <n v="100"/>
    <n v="4553"/>
    <x v="6"/>
    <s v="False"/>
    <s v="False"/>
    <s v="4-6 stories"/>
    <n v="22.817380905151399"/>
    <s v=""/>
  </r>
  <r>
    <n v="75005"/>
    <s v="wall_6"/>
    <n v="2"/>
    <x v="0"/>
    <s v="Double"/>
    <s v="&gt;=1/2&quot;"/>
    <n v="100"/>
    <n v="128"/>
    <x v="4"/>
    <s v="False"/>
    <s v="True"/>
    <s v="4-6 stories"/>
    <n v="22.817380905151399"/>
    <s v=""/>
  </r>
  <r>
    <n v="75006"/>
    <s v="wall_4"/>
    <n v="1"/>
    <x v="1"/>
    <s v="Double"/>
    <s v="&gt;=1/2&quot;"/>
    <n v="100"/>
    <n v="2898"/>
    <x v="6"/>
    <s v="False"/>
    <s v="False"/>
    <s v="4-6 stories"/>
    <n v="22.351718902587901"/>
    <s v=""/>
  </r>
  <r>
    <n v="75006"/>
    <s v="wall_5"/>
    <n v="2"/>
    <x v="0"/>
    <s v="Single"/>
    <m/>
    <n v="12"/>
    <n v="414"/>
    <x v="8"/>
    <s v="False"/>
    <s v="False"/>
    <s v="4-6 stories"/>
    <n v="22.351718902587901"/>
    <s v=""/>
  </r>
  <r>
    <n v="75007"/>
    <s v="wall_5"/>
    <n v="1"/>
    <x v="0"/>
    <s v="Double"/>
    <s v="&gt;=1/2&quot;"/>
    <n v="90"/>
    <n v="4164"/>
    <x v="4"/>
    <s v="False"/>
    <s v="True"/>
    <s v="4-6 stories"/>
    <n v="21.062196731567401"/>
    <s v=""/>
  </r>
  <r>
    <n v="75007"/>
    <s v="wall_6"/>
    <n v="2"/>
    <x v="1"/>
    <s v="Double"/>
    <s v="&lt;1/2&quot;"/>
    <n v="20"/>
    <n v="1156"/>
    <x v="2"/>
    <s v="False"/>
    <s v="True"/>
    <s v="4-6 stories"/>
    <n v="21.062196731567401"/>
    <s v=""/>
  </r>
  <r>
    <n v="75008"/>
    <s v="wall_5"/>
    <n v="1"/>
    <x v="0"/>
    <s v="Double"/>
    <s v="&gt;=1/2&quot;"/>
    <n v="81"/>
    <n v="3632"/>
    <x v="4"/>
    <s v="False"/>
    <s v="True"/>
    <s v="1-3 stories"/>
    <n v="26.7130317687988"/>
    <n v="26.7130317687988"/>
  </r>
  <r>
    <n v="75009"/>
    <s v="wall_6"/>
    <n v="1"/>
    <x v="0"/>
    <s v="Double"/>
    <s v="&gt;=1/2&quot;"/>
    <n v="100"/>
    <n v="2000"/>
    <x v="4"/>
    <s v="False"/>
    <s v="True"/>
    <s v="1-3 stories"/>
    <n v="28.082929611206101"/>
    <n v="28.082929611206101"/>
  </r>
  <r>
    <n v="75009"/>
    <s v="wall_7"/>
    <n v="2"/>
    <x v="0"/>
    <s v="Single"/>
    <m/>
    <n v="80"/>
    <n v="1333"/>
    <x v="8"/>
    <s v="False"/>
    <s v="False"/>
    <s v="1-3 stories"/>
    <n v="28.082929611206101"/>
    <n v="28.082929611206101"/>
  </r>
  <r>
    <n v="75010"/>
    <s v="wall_4"/>
    <n v="1"/>
    <x v="1"/>
    <s v="Double"/>
    <s v="&lt;1/2&quot;"/>
    <n v="98"/>
    <n v="3483"/>
    <x v="1"/>
    <s v="False"/>
    <s v="False"/>
    <s v="1-3 stories"/>
    <n v="30.423171997070298"/>
    <n v="30.423171997070298"/>
  </r>
  <r>
    <n v="75011"/>
    <s v="wall_4"/>
    <n v="1"/>
    <x v="0"/>
    <s v="Double"/>
    <s v="&gt;=1/2&quot;"/>
    <n v="95"/>
    <n v="4690"/>
    <x v="4"/>
    <s v="False"/>
    <s v="True"/>
    <s v="4-6 stories"/>
    <n v="23.3028564453125"/>
    <s v=""/>
  </r>
  <r>
    <n v="75011"/>
    <s v="wall_5"/>
    <n v="2"/>
    <x v="1"/>
    <s v="Double"/>
    <s v="&gt;=1/2&quot;"/>
    <n v="100"/>
    <n v="40"/>
    <x v="6"/>
    <s v="False"/>
    <s v="False"/>
    <s v="4-6 stories"/>
    <n v="23.3028564453125"/>
    <s v=""/>
  </r>
  <r>
    <n v="75012"/>
    <s v="wall_4"/>
    <n v="1"/>
    <x v="0"/>
    <s v="Double"/>
    <s v="&gt;=1/2&quot;"/>
    <n v="100"/>
    <n v="1455"/>
    <x v="0"/>
    <s v="False"/>
    <s v="False"/>
    <s v="1-3 stories"/>
    <n v="24.338537216186499"/>
    <n v="24.338537216186499"/>
  </r>
  <r>
    <n v="75012"/>
    <s v="wall_5"/>
    <n v="2"/>
    <x v="0"/>
    <s v="Single"/>
    <m/>
    <n v="0"/>
    <n v="87"/>
    <x v="8"/>
    <s v="False"/>
    <s v="False"/>
    <s v="1-3 stories"/>
    <n v="24.338537216186499"/>
    <n v="24.338537216186499"/>
  </r>
  <r>
    <n v="75013"/>
    <s v="wall_4"/>
    <n v="1"/>
    <x v="0"/>
    <s v="Double"/>
    <s v="&gt;=1/2&quot;"/>
    <n v="100"/>
    <n v="2221"/>
    <x v="4"/>
    <s v="False"/>
    <s v="True"/>
    <s v="4-6 stories"/>
    <n v="19.214635848998999"/>
    <s v=""/>
  </r>
  <r>
    <n v="75013"/>
    <s v="wall_5"/>
    <n v="2"/>
    <x v="1"/>
    <s v="Double"/>
    <s v="&lt;1/2&quot;"/>
    <n v="61"/>
    <n v="1141"/>
    <x v="1"/>
    <s v="False"/>
    <s v="False"/>
    <s v="4-6 stories"/>
    <n v="19.214635848998999"/>
    <s v=""/>
  </r>
  <r>
    <n v="76001"/>
    <s v="wall_3"/>
    <n v="1"/>
    <x v="0"/>
    <s v="Single"/>
    <m/>
    <n v="97"/>
    <n v="7066"/>
    <x v="8"/>
    <s v="False"/>
    <s v="False"/>
    <s v="4-6 stories"/>
    <n v="14.800462722778301"/>
    <s v=""/>
  </r>
  <r>
    <n v="76002"/>
    <s v="wall_3"/>
    <n v="1"/>
    <x v="1"/>
    <s v="Single"/>
    <m/>
    <n v="32"/>
    <n v="19224"/>
    <x v="5"/>
    <s v="False"/>
    <s v="False"/>
    <s v="4-6 stories"/>
    <n v="13.0385036468506"/>
    <s v=""/>
  </r>
  <r>
    <n v="76003"/>
    <s v="wall_5"/>
    <n v="1"/>
    <x v="1"/>
    <s v="Double"/>
    <s v="&gt;=1/2&quot;"/>
    <n v="99"/>
    <n v="8993"/>
    <x v="2"/>
    <s v="False"/>
    <s v="True"/>
    <s v="7+ stories"/>
    <n v="13.195593833923301"/>
    <s v=""/>
  </r>
  <r>
    <n v="76003"/>
    <s v="wall_6"/>
    <n v="2"/>
    <x v="0"/>
    <s v="Single"/>
    <m/>
    <n v="25"/>
    <n v="163"/>
    <x v="8"/>
    <s v="False"/>
    <s v="False"/>
    <s v="7+ stories"/>
    <n v="13.195593833923301"/>
    <s v=""/>
  </r>
  <r>
    <n v="76004"/>
    <s v="wall_5"/>
    <n v="1"/>
    <x v="0"/>
    <s v="Double"/>
    <s v="&gt;=1/2&quot;"/>
    <n v="42"/>
    <n v="10443"/>
    <x v="4"/>
    <s v="False"/>
    <s v="True"/>
    <s v="4-6 stories"/>
    <n v="11.6514282226563"/>
    <s v=""/>
  </r>
  <r>
    <n v="76004"/>
    <s v="wall_6"/>
    <n v="2"/>
    <x v="1"/>
    <s v="Double"/>
    <s v="&lt;1/2&quot;"/>
    <n v="2"/>
    <n v="132"/>
    <x v="2"/>
    <s v="False"/>
    <s v="True"/>
    <s v="4-6 stories"/>
    <n v="11.6514282226563"/>
    <s v=""/>
  </r>
  <r>
    <n v="76004"/>
    <s v="wall_7"/>
    <n v="3"/>
    <x v="2"/>
    <m/>
    <m/>
    <n v="0"/>
    <n v="33"/>
    <x v="9"/>
    <s v="False"/>
    <s v="False"/>
    <s v="4-6 stories"/>
    <n v="11.6514282226563"/>
    <s v=""/>
  </r>
  <r>
    <n v="76005"/>
    <s v="wall_3"/>
    <n v="1"/>
    <x v="0"/>
    <s v="Double"/>
    <s v="&gt;=1/2&quot;"/>
    <n v="93"/>
    <n v="5373"/>
    <x v="4"/>
    <s v="False"/>
    <s v="True"/>
    <s v="4-6 stories"/>
    <n v="17.665067672729499"/>
    <s v=""/>
  </r>
  <r>
    <n v="76006"/>
    <s v="wall_4"/>
    <n v="1"/>
    <x v="0"/>
    <s v="Double"/>
    <s v="&gt;=1/2&quot;"/>
    <n v="100"/>
    <n v="4760"/>
    <x v="4"/>
    <s v="False"/>
    <s v="True"/>
    <s v="7+ stories"/>
    <n v="13.3565158843994"/>
    <s v=""/>
  </r>
  <r>
    <n v="76006"/>
    <s v="wall_5"/>
    <n v="2"/>
    <x v="1"/>
    <s v="Double"/>
    <s v="&gt;=1/2&quot;"/>
    <n v="100"/>
    <n v="430"/>
    <x v="2"/>
    <s v="False"/>
    <s v="True"/>
    <s v="7+ stories"/>
    <n v="13.3565158843994"/>
    <s v=""/>
  </r>
  <r>
    <n v="76006"/>
    <s v="wall_6"/>
    <n v="3"/>
    <x v="1"/>
    <s v="Single"/>
    <m/>
    <n v="18"/>
    <n v="724"/>
    <x v="5"/>
    <s v="False"/>
    <s v="False"/>
    <s v="7+ stories"/>
    <n v="13.3565158843994"/>
    <s v=""/>
  </r>
  <r>
    <n v="76007"/>
    <s v="wall_6"/>
    <n v="1"/>
    <x v="0"/>
    <s v="Double"/>
    <s v="&gt;=1/2&quot;"/>
    <n v="90"/>
    <n v="3350"/>
    <x v="4"/>
    <s v="False"/>
    <s v="True"/>
    <s v="4-6 stories"/>
    <n v="13.195593833923301"/>
    <s v=""/>
  </r>
  <r>
    <n v="76007"/>
    <s v="wall_7"/>
    <n v="2"/>
    <x v="1"/>
    <s v="Double"/>
    <s v="&gt;=1/2&quot;"/>
    <n v="9"/>
    <n v="1100"/>
    <x v="2"/>
    <s v="False"/>
    <s v="True"/>
    <s v="4-6 stories"/>
    <n v="13.195593833923301"/>
    <s v=""/>
  </r>
  <r>
    <n v="76007"/>
    <s v="wall_8"/>
    <n v="3"/>
    <x v="0"/>
    <s v="Double"/>
    <s v="&gt;=1/2&quot;"/>
    <n v="0"/>
    <n v="50"/>
    <x v="0"/>
    <s v="False"/>
    <s v="False"/>
    <s v="4-6 stories"/>
    <n v="13.195593833923301"/>
    <s v=""/>
  </r>
  <r>
    <n v="76008"/>
    <s v="wall_4"/>
    <n v="1"/>
    <x v="0"/>
    <s v="Double"/>
    <s v="&gt;=1/2&quot;"/>
    <n v="95"/>
    <n v="6700"/>
    <x v="4"/>
    <s v="False"/>
    <s v="True"/>
    <s v="7+ stories"/>
    <n v="12.169268608093301"/>
    <s v=""/>
  </r>
  <r>
    <n v="76009"/>
    <s v="wall_3"/>
    <n v="1"/>
    <x v="1"/>
    <s v="Double"/>
    <s v="&gt;=1/2&quot;"/>
    <n v="100"/>
    <n v="3488"/>
    <x v="6"/>
    <s v="False"/>
    <s v="False"/>
    <s v="1-3 stories"/>
    <n v="16.346778869628899"/>
    <n v="16.346778869628899"/>
  </r>
  <r>
    <n v="76010"/>
    <s v="wall_6"/>
    <n v="1"/>
    <x v="0"/>
    <s v="Double"/>
    <s v="&gt;=1/2&quot;"/>
    <n v="100"/>
    <n v="8839"/>
    <x v="4"/>
    <s v="False"/>
    <s v="True"/>
    <s v="1-3 stories"/>
    <n v="16.106386184692401"/>
    <n v="16.106386184692401"/>
  </r>
  <r>
    <n v="76010"/>
    <s v="wall_7"/>
    <n v="3"/>
    <x v="1"/>
    <s v="Single"/>
    <m/>
    <n v="15"/>
    <n v="665"/>
    <x v="5"/>
    <s v="False"/>
    <s v="False"/>
    <s v="1-3 stories"/>
    <n v="16.106386184692401"/>
    <n v="16.106386184692401"/>
  </r>
  <r>
    <n v="76011"/>
    <s v="wall_4"/>
    <n v="1"/>
    <x v="0"/>
    <s v="Double"/>
    <s v="&gt;=1/2&quot;"/>
    <n v="95"/>
    <n v="6491"/>
    <x v="4"/>
    <s v="False"/>
    <s v="True"/>
    <s v="7+ stories"/>
    <n v="12.169268608093301"/>
    <s v=""/>
  </r>
  <r>
    <n v="76012"/>
    <s v="wall_4"/>
    <n v="1"/>
    <x v="0"/>
    <s v="Double"/>
    <s v="&gt;=1/2&quot;"/>
    <n v="96"/>
    <n v="11674"/>
    <x v="4"/>
    <s v="False"/>
    <s v="True"/>
    <s v="4-6 stories"/>
    <n v="12.445842742919901"/>
    <s v=""/>
  </r>
  <r>
    <n v="76012"/>
    <s v="wall_5"/>
    <n v="2"/>
    <x v="1"/>
    <s v="Double"/>
    <s v="&gt;=1/2&quot;"/>
    <n v="62"/>
    <n v="65"/>
    <x v="2"/>
    <s v="False"/>
    <s v="True"/>
    <s v="4-6 stories"/>
    <n v="12.445842742919901"/>
    <s v=""/>
  </r>
  <r>
    <n v="76013"/>
    <s v="wall_5"/>
    <n v="1"/>
    <x v="0"/>
    <s v="Double"/>
    <s v="&gt;=1/2&quot;"/>
    <n v="85"/>
    <n v="7410"/>
    <x v="4"/>
    <s v="False"/>
    <s v="True"/>
    <s v="4-6 stories"/>
    <n v="14.2238216400146"/>
    <s v=""/>
  </r>
  <r>
    <n v="77001"/>
    <s v="wall_4"/>
    <n v="1"/>
    <x v="0"/>
    <s v="Double"/>
    <s v="&gt;=1/2&quot;"/>
    <n v="99"/>
    <n v="6549"/>
    <x v="4"/>
    <s v="False"/>
    <s v="True"/>
    <s v="4-6 stories"/>
    <n v="8.6923351287841797"/>
    <s v=""/>
  </r>
  <r>
    <n v="77001"/>
    <s v="wall_5"/>
    <n v="2"/>
    <x v="1"/>
    <s v="Double"/>
    <s v="&gt;=1/2&quot;"/>
    <n v="8"/>
    <n v="2083"/>
    <x v="2"/>
    <s v="False"/>
    <s v="True"/>
    <s v="4-6 stories"/>
    <n v="8.6923351287841797"/>
    <s v=""/>
  </r>
  <r>
    <n v="77001"/>
    <s v="wall_6"/>
    <n v="3"/>
    <x v="0"/>
    <s v="Double"/>
    <s v="&gt;=1/2&quot;"/>
    <n v="100"/>
    <n v="20"/>
    <x v="0"/>
    <s v="False"/>
    <s v="False"/>
    <s v="4-6 stories"/>
    <n v="8.6923351287841797"/>
    <s v=""/>
  </r>
  <r>
    <n v="77002"/>
    <s v="wall_4"/>
    <n v="1"/>
    <x v="1"/>
    <s v="Single"/>
    <m/>
    <n v="99"/>
    <n v="21658"/>
    <x v="5"/>
    <s v="False"/>
    <s v="False"/>
    <s v="7+ stories"/>
    <n v="8.0531930923461896"/>
    <s v=""/>
  </r>
  <r>
    <n v="77003"/>
    <s v="wall_5"/>
    <n v="1"/>
    <x v="0"/>
    <s v="Double"/>
    <s v="&gt;=1/2&quot;"/>
    <n v="100"/>
    <n v="14290"/>
    <x v="4"/>
    <s v="False"/>
    <s v="True"/>
    <s v="4-6 stories"/>
    <n v="8.8325338363647496"/>
    <s v=""/>
  </r>
  <r>
    <n v="77003"/>
    <s v="wall_6"/>
    <n v="2"/>
    <x v="1"/>
    <s v="Double"/>
    <s v="&gt;=1/2&quot;"/>
    <n v="75"/>
    <n v="381"/>
    <x v="6"/>
    <s v="False"/>
    <s v="False"/>
    <s v="4-6 stories"/>
    <n v="8.8325338363647496"/>
    <s v=""/>
  </r>
  <r>
    <n v="77003"/>
    <s v="wall_7"/>
    <n v="3"/>
    <x v="1"/>
    <s v="Single"/>
    <m/>
    <n v="0"/>
    <n v="672"/>
    <x v="5"/>
    <s v="False"/>
    <s v="False"/>
    <s v="4-6 stories"/>
    <n v="8.8325338363647496"/>
    <s v=""/>
  </r>
  <r>
    <n v="77004"/>
    <s v="wall_5"/>
    <n v="1"/>
    <x v="0"/>
    <s v="Double"/>
    <s v="&gt;=1/2&quot;"/>
    <n v="78"/>
    <n v="10813"/>
    <x v="4"/>
    <s v="False"/>
    <s v="True"/>
    <s v="1-3 stories"/>
    <n v="6.93186235427856"/>
    <n v="6.93186235427856"/>
  </r>
  <r>
    <n v="77005"/>
    <s v="wall_6"/>
    <n v="1"/>
    <x v="1"/>
    <s v="Double"/>
    <s v="&gt;=1/2&quot;"/>
    <n v="50"/>
    <n v="18753"/>
    <x v="2"/>
    <s v="False"/>
    <s v="True"/>
    <s v="7+ stories"/>
    <n v="6.4425539970397896"/>
    <s v=""/>
  </r>
  <r>
    <n v="77006"/>
    <s v="wall_3"/>
    <n v="1"/>
    <x v="0"/>
    <s v="Double"/>
    <s v="&gt;=1/2&quot;"/>
    <n v="77"/>
    <n v="17230"/>
    <x v="4"/>
    <s v="False"/>
    <s v="True"/>
    <s v="7+ stories"/>
    <n v="6.84521436691284"/>
    <s v=""/>
  </r>
  <r>
    <n v="77006"/>
    <s v="wall_4"/>
    <n v="2"/>
    <x v="1"/>
    <s v="Double"/>
    <s v="&gt;=1/2&quot;"/>
    <n v="22"/>
    <n v="978"/>
    <x v="2"/>
    <s v="False"/>
    <s v="True"/>
    <s v="7+ stories"/>
    <n v="6.84521436691284"/>
    <s v=""/>
  </r>
  <r>
    <n v="77007"/>
    <s v="wall_5"/>
    <n v="1"/>
    <x v="0"/>
    <s v="Double"/>
    <s v="&gt;=1/2&quot;"/>
    <n v="84"/>
    <n v="11581"/>
    <x v="4"/>
    <s v="False"/>
    <s v="True"/>
    <s v="4-6 stories"/>
    <n v="8.1733894348144496"/>
    <s v=""/>
  </r>
  <r>
    <n v="77008"/>
    <s v="wall_4"/>
    <n v="1"/>
    <x v="1"/>
    <s v="Single"/>
    <m/>
    <n v="100"/>
    <n v="6164"/>
    <x v="5"/>
    <s v="False"/>
    <s v="False"/>
    <s v="7+ stories"/>
    <n v="9.7788772583007795"/>
    <s v=""/>
  </r>
  <r>
    <n v="77008"/>
    <s v="wall_5"/>
    <n v="2"/>
    <x v="1"/>
    <s v="Single"/>
    <m/>
    <n v="7"/>
    <n v="495"/>
    <x v="5"/>
    <s v="False"/>
    <s v="False"/>
    <s v="7+ stories"/>
    <n v="9.7788772583007795"/>
    <s v=""/>
  </r>
  <r>
    <n v="77009"/>
    <s v="wall_5"/>
    <n v="1"/>
    <x v="0"/>
    <s v="Double"/>
    <s v="&gt;=1/2&quot;"/>
    <n v="94"/>
    <n v="16265"/>
    <x v="4"/>
    <s v="False"/>
    <s v="True"/>
    <s v="4-6 stories"/>
    <n v="7.5016040802001998"/>
    <s v=""/>
  </r>
  <r>
    <n v="77009"/>
    <s v="wall_6"/>
    <n v="2"/>
    <x v="0"/>
    <s v="Double"/>
    <s v="&gt;=1/2&quot;"/>
    <n v="5"/>
    <n v="1487"/>
    <x v="4"/>
    <s v="False"/>
    <s v="True"/>
    <s v="4-6 stories"/>
    <n v="7.5016040802001998"/>
    <s v=""/>
  </r>
  <r>
    <n v="77009"/>
    <s v="wall_7"/>
    <n v="3"/>
    <x v="1"/>
    <s v="Double"/>
    <s v="&gt;=1/2&quot;"/>
    <n v="100"/>
    <n v="84"/>
    <x v="2"/>
    <s v="False"/>
    <s v="True"/>
    <s v="4-6 stories"/>
    <n v="7.5016040802001998"/>
    <s v=""/>
  </r>
  <r>
    <n v="77010"/>
    <s v="wall_6"/>
    <n v="1"/>
    <x v="0"/>
    <s v="Double"/>
    <s v="&gt;=1/2&quot;"/>
    <n v="95"/>
    <n v="20335"/>
    <x v="4"/>
    <s v="False"/>
    <s v="True"/>
    <s v="7+ stories"/>
    <n v="9.3609762191772496"/>
    <s v=""/>
  </r>
  <r>
    <n v="77010"/>
    <s v="wall_7"/>
    <n v="2"/>
    <x v="1"/>
    <s v="Double"/>
    <s v="&gt;=1/2&quot;"/>
    <n v="15"/>
    <n v="2432"/>
    <x v="2"/>
    <s v="False"/>
    <s v="True"/>
    <s v="7+ stories"/>
    <n v="9.3609762191772496"/>
    <s v=""/>
  </r>
  <r>
    <n v="77011"/>
    <s v="wall_5"/>
    <n v="1"/>
    <x v="0"/>
    <s v="Double"/>
    <s v="&gt;=1/2&quot;"/>
    <n v="100"/>
    <n v="7149"/>
    <x v="4"/>
    <s v="False"/>
    <s v="True"/>
    <s v="7+ stories"/>
    <n v="8.8325338363647496"/>
    <s v=""/>
  </r>
  <r>
    <n v="78001"/>
    <s v="wall_3"/>
    <n v="1"/>
    <x v="1"/>
    <s v="Double"/>
    <s v="&gt;=1/2&quot;"/>
    <n v="9"/>
    <n v="115562"/>
    <x v="2"/>
    <s v="False"/>
    <s v="True"/>
    <s v="7+ stories"/>
    <n v="4.0715026855468803"/>
    <s v=""/>
  </r>
  <r>
    <n v="78001"/>
    <s v="wall_4"/>
    <n v="2"/>
    <x v="1"/>
    <s v="Double"/>
    <s v="&gt;=1/2&quot;"/>
    <n v="4"/>
    <n v="3266"/>
    <x v="2"/>
    <s v="False"/>
    <s v="True"/>
    <s v="7+ stories"/>
    <n v="4.0715026855468803"/>
    <s v=""/>
  </r>
  <r>
    <n v="78002"/>
    <s v="wall_5"/>
    <n v="1"/>
    <x v="0"/>
    <s v="Double"/>
    <s v="&gt;=1/2&quot;"/>
    <n v="90"/>
    <n v="41747"/>
    <x v="4"/>
    <s v="False"/>
    <s v="True"/>
    <s v="7+ stories"/>
    <n v="4.95581102371216"/>
    <s v=""/>
  </r>
  <r>
    <n v="78002"/>
    <s v="wall_6"/>
    <n v="2"/>
    <x v="1"/>
    <s v="Double"/>
    <s v="&gt;=1/2&quot;"/>
    <n v="48"/>
    <n v="2378"/>
    <x v="2"/>
    <s v="False"/>
    <s v="True"/>
    <s v="7+ stories"/>
    <n v="4.95581102371216"/>
    <s v=""/>
  </r>
  <r>
    <n v="78003"/>
    <s v="wall_5"/>
    <n v="1"/>
    <x v="0"/>
    <s v="Double"/>
    <s v="&gt;=1/2&quot;"/>
    <n v="90"/>
    <n v="14106"/>
    <x v="4"/>
    <s v="False"/>
    <s v="True"/>
    <s v="7+ stories"/>
    <n v="5.8568677902221697"/>
    <s v=""/>
  </r>
  <r>
    <n v="78004"/>
    <s v="wall_5"/>
    <n v="1"/>
    <x v="0"/>
    <s v="Double"/>
    <s v="&gt;=1/2&quot;"/>
    <n v="5"/>
    <n v="14126"/>
    <x v="4"/>
    <s v="False"/>
    <s v="True"/>
    <s v="7+ stories"/>
    <n v="4.3634829521179199"/>
    <s v=""/>
  </r>
  <r>
    <n v="78005"/>
    <s v="wall_4"/>
    <n v="1"/>
    <x v="1"/>
    <s v="Double"/>
    <s v="&gt;=1/2&quot;"/>
    <n v="10"/>
    <n v="123090"/>
    <x v="2"/>
    <s v="False"/>
    <s v="True"/>
    <s v="7+ stories"/>
    <n v="3.0765006542205802"/>
    <s v=""/>
  </r>
  <r>
    <n v="78006"/>
    <s v="wall_4"/>
    <n v="1"/>
    <x v="0"/>
    <s v="Double"/>
    <s v="&gt;=1/2&quot;"/>
    <n v="93"/>
    <n v="31011"/>
    <x v="4"/>
    <s v="False"/>
    <s v="True"/>
    <s v="7+ stories"/>
    <n v="3.1203253269195601"/>
    <s v=""/>
  </r>
  <r>
    <n v="78006"/>
    <s v="wall_5"/>
    <n v="2"/>
    <x v="1"/>
    <s v="Double"/>
    <s v="&lt;1/2&quot;"/>
    <n v="25"/>
    <n v="1356"/>
    <x v="2"/>
    <s v="False"/>
    <s v="True"/>
    <s v="7+ stories"/>
    <n v="3.1203253269195601"/>
    <s v=""/>
  </r>
  <r>
    <n v="78007"/>
    <s v="wall_4"/>
    <n v="1"/>
    <x v="0"/>
    <s v="Double"/>
    <s v="&gt;=1/2&quot;"/>
    <n v="88"/>
    <n v="14502"/>
    <x v="4"/>
    <s v="False"/>
    <s v="True"/>
    <s v="4-6 stories"/>
    <n v="5.31667137145996"/>
    <s v=""/>
  </r>
  <r>
    <n v="78007"/>
    <s v="wall_5"/>
    <n v="2"/>
    <x v="1"/>
    <s v="Double"/>
    <s v="&gt;=1/2&quot;"/>
    <n v="20"/>
    <n v="1135"/>
    <x v="2"/>
    <s v="False"/>
    <s v="True"/>
    <s v="4-6 stories"/>
    <n v="5.31667137145996"/>
    <s v=""/>
  </r>
  <r>
    <n v="78008"/>
    <s v="wall_5"/>
    <n v="1"/>
    <x v="0"/>
    <s v="Double"/>
    <s v="&gt;=1/2&quot;"/>
    <n v="95"/>
    <n v="18682"/>
    <x v="4"/>
    <s v="False"/>
    <s v="True"/>
    <s v="4-6 stories"/>
    <n v="4.1963000297546396"/>
    <s v=""/>
  </r>
  <r>
    <n v="78008"/>
    <s v="wall_6"/>
    <n v="2"/>
    <x v="1"/>
    <s v="Double"/>
    <s v="&gt;=1/2&quot;"/>
    <n v="18"/>
    <n v="3294"/>
    <x v="2"/>
    <s v="False"/>
    <s v="True"/>
    <s v="4-6 stories"/>
    <n v="4.1963000297546396"/>
    <s v=""/>
  </r>
  <r>
    <n v="78009"/>
    <s v="wall_5"/>
    <n v="1"/>
    <x v="1"/>
    <s v="Double"/>
    <s v="&gt;=1/2&quot;"/>
    <n v="80"/>
    <n v="18100"/>
    <x v="2"/>
    <s v="False"/>
    <s v="True"/>
    <s v="4-6 stories"/>
    <n v="4.6804881095886204"/>
    <s v=""/>
  </r>
  <r>
    <n v="78009"/>
    <s v="wall_6"/>
    <n v="2"/>
    <x v="1"/>
    <s v="Double"/>
    <s v="&gt;=1/2&quot;"/>
    <n v="30"/>
    <n v="8565"/>
    <x v="2"/>
    <s v="False"/>
    <s v="True"/>
    <s v="4-6 stories"/>
    <n v="4.6804881095886204"/>
    <s v=""/>
  </r>
  <r>
    <n v="78010"/>
    <s v="wall_3"/>
    <n v="1"/>
    <x v="0"/>
    <s v="Double"/>
    <s v="&gt;=1/2&quot;"/>
    <n v="100"/>
    <n v="12096"/>
    <x v="4"/>
    <s v="False"/>
    <s v="True"/>
    <s v="7+ stories"/>
    <n v="5.5314860343933097"/>
    <s v=""/>
  </r>
  <r>
    <n v="78010"/>
    <s v="wall_4"/>
    <n v="2"/>
    <x v="1"/>
    <s v="Double"/>
    <s v="&gt;=1/2&quot;"/>
    <n v="12"/>
    <n v="849"/>
    <x v="6"/>
    <s v="False"/>
    <s v="False"/>
    <s v="7+ stories"/>
    <n v="5.5314860343933097"/>
    <s v=""/>
  </r>
  <r>
    <n v="78011"/>
    <s v="wall_5"/>
    <n v="1"/>
    <x v="0"/>
    <s v="Single"/>
    <m/>
    <n v="88"/>
    <n v="10094"/>
    <x v="8"/>
    <s v="False"/>
    <s v="False"/>
    <s v="7+ stories"/>
    <n v="4.6804881095886204"/>
    <s v=""/>
  </r>
  <r>
    <n v="78011"/>
    <s v="wall_6"/>
    <n v="2"/>
    <x v="1"/>
    <s v="Single"/>
    <m/>
    <n v="0"/>
    <n v="54"/>
    <x v="5"/>
    <s v="False"/>
    <s v="False"/>
    <s v="7+ stories"/>
    <n v="4.6804881095886204"/>
    <s v=""/>
  </r>
  <r>
    <n v="78012"/>
    <s v="wall_5"/>
    <n v="1"/>
    <x v="0"/>
    <s v="Double"/>
    <s v="&gt;=1/2&quot;"/>
    <n v="30"/>
    <n v="13721"/>
    <x v="4"/>
    <s v="False"/>
    <s v="True"/>
    <s v="7+ stories"/>
    <n v="5.2655491828918501"/>
    <s v=""/>
  </r>
  <r>
    <n v="80061"/>
    <s v="wall_3"/>
    <n v="1"/>
    <x v="0"/>
    <s v="Double"/>
    <s v="&gt;=1/2&quot;"/>
    <n v="100"/>
    <n v="2648"/>
    <x v="4"/>
    <s v="False"/>
    <s v="True"/>
    <s v="1-3 stories"/>
    <n v="85.864128112792997"/>
    <n v="85.864128112792997"/>
  </r>
  <r>
    <n v="80073"/>
    <s v="wall_5"/>
    <n v="1"/>
    <x v="0"/>
    <s v="Double"/>
    <s v="&gt;=1/2&quot;"/>
    <n v="100"/>
    <n v="1708"/>
    <x v="4"/>
    <s v="False"/>
    <s v="True"/>
    <s v="1-3 stories"/>
    <n v="128.79620361328099"/>
    <n v="128.79620361328099"/>
  </r>
  <r>
    <m/>
    <m/>
    <m/>
    <x v="2"/>
    <m/>
    <m/>
    <m/>
    <m/>
    <x v="9"/>
    <m/>
    <m/>
    <m/>
    <m/>
    <m/>
  </r>
</pivotCacheRecords>
</file>

<file path=xl/pivotCache/pivotCacheRecords4.xml><?xml version="1.0" encoding="utf-8"?>
<pivotCacheRecords xmlns="http://schemas.openxmlformats.org/spreadsheetml/2006/main" xmlns:r="http://schemas.openxmlformats.org/officeDocument/2006/relationships" count="46">
  <r>
    <n v="10323"/>
    <s v="floor_1"/>
    <x v="0"/>
    <n v="0.89999997615814198"/>
    <m/>
    <n v="3038"/>
    <s v="Joist"/>
    <x v="0"/>
    <n v="0.10000000149011599"/>
    <n v="4.5"/>
    <b v="0"/>
    <b v="1"/>
    <s v="True"/>
    <x v="0"/>
    <s v="1-3 stories"/>
    <n v="256.24374389648398"/>
    <n v="256.24374389648398"/>
  </r>
  <r>
    <n v="10400"/>
    <s v="floor_1"/>
    <x v="1"/>
    <n v="1"/>
    <m/>
    <n v="9856"/>
    <s v="Joist"/>
    <x v="1"/>
    <n v="5.9999998658895499E-2"/>
    <n v="3.0999999046325701"/>
    <b v="0"/>
    <b v="1"/>
    <s v="False"/>
    <x v="1"/>
    <s v="1-3 stories"/>
    <n v="34.345653533935497"/>
    <n v="34.345653533935497"/>
  </r>
  <r>
    <n v="10862"/>
    <s v="floor_1"/>
    <x v="1"/>
    <n v="0.75"/>
    <m/>
    <n v="8064"/>
    <s v="Joist"/>
    <x v="1"/>
    <n v="0.10000000149011599"/>
    <n v="3.0999999046325701"/>
    <b v="0"/>
    <b v="1"/>
    <s v="False"/>
    <x v="1"/>
    <s v="1-3 stories"/>
    <n v="85.864128112792997"/>
    <n v="85.864128112792997"/>
  </r>
  <r>
    <n v="11263"/>
    <s v="floor_1"/>
    <x v="2"/>
    <m/>
    <m/>
    <n v="2520"/>
    <s v="Joist"/>
    <x v="2"/>
    <n v="0.230000004172325"/>
    <n v="3.0999999046325701"/>
    <b v="0"/>
    <b v="1"/>
    <s v="False"/>
    <x v="1"/>
    <s v="1-3 stories"/>
    <n v="343.45651245117199"/>
    <n v="343.45651245117199"/>
  </r>
  <r>
    <n v="11290"/>
    <s v="floor_1"/>
    <x v="0"/>
    <n v="0.89999997615814198"/>
    <m/>
    <n v="6456"/>
    <m/>
    <x v="0"/>
    <n v="0.10000000149011599"/>
    <n v="3.0999999046325701"/>
    <b v="0"/>
    <b v="1"/>
    <s v="False"/>
    <x v="1"/>
    <s v="1-3 stories"/>
    <n v="99.650344848632798"/>
    <n v="99.650344848632798"/>
  </r>
  <r>
    <n v="11887"/>
    <s v="floor_1"/>
    <x v="3"/>
    <n v="0.89999997615814198"/>
    <m/>
    <n v="35836"/>
    <s v="Joist"/>
    <x v="3"/>
    <n v="5.4999999701976797E-2"/>
    <n v="3.0999999046325701"/>
    <b v="0"/>
    <b v="1"/>
    <s v="False"/>
    <x v="1"/>
    <s v="1-3 stories"/>
    <n v="53.381153106689503"/>
    <n v="53.381153106689503"/>
  </r>
  <r>
    <n v="12511"/>
    <s v="floor_1"/>
    <x v="0"/>
    <n v="0.89999997615814198"/>
    <m/>
    <n v="12235"/>
    <m/>
    <x v="0"/>
    <n v="0.10000000149011599"/>
    <n v="3.0999999046325701"/>
    <b v="0"/>
    <b v="1"/>
    <s v="False"/>
    <x v="1"/>
    <s v="4-6 stories"/>
    <n v="35.170711517333999"/>
    <s v=""/>
  </r>
  <r>
    <n v="12623"/>
    <s v="floor_1"/>
    <x v="3"/>
    <n v="1"/>
    <s v="R12-R20"/>
    <n v="3672"/>
    <s v="Joist"/>
    <x v="1"/>
    <n v="2.9999999329447701E-2"/>
    <n v="4.5"/>
    <b v="1"/>
    <b v="1"/>
    <s v="False"/>
    <x v="0"/>
    <s v="1-3 stories"/>
    <n v="600.53796386718795"/>
    <n v="600.53796386718795"/>
  </r>
  <r>
    <n v="13628"/>
    <s v="floor_1"/>
    <x v="0"/>
    <n v="0.89999997615814198"/>
    <m/>
    <n v="2128"/>
    <m/>
    <x v="0"/>
    <n v="0.10000000149011599"/>
    <n v="3.0999999046325701"/>
    <b v="0"/>
    <b v="1"/>
    <s v="False"/>
    <x v="0"/>
    <s v="1-3 stories"/>
    <n v="343.45651245117199"/>
    <n v="343.45651245117199"/>
  </r>
  <r>
    <n v="13988"/>
    <s v="floor_1"/>
    <x v="2"/>
    <m/>
    <m/>
    <n v="900"/>
    <s v="Joist"/>
    <x v="2"/>
    <n v="0.230000004172325"/>
    <n v="5"/>
    <b v="0"/>
    <b v="0"/>
    <m/>
    <x v="0"/>
    <s v="1-3 stories"/>
    <n v="114.48550415039099"/>
    <n v="114.48550415039099"/>
  </r>
  <r>
    <n v="14259"/>
    <s v="floor_2"/>
    <x v="4"/>
    <n v="1"/>
    <s v="R12-R20"/>
    <n v="11100"/>
    <s v="Joist"/>
    <x v="3"/>
    <n v="4.5000001788139302E-2"/>
    <n v="4.5"/>
    <b v="1"/>
    <b v="1"/>
    <s v="False"/>
    <x v="0"/>
    <s v="4-6 stories"/>
    <n v="10.1410579681396"/>
    <s v=""/>
  </r>
  <r>
    <n v="20165"/>
    <s v="floor_1"/>
    <x v="3"/>
    <n v="0.89999997615814198"/>
    <m/>
    <n v="3382"/>
    <s v="Joist"/>
    <x v="0"/>
    <n v="5.4999999701976797E-2"/>
    <n v="3.0999999046325701"/>
    <b v="0"/>
    <b v="1"/>
    <s v="False"/>
    <x v="1"/>
    <s v="1-3 stories"/>
    <n v="628.72027587890602"/>
    <n v="628.72027587890602"/>
  </r>
  <r>
    <n v="20566"/>
    <s v="floor_1"/>
    <x v="0"/>
    <n v="0.89999997615814198"/>
    <m/>
    <n v="3622"/>
    <s v="Joist"/>
    <x v="1"/>
    <n v="0.10000000149011599"/>
    <n v="4.5"/>
    <b v="0"/>
    <b v="1"/>
    <s v="True"/>
    <x v="1"/>
    <s v="1-3 stories"/>
    <n v="754.46429443359398"/>
    <n v="754.46429443359398"/>
  </r>
  <r>
    <n v="20665"/>
    <s v="floor_1"/>
    <x v="0"/>
    <n v="0.89999997615814198"/>
    <m/>
    <n v="3150"/>
    <s v="Joist"/>
    <x v="0"/>
    <n v="0.10000000149011599"/>
    <n v="3.0999999046325701"/>
    <b v="0"/>
    <b v="1"/>
    <s v="False"/>
    <x v="1"/>
    <s v="1-3 stories"/>
    <n v="685.87664794921898"/>
    <n v="685.87664794921898"/>
  </r>
  <r>
    <n v="20705"/>
    <s v="floor_1"/>
    <x v="0"/>
    <n v="0.89999997615814198"/>
    <m/>
    <n v="5540"/>
    <m/>
    <x v="0"/>
    <n v="0.10000000149011599"/>
    <n v="3.0999999046325701"/>
    <b v="0"/>
    <b v="1"/>
    <s v="False"/>
    <x v="0"/>
    <s v="1-3 stories"/>
    <n v="1257.44055175781"/>
    <n v="1257.44055175781"/>
  </r>
  <r>
    <n v="20803"/>
    <s v="floor_1"/>
    <x v="0"/>
    <n v="0.89999997615814198"/>
    <m/>
    <n v="2825"/>
    <s v="Joist"/>
    <x v="0"/>
    <n v="0.10000000149011599"/>
    <n v="3.0999999046325701"/>
    <b v="0"/>
    <b v="1"/>
    <s v="False"/>
    <x v="1"/>
    <s v="1-3 stories"/>
    <n v="838.293701171875"/>
    <n v="838.293701171875"/>
  </r>
  <r>
    <n v="21000"/>
    <s v="floor_1"/>
    <x v="0"/>
    <n v="0.89999997615814198"/>
    <m/>
    <n v="12776"/>
    <s v="Joist"/>
    <x v="1"/>
    <n v="0.10000000149011599"/>
    <n v="4.5"/>
    <b v="0"/>
    <b v="1"/>
    <s v="True"/>
    <x v="0"/>
    <s v="1-3 stories"/>
    <n v="251.48811340332"/>
    <n v="251.48811340332"/>
  </r>
  <r>
    <n v="21268"/>
    <s v="floor_1"/>
    <x v="2"/>
    <m/>
    <m/>
    <n v="2158"/>
    <s v="Joist"/>
    <x v="0"/>
    <n v="0.230000004172325"/>
    <n v="3.0999999046325701"/>
    <b v="0"/>
    <b v="1"/>
    <s v="False"/>
    <x v="0"/>
    <s v="1-3 stories"/>
    <n v="1257.44055175781"/>
    <n v="1257.44055175781"/>
  </r>
  <r>
    <n v="21488"/>
    <s v="floor_1"/>
    <x v="4"/>
    <n v="0.75"/>
    <m/>
    <n v="2924"/>
    <s v="Post and beam"/>
    <x v="0"/>
    <n v="9.00000035762787E-2"/>
    <n v="3.0999999046325701"/>
    <b v="0"/>
    <b v="1"/>
    <s v="False"/>
    <x v="1"/>
    <s v="1-3 stories"/>
    <n v="943.08038330078102"/>
    <n v="943.08038330078102"/>
  </r>
  <r>
    <n v="21576"/>
    <s v="floor_1"/>
    <x v="0"/>
    <n v="0.89999997615814198"/>
    <m/>
    <n v="11520"/>
    <s v="Joist"/>
    <x v="0"/>
    <n v="0.10000000149011599"/>
    <n v="4.5"/>
    <b v="0"/>
    <b v="1"/>
    <s v="True"/>
    <x v="1"/>
    <s v="1-3 stories"/>
    <n v="314.36013793945301"/>
    <n v="314.36013793945301"/>
  </r>
  <r>
    <n v="21691"/>
    <s v="floor_1"/>
    <x v="2"/>
    <m/>
    <s v="R3-R11"/>
    <n v="6726"/>
    <s v="Post and beam"/>
    <x v="0"/>
    <n v="0.230000004172325"/>
    <n v="7.5999999046325701"/>
    <b v="1"/>
    <b v="1"/>
    <s v="True"/>
    <x v="0"/>
    <s v="1-3 stories"/>
    <n v="943.08038330078102"/>
    <n v="943.08038330078102"/>
  </r>
  <r>
    <n v="21985"/>
    <s v="floor_1"/>
    <x v="4"/>
    <n v="0.75"/>
    <s v="R3-R11"/>
    <n v="3240"/>
    <s v="Post and beam"/>
    <x v="3"/>
    <n v="9.00000035762787E-2"/>
    <n v="3.9000000953674299"/>
    <b v="1"/>
    <b v="1"/>
    <s v="False"/>
    <x v="0"/>
    <s v="1-3 stories"/>
    <n v="754.46429443359398"/>
    <n v="754.46429443359398"/>
  </r>
  <r>
    <n v="21998"/>
    <s v="floor_1"/>
    <x v="2"/>
    <m/>
    <s v="R3-R11"/>
    <n v="4207"/>
    <s v="Joist"/>
    <x v="3"/>
    <n v="0.230000004172325"/>
    <n v="3.9000000953674299"/>
    <b v="1"/>
    <b v="1"/>
    <s v="False"/>
    <x v="0"/>
    <s v="1-3 stories"/>
    <n v="943.08038330078102"/>
    <n v="943.08038330078102"/>
  </r>
  <r>
    <n v="22058"/>
    <s v="floor_1"/>
    <x v="0"/>
    <n v="0.89999997615814198"/>
    <m/>
    <n v="11880"/>
    <s v="Joist"/>
    <x v="1"/>
    <n v="0.10000000149011599"/>
    <n v="3.0999999046325701"/>
    <b v="0"/>
    <b v="1"/>
    <s v="False"/>
    <x v="0"/>
    <s v="1-3 stories"/>
    <n v="251.48811340332"/>
    <n v="251.48811340332"/>
  </r>
  <r>
    <n v="22450"/>
    <s v="floor_1"/>
    <x v="4"/>
    <n v="0.89999997615814198"/>
    <s v="R3-R11"/>
    <n v="5123"/>
    <s v="Joist"/>
    <x v="0"/>
    <n v="6.4999997615814195E-2"/>
    <n v="7.5999999046325701"/>
    <b v="1"/>
    <b v="1"/>
    <s v="True"/>
    <x v="1"/>
    <s v="1-3 stories"/>
    <n v="538.903076171875"/>
    <n v="538.903076171875"/>
  </r>
  <r>
    <n v="23425"/>
    <s v="floor_1"/>
    <x v="0"/>
    <n v="0.89999997615814198"/>
    <m/>
    <n v="3340"/>
    <s v="Joist"/>
    <x v="0"/>
    <n v="0.10000000149011599"/>
    <n v="4.5"/>
    <b v="0"/>
    <b v="1"/>
    <s v="True"/>
    <x v="1"/>
    <s v="1-3 stories"/>
    <n v="754.46429443359398"/>
    <n v="754.46429443359398"/>
  </r>
  <r>
    <n v="24139"/>
    <s v="floor_1"/>
    <x v="2"/>
    <m/>
    <m/>
    <n v="7280"/>
    <s v="Post and beam"/>
    <x v="0"/>
    <n v="0.230000004172325"/>
    <n v="4.5"/>
    <b v="0"/>
    <b v="1"/>
    <s v="True"/>
    <x v="0"/>
    <s v="1-3 stories"/>
    <n v="471.54019165039102"/>
    <n v="471.54019165039102"/>
  </r>
  <r>
    <n v="24637"/>
    <s v="floor_1"/>
    <x v="4"/>
    <n v="1"/>
    <s v="R3-R11"/>
    <n v="26980"/>
    <s v="Joist"/>
    <x v="4"/>
    <n v="4.5000001788139302E-2"/>
    <n v="7.5999999046325701"/>
    <b v="1"/>
    <b v="1"/>
    <s v="True"/>
    <x v="1"/>
    <s v="1-3 stories"/>
    <n v="209.57342529296901"/>
    <n v="209.57342529296901"/>
  </r>
  <r>
    <n v="71003"/>
    <s v="floor_1"/>
    <x v="4"/>
    <n v="1"/>
    <m/>
    <n v="2290"/>
    <s v="Joist"/>
    <x v="2"/>
    <n v="4.5000001788139302E-2"/>
    <n v="3.0999999046325701"/>
    <b v="0"/>
    <b v="1"/>
    <s v="False"/>
    <x v="1"/>
    <s v="1-3 stories"/>
    <n v="182.53904724121099"/>
    <n v="182.53904724121099"/>
  </r>
  <r>
    <n v="71014"/>
    <s v="floor_1"/>
    <x v="1"/>
    <n v="0.89999997615814198"/>
    <m/>
    <n v="2992"/>
    <s v="Joist"/>
    <x v="2"/>
    <n v="7.5000002980232197E-2"/>
    <n v="3.0999999046325701"/>
    <b v="0"/>
    <b v="1"/>
    <s v="False"/>
    <x v="1"/>
    <s v="1-3 stories"/>
    <n v="136.90428161621099"/>
    <n v="136.90428161621099"/>
  </r>
  <r>
    <n v="72001"/>
    <s v="floor_1"/>
    <x v="1"/>
    <n v="0.5"/>
    <m/>
    <n v="4522"/>
    <s v="Joist"/>
    <x v="1"/>
    <n v="0.144999995827675"/>
    <n v="3.0999999046325701"/>
    <b v="0"/>
    <b v="1"/>
    <s v="False"/>
    <x v="0"/>
    <s v="1-3 stories"/>
    <n v="78.231018066406307"/>
    <n v="78.231018066406307"/>
  </r>
  <r>
    <n v="72007"/>
    <s v="floor_1"/>
    <x v="3"/>
    <n v="1"/>
    <m/>
    <n v="4836"/>
    <s v="Joist"/>
    <x v="2"/>
    <n v="2.9999999329447701E-2"/>
    <n v="3.0999999046325701"/>
    <b v="0"/>
    <b v="1"/>
    <s v="False"/>
    <x v="1"/>
    <s v="1-3 stories"/>
    <n v="91.269523620605497"/>
    <n v="91.269523620605497"/>
  </r>
  <r>
    <n v="72010"/>
    <s v="floor_1"/>
    <x v="2"/>
    <m/>
    <m/>
    <n v="870"/>
    <s v="Joist"/>
    <x v="2"/>
    <n v="0.230000004172325"/>
    <n v="3.0999999046325701"/>
    <b v="0"/>
    <b v="1"/>
    <s v="False"/>
    <x v="0"/>
    <s v="4-6 stories"/>
    <n v="91.269523620605497"/>
    <s v=""/>
  </r>
  <r>
    <n v="73001"/>
    <s v="floor_1"/>
    <x v="2"/>
    <m/>
    <m/>
    <n v="4879"/>
    <s v="Joist"/>
    <x v="1"/>
    <n v="0.230000004172325"/>
    <n v="3.0999999046325701"/>
    <b v="0"/>
    <b v="1"/>
    <s v="False"/>
    <x v="0"/>
    <s v="4-6 stories"/>
    <n v="60.846343994140597"/>
    <s v=""/>
  </r>
  <r>
    <n v="73002"/>
    <s v="floor_1"/>
    <x v="5"/>
    <n v="0.89999997615814198"/>
    <m/>
    <n v="3287"/>
    <s v="Joist"/>
    <x v="2"/>
    <n v="5.9999998658895499E-2"/>
    <n v="3.0999999046325701"/>
    <b v="0"/>
    <b v="1"/>
    <s v="False"/>
    <x v="1"/>
    <s v="4-6 stories"/>
    <n v="49.783370971679702"/>
    <s v=""/>
  </r>
  <r>
    <n v="73006"/>
    <s v="floor_1"/>
    <x v="2"/>
    <m/>
    <m/>
    <n v="5900"/>
    <s v="Joist"/>
    <x v="1"/>
    <n v="0.230000004172325"/>
    <n v="3.0999999046325701"/>
    <b v="0"/>
    <b v="1"/>
    <s v="False"/>
    <x v="0"/>
    <s v="1-3 stories"/>
    <n v="73.015617370605497"/>
    <n v="73.015617370605497"/>
  </r>
  <r>
    <n v="74005"/>
    <s v="floor_1"/>
    <x v="0"/>
    <n v="0.89999997615814198"/>
    <m/>
    <n v="245"/>
    <s v="Joist"/>
    <x v="0"/>
    <n v="0.10000000149011599"/>
    <n v="3.0999999046325701"/>
    <b v="0"/>
    <b v="1"/>
    <s v="False"/>
    <x v="0"/>
    <s v="1-3 stories"/>
    <n v="40.564231872558601"/>
    <n v="40.564231872558601"/>
  </r>
  <r>
    <n v="74006"/>
    <s v="floor_1"/>
    <x v="0"/>
    <n v="0.89999997615814198"/>
    <m/>
    <n v="7146"/>
    <m/>
    <x v="4"/>
    <n v="0.10000000149011599"/>
    <n v="3.0999999046325701"/>
    <b v="0"/>
    <b v="1"/>
    <s v="False"/>
    <x v="1"/>
    <s v="1-3 stories"/>
    <n v="47.6188774108887"/>
    <n v="47.6188774108887"/>
  </r>
  <r>
    <n v="75005"/>
    <s v="floor_1"/>
    <x v="5"/>
    <n v="1"/>
    <m/>
    <n v="5575"/>
    <s v="Joist"/>
    <x v="1"/>
    <n v="3.5000000149011598E-2"/>
    <n v="3.0999999046325701"/>
    <b v="0"/>
    <b v="1"/>
    <s v="False"/>
    <x v="0"/>
    <s v="4-6 stories"/>
    <n v="22.817380905151399"/>
    <s v=""/>
  </r>
  <r>
    <n v="75008"/>
    <s v="floor_1"/>
    <x v="4"/>
    <n v="0.89999997615814198"/>
    <m/>
    <n v="6358"/>
    <s v="Joist"/>
    <x v="1"/>
    <n v="6.4999997615814195E-2"/>
    <n v="3.0999999046325701"/>
    <b v="0"/>
    <b v="1"/>
    <s v="False"/>
    <x v="0"/>
    <s v="1-3 stories"/>
    <n v="26.7130317687988"/>
    <n v="26.7130317687988"/>
  </r>
  <r>
    <n v="75009"/>
    <s v="floor_2"/>
    <x v="0"/>
    <n v="0.89999997615814198"/>
    <m/>
    <n v="4071"/>
    <s v="Joist"/>
    <x v="0"/>
    <n v="0.10000000149011599"/>
    <n v="3.0999999046325701"/>
    <b v="0"/>
    <b v="1"/>
    <s v="False"/>
    <x v="1"/>
    <s v="1-3 stories"/>
    <n v="28.082929611206101"/>
    <n v="28.082929611206101"/>
  </r>
  <r>
    <n v="75010"/>
    <s v="floor_1"/>
    <x v="4"/>
    <n v="0.75"/>
    <m/>
    <n v="7972"/>
    <s v="Joist"/>
    <x v="3"/>
    <n v="9.00000035762787E-2"/>
    <n v="3.0999999046325701"/>
    <b v="0"/>
    <b v="1"/>
    <s v="False"/>
    <x v="0"/>
    <s v="1-3 stories"/>
    <n v="30.423171997070298"/>
    <n v="30.423171997070298"/>
  </r>
  <r>
    <n v="76005"/>
    <s v="floor_1"/>
    <x v="5"/>
    <n v="0.89999997615814198"/>
    <m/>
    <n v="12151"/>
    <s v="Joist"/>
    <x v="1"/>
    <n v="5.9999998658895499E-2"/>
    <n v="3.0999999046325701"/>
    <b v="0"/>
    <b v="1"/>
    <s v="False"/>
    <x v="1"/>
    <s v="4-6 stories"/>
    <n v="17.665067672729499"/>
    <s v=""/>
  </r>
  <r>
    <n v="76007"/>
    <s v="floor_1"/>
    <x v="4"/>
    <n v="0.89999997615814198"/>
    <m/>
    <n v="11717"/>
    <s v="Joist"/>
    <x v="3"/>
    <n v="6.4999997615814195E-2"/>
    <n v="3.0999999046325701"/>
    <b v="0"/>
    <b v="1"/>
    <s v="False"/>
    <x v="1"/>
    <s v="4-6 stories"/>
    <n v="13.195593833923301"/>
    <s v=""/>
  </r>
  <r>
    <n v="80073"/>
    <s v="floor_1"/>
    <x v="4"/>
    <n v="0.75"/>
    <m/>
    <n v="1641"/>
    <s v="Post and beam"/>
    <x v="0"/>
    <n v="9.00000035762787E-2"/>
    <n v="3.0999999046325701"/>
    <b v="0"/>
    <b v="1"/>
    <s v="False"/>
    <x v="1"/>
    <s v="1-3 stories"/>
    <n v="128.79620361328099"/>
    <n v="128.79620361328099"/>
  </r>
  <r>
    <m/>
    <m/>
    <x v="6"/>
    <m/>
    <m/>
    <m/>
    <m/>
    <x v="0"/>
    <m/>
    <m/>
    <m/>
    <m/>
    <m/>
    <x v="2"/>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11" cacheId="15"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N3:AE9" firstHeaderRow="1" firstDataRow="2" firstDataCol="1"/>
  <pivotFields count="12">
    <pivotField showAll="0"/>
    <pivotField showAll="0" defaultSubtotal="0"/>
    <pivotField showAll="0" defaultSubtotal="0"/>
    <pivotField axis="axisRow" showAll="0">
      <items count="10">
        <item x="5"/>
        <item x="2"/>
        <item x="1"/>
        <item h="1" x="6"/>
        <item h="1" x="0"/>
        <item h="1" x="4"/>
        <item h="1" x="7"/>
        <item x="3"/>
        <item h="1" x="8"/>
        <item t="default"/>
      </items>
    </pivotField>
    <pivotField showAll="0"/>
    <pivotField showAll="0"/>
    <pivotField axis="axisCol" showAll="0">
      <items count="20">
        <item x="3"/>
        <item x="18"/>
        <item x="12"/>
        <item x="14"/>
        <item x="10"/>
        <item x="13"/>
        <item x="16"/>
        <item x="15"/>
        <item x="6"/>
        <item x="2"/>
        <item x="11"/>
        <item x="0"/>
        <item x="9"/>
        <item x="1"/>
        <item x="17"/>
        <item x="8"/>
        <item x="5"/>
        <item x="4"/>
        <item x="7"/>
        <item t="default"/>
      </items>
    </pivotField>
    <pivotField showAll="0"/>
    <pivotField showAll="0" defaultSubtotal="0"/>
    <pivotField showAll="0" defaultSubtotal="0"/>
    <pivotField showAll="0"/>
    <pivotField dataField="1" showAll="0" defaultSubtotal="0"/>
  </pivotFields>
  <rowFields count="1">
    <field x="3"/>
  </rowFields>
  <rowItems count="5">
    <i>
      <x/>
    </i>
    <i>
      <x v="1"/>
    </i>
    <i>
      <x v="2"/>
    </i>
    <i>
      <x v="7"/>
    </i>
    <i t="grand">
      <x/>
    </i>
  </rowItems>
  <colFields count="1">
    <field x="6"/>
  </colFields>
  <colItems count="17">
    <i>
      <x/>
    </i>
    <i>
      <x v="1"/>
    </i>
    <i>
      <x v="4"/>
    </i>
    <i>
      <x v="5"/>
    </i>
    <i>
      <x v="6"/>
    </i>
    <i>
      <x v="8"/>
    </i>
    <i>
      <x v="9"/>
    </i>
    <i>
      <x v="10"/>
    </i>
    <i>
      <x v="11"/>
    </i>
    <i>
      <x v="12"/>
    </i>
    <i>
      <x v="13"/>
    </i>
    <i>
      <x v="14"/>
    </i>
    <i>
      <x v="15"/>
    </i>
    <i>
      <x v="16"/>
    </i>
    <i>
      <x v="17"/>
    </i>
    <i>
      <x v="18"/>
    </i>
    <i t="grand">
      <x/>
    </i>
  </colItems>
  <dataFields count="1">
    <dataField name="Sum of LowRiseWght" fld="11"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P22:Q33" firstHeaderRow="1" firstDataRow="1" firstDataCol="1"/>
  <pivotFields count="14">
    <pivotField showAll="0"/>
    <pivotField showAll="0" defaultSubtotal="0"/>
    <pivotField showAll="0" defaultSubtotal="0"/>
    <pivotField showAll="0" defaultSubtotal="0">
      <items count="3">
        <item x="1"/>
        <item x="0"/>
        <item x="2"/>
      </items>
    </pivotField>
    <pivotField showAll="0" defaultSubtotal="0"/>
    <pivotField showAll="0" defaultSubtotal="0"/>
    <pivotField showAll="0" defaultSubtotal="0"/>
    <pivotField showAll="0"/>
    <pivotField axis="axisRow" showAll="0">
      <items count="11">
        <item x="0"/>
        <item x="2"/>
        <item x="6"/>
        <item x="8"/>
        <item x="1"/>
        <item x="3"/>
        <item x="4"/>
        <item x="5"/>
        <item x="7"/>
        <item x="9"/>
        <item t="default"/>
      </items>
    </pivotField>
    <pivotField showAll="0" defaultSubtotal="0"/>
    <pivotField showAll="0" defaultSubtotal="0"/>
    <pivotField showAll="0" defaultSubtotal="0"/>
    <pivotField showAll="0"/>
    <pivotField dataField="1" showAll="0" defaultSubtotal="0"/>
  </pivotFields>
  <rowFields count="1">
    <field x="8"/>
  </rowFields>
  <rowItems count="11">
    <i>
      <x/>
    </i>
    <i>
      <x v="1"/>
    </i>
    <i>
      <x v="2"/>
    </i>
    <i>
      <x v="3"/>
    </i>
    <i>
      <x v="4"/>
    </i>
    <i>
      <x v="5"/>
    </i>
    <i>
      <x v="6"/>
    </i>
    <i>
      <x v="7"/>
    </i>
    <i>
      <x v="8"/>
    </i>
    <i>
      <x v="9"/>
    </i>
    <i t="grand">
      <x/>
    </i>
  </rowItems>
  <colItems count="1">
    <i/>
  </colItems>
  <dataFields count="1">
    <dataField name="Sum of LowRiseWght" fld="13" baseField="0" baseItem="0"/>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3" cacheId="16"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P7:R12" firstHeaderRow="1" firstDataRow="2" firstDataCol="1"/>
  <pivotFields count="14">
    <pivotField showAll="0"/>
    <pivotField showAll="0" defaultSubtotal="0"/>
    <pivotField showAll="0" defaultSubtotal="0"/>
    <pivotField axis="axisRow" showAll="0" defaultSubtotal="0">
      <items count="3">
        <item x="1"/>
        <item x="0"/>
        <item x="2"/>
      </items>
    </pivotField>
    <pivotField showAll="0" defaultSubtotal="0"/>
    <pivotField showAll="0" defaultSubtotal="0"/>
    <pivotField showAll="0" defaultSubtotal="0"/>
    <pivotField showAll="0"/>
    <pivotField dataField="1" showAll="0"/>
    <pivotField showAll="0" defaultSubtotal="0"/>
    <pivotField showAll="0" defaultSubtotal="0"/>
    <pivotField showAll="0" defaultSubtotal="0"/>
    <pivotField showAll="0" defaultSubtotal="0"/>
    <pivotField dataField="1" showAll="0" defaultSubtotal="0"/>
  </pivotFields>
  <rowFields count="1">
    <field x="3"/>
  </rowFields>
  <rowItems count="4">
    <i>
      <x/>
    </i>
    <i>
      <x v="1"/>
    </i>
    <i>
      <x v="2"/>
    </i>
    <i t="grand">
      <x/>
    </i>
  </rowItems>
  <colFields count="1">
    <field x="-2"/>
  </colFields>
  <colItems count="2">
    <i>
      <x/>
    </i>
    <i i="1">
      <x v="1"/>
    </i>
  </colItems>
  <dataFields count="2">
    <dataField name="Average of u_window" fld="8" subtotal="average" baseField="0" baseItem="0"/>
    <dataField name="Sum of LowRiseWght" fld="13"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R10:AH20" firstHeaderRow="1" firstDataRow="3" firstDataCol="1"/>
  <pivotFields count="17">
    <pivotField showAll="0"/>
    <pivotField showAll="0" defaultSubtotal="0"/>
    <pivotField axis="axisRow" showAll="0">
      <items count="8">
        <item x="2"/>
        <item x="1"/>
        <item x="4"/>
        <item x="5"/>
        <item x="3"/>
        <item x="0"/>
        <item x="6"/>
        <item t="default"/>
      </items>
    </pivotField>
    <pivotField showAll="0"/>
    <pivotField showAll="0"/>
    <pivotField showAll="0"/>
    <pivotField showAll="0"/>
    <pivotField axis="axisCol" showAll="0">
      <items count="6">
        <item x="1"/>
        <item x="3"/>
        <item x="4"/>
        <item x="2"/>
        <item x="0"/>
        <item t="default"/>
      </items>
    </pivotField>
    <pivotField showAll="0" defaultSubtotal="0"/>
    <pivotField showAll="0" defaultSubtotal="0"/>
    <pivotField showAll="0"/>
    <pivotField showAll="0"/>
    <pivotField showAll="0"/>
    <pivotField axis="axisCol" showAll="0">
      <items count="4">
        <item x="0"/>
        <item x="1"/>
        <item x="2"/>
        <item t="default"/>
      </items>
    </pivotField>
    <pivotField showAll="0" defaultSubtotal="0"/>
    <pivotField showAll="0"/>
    <pivotField dataField="1" showAll="0" defaultSubtotal="0"/>
  </pivotFields>
  <rowFields count="1">
    <field x="2"/>
  </rowFields>
  <rowItems count="8">
    <i>
      <x/>
    </i>
    <i>
      <x v="1"/>
    </i>
    <i>
      <x v="2"/>
    </i>
    <i>
      <x v="3"/>
    </i>
    <i>
      <x v="4"/>
    </i>
    <i>
      <x v="5"/>
    </i>
    <i>
      <x v="6"/>
    </i>
    <i t="grand">
      <x/>
    </i>
  </rowItems>
  <colFields count="2">
    <field x="7"/>
    <field x="13"/>
  </colFields>
  <colItems count="16">
    <i>
      <x/>
      <x/>
    </i>
    <i r="1">
      <x v="1"/>
    </i>
    <i t="default">
      <x/>
    </i>
    <i>
      <x v="1"/>
      <x/>
    </i>
    <i r="1">
      <x v="1"/>
    </i>
    <i t="default">
      <x v="1"/>
    </i>
    <i>
      <x v="2"/>
      <x v="1"/>
    </i>
    <i t="default">
      <x v="2"/>
    </i>
    <i>
      <x v="3"/>
      <x/>
    </i>
    <i r="1">
      <x v="1"/>
    </i>
    <i t="default">
      <x v="3"/>
    </i>
    <i>
      <x v="4"/>
      <x/>
    </i>
    <i r="1">
      <x v="1"/>
    </i>
    <i r="1">
      <x v="2"/>
    </i>
    <i t="default">
      <x v="4"/>
    </i>
    <i t="grand">
      <x/>
    </i>
  </colItems>
  <dataFields count="1">
    <dataField name="Sum of LowRiseWght" fld="16"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dimension ref="C1:F27"/>
  <sheetViews>
    <sheetView topLeftCell="B1" workbookViewId="0">
      <selection activeCell="D8" sqref="D8"/>
    </sheetView>
  </sheetViews>
  <sheetFormatPr defaultRowHeight="15"/>
  <cols>
    <col min="1" max="1" width="4" style="118" customWidth="1"/>
    <col min="2" max="2" width="4.28515625" style="118" customWidth="1"/>
    <col min="3" max="3" width="28.140625" style="118" customWidth="1"/>
    <col min="4" max="4" width="74.42578125" style="118" customWidth="1"/>
    <col min="5" max="5" width="44.7109375" style="118" customWidth="1"/>
    <col min="6" max="6" width="31.5703125" style="118" customWidth="1"/>
    <col min="7" max="16384" width="9.140625" style="118"/>
  </cols>
  <sheetData>
    <row r="1" spans="3:6" ht="15.75" thickBot="1"/>
    <row r="2" spans="3:6" ht="19.5" thickBot="1">
      <c r="C2" s="119" t="s">
        <v>327</v>
      </c>
      <c r="D2" s="120" t="s">
        <v>2178</v>
      </c>
      <c r="E2" s="120"/>
      <c r="F2" s="121"/>
    </row>
    <row r="3" spans="3:6">
      <c r="C3" s="122" t="s">
        <v>295</v>
      </c>
      <c r="D3" s="122" t="s">
        <v>296</v>
      </c>
      <c r="E3" s="122" t="s">
        <v>297</v>
      </c>
      <c r="F3" s="122" t="s">
        <v>328</v>
      </c>
    </row>
    <row r="4" spans="3:6" ht="30">
      <c r="C4" s="123" t="s">
        <v>298</v>
      </c>
      <c r="D4" s="124" t="s">
        <v>331</v>
      </c>
      <c r="E4" s="125"/>
      <c r="F4" s="126" t="s">
        <v>338</v>
      </c>
    </row>
    <row r="5" spans="3:6" ht="30">
      <c r="C5" s="123" t="s">
        <v>299</v>
      </c>
      <c r="D5" s="127" t="s">
        <v>2175</v>
      </c>
      <c r="E5" s="125" t="s">
        <v>1195</v>
      </c>
      <c r="F5" s="126" t="s">
        <v>2176</v>
      </c>
    </row>
    <row r="6" spans="3:6">
      <c r="C6" s="123" t="s">
        <v>300</v>
      </c>
      <c r="D6" s="127" t="s">
        <v>2177</v>
      </c>
      <c r="E6" s="127"/>
      <c r="F6" s="126"/>
    </row>
    <row r="7" spans="3:6">
      <c r="C7" s="123" t="s">
        <v>301</v>
      </c>
      <c r="D7" s="127" t="s">
        <v>333</v>
      </c>
      <c r="E7" s="127"/>
      <c r="F7" s="128"/>
    </row>
    <row r="8" spans="3:6">
      <c r="C8" s="123" t="s">
        <v>329</v>
      </c>
      <c r="D8" s="127" t="s">
        <v>332</v>
      </c>
      <c r="E8" s="129"/>
      <c r="F8" s="126"/>
    </row>
    <row r="9" spans="3:6">
      <c r="C9" s="123" t="s">
        <v>302</v>
      </c>
      <c r="D9" s="127" t="s">
        <v>2179</v>
      </c>
      <c r="E9" s="129"/>
      <c r="F9" s="126"/>
    </row>
    <row r="10" spans="3:6">
      <c r="C10" s="123" t="s">
        <v>303</v>
      </c>
      <c r="D10" s="127" t="s">
        <v>334</v>
      </c>
      <c r="E10" s="125"/>
      <c r="F10" s="126" t="s">
        <v>1196</v>
      </c>
    </row>
    <row r="11" spans="3:6">
      <c r="C11" s="123" t="s">
        <v>304</v>
      </c>
      <c r="D11" s="127" t="s">
        <v>335</v>
      </c>
      <c r="E11" s="129"/>
      <c r="F11" s="126"/>
    </row>
    <row r="12" spans="3:6" ht="30">
      <c r="C12" s="123" t="s">
        <v>305</v>
      </c>
      <c r="D12" s="130" t="s">
        <v>2180</v>
      </c>
      <c r="E12" s="131"/>
      <c r="F12" s="126" t="s">
        <v>2181</v>
      </c>
    </row>
    <row r="13" spans="3:6">
      <c r="C13" s="123" t="s">
        <v>330</v>
      </c>
      <c r="D13" s="129" t="s">
        <v>2192</v>
      </c>
      <c r="E13" s="129" t="s">
        <v>336</v>
      </c>
      <c r="F13" s="126" t="s">
        <v>337</v>
      </c>
    </row>
    <row r="21" spans="3:3">
      <c r="C21" s="132"/>
    </row>
    <row r="22" spans="3:3">
      <c r="C22" s="132"/>
    </row>
    <row r="23" spans="3:3">
      <c r="C23" s="132"/>
    </row>
    <row r="24" spans="3:3">
      <c r="C24" s="132"/>
    </row>
    <row r="25" spans="3:3">
      <c r="C25" s="132"/>
    </row>
    <row r="26" spans="3:3">
      <c r="C26" s="132"/>
    </row>
    <row r="27" spans="3:3">
      <c r="C27" s="132"/>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BL630"/>
  <sheetViews>
    <sheetView workbookViewId="0">
      <selection activeCell="K3" sqref="K3"/>
    </sheetView>
  </sheetViews>
  <sheetFormatPr defaultRowHeight="12.75"/>
  <cols>
    <col min="1" max="3" width="9.140625" style="67"/>
    <col min="4" max="4" width="11.140625" style="67" customWidth="1"/>
    <col min="5" max="13" width="9.140625" style="67"/>
    <col min="14" max="14" width="20.7109375" style="67" customWidth="1"/>
    <col min="15" max="15" width="17" style="67" bestFit="1" customWidth="1"/>
    <col min="16" max="18" width="12" style="67" customWidth="1"/>
    <col min="19" max="19" width="3" style="67" customWidth="1"/>
    <col min="20" max="23" width="12" style="67" customWidth="1"/>
    <col min="24" max="24" width="3" style="67" customWidth="1"/>
    <col min="25" max="25" width="12" style="67" customWidth="1"/>
    <col min="26" max="26" width="3" style="67" customWidth="1"/>
    <col min="27" max="31" width="12" style="67" customWidth="1"/>
    <col min="32" max="32" width="22" style="67" customWidth="1"/>
    <col min="33" max="33" width="14.5703125" style="67" customWidth="1"/>
    <col min="34" max="34" width="22" style="67" customWidth="1"/>
    <col min="35" max="35" width="14.5703125" style="67" customWidth="1"/>
    <col min="36" max="36" width="22" style="67" customWidth="1"/>
    <col min="37" max="37" width="14.5703125" style="67" customWidth="1"/>
    <col min="38" max="38" width="22" style="67" customWidth="1"/>
    <col min="39" max="39" width="19.85546875" style="67" customWidth="1"/>
    <col min="40" max="40" width="27.28515625" style="67" customWidth="1"/>
    <col min="41" max="41" width="10" style="67" customWidth="1"/>
    <col min="42" max="44" width="9" style="67" customWidth="1"/>
    <col min="45" max="49" width="10" style="67" customWidth="1"/>
    <col min="50" max="50" width="9" style="67" customWidth="1"/>
    <col min="51" max="51" width="11" style="67" customWidth="1"/>
    <col min="52" max="52" width="12" style="67" customWidth="1"/>
    <col min="53" max="55" width="9" style="67" customWidth="1"/>
    <col min="56" max="58" width="10" style="67" customWidth="1"/>
    <col min="59" max="60" width="11" style="67" customWidth="1"/>
    <col min="61" max="61" width="9" style="67" customWidth="1"/>
    <col min="62" max="62" width="11" style="67" customWidth="1"/>
    <col min="63" max="63" width="12" style="67" customWidth="1"/>
    <col min="64" max="64" width="12" style="67" bestFit="1" customWidth="1"/>
    <col min="65" max="16384" width="9.140625" style="67"/>
  </cols>
  <sheetData>
    <row r="1" spans="1:64">
      <c r="A1" s="68" t="s">
        <v>1680</v>
      </c>
      <c r="B1" s="68"/>
      <c r="C1" s="68"/>
    </row>
    <row r="2" spans="1:64">
      <c r="A2" t="s">
        <v>168</v>
      </c>
      <c r="B2" t="s">
        <v>1681</v>
      </c>
      <c r="C2" t="s">
        <v>1682</v>
      </c>
      <c r="D2" t="s">
        <v>189</v>
      </c>
      <c r="E2" t="s">
        <v>190</v>
      </c>
      <c r="F2" t="s">
        <v>191</v>
      </c>
      <c r="G2" t="s">
        <v>192</v>
      </c>
      <c r="H2" t="s">
        <v>193</v>
      </c>
      <c r="I2" t="s">
        <v>1683</v>
      </c>
      <c r="J2" s="67" t="s">
        <v>1915</v>
      </c>
      <c r="K2" s="67" t="s">
        <v>1916</v>
      </c>
    </row>
    <row r="3" spans="1:64">
      <c r="A3">
        <v>128</v>
      </c>
      <c r="B3" t="s">
        <v>1684</v>
      </c>
      <c r="C3">
        <v>1</v>
      </c>
      <c r="D3" t="s">
        <v>204</v>
      </c>
      <c r="E3">
        <v>1</v>
      </c>
      <c r="F3">
        <v>3975</v>
      </c>
      <c r="G3">
        <v>30</v>
      </c>
      <c r="H3" t="s">
        <v>201</v>
      </c>
      <c r="I3">
        <v>2.5000000372528999E-2</v>
      </c>
      <c r="J3" s="67" t="str">
        <f>VLOOKUP($A3,MFMaster!$A$2:$C$300,2,FALSE)</f>
        <v>1-3 stories</v>
      </c>
      <c r="K3" s="67">
        <f>VLOOKUP($A3,MFMaster!$A$2:$CG$232,85,FALSE)</f>
        <v>443.80252075195301</v>
      </c>
      <c r="N3" s="69" t="s">
        <v>1917</v>
      </c>
      <c r="O3" s="69" t="s">
        <v>211</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row>
    <row r="4" spans="1:64">
      <c r="A4">
        <v>128</v>
      </c>
      <c r="B4" t="s">
        <v>1685</v>
      </c>
      <c r="C4">
        <v>2</v>
      </c>
      <c r="D4" t="s">
        <v>204</v>
      </c>
      <c r="E4">
        <v>1</v>
      </c>
      <c r="F4">
        <v>795</v>
      </c>
      <c r="G4">
        <v>30</v>
      </c>
      <c r="H4" t="s">
        <v>201</v>
      </c>
      <c r="I4">
        <v>2.5000000372528999E-2</v>
      </c>
      <c r="J4" s="67" t="str">
        <f>VLOOKUP($A4,MFMaster!$A$2:$C$300,2,FALSE)</f>
        <v>1-3 stories</v>
      </c>
      <c r="K4" s="67">
        <f>VLOOKUP($A4,MFMaster!$A$2:$CG$232,85,FALSE)</f>
        <v>443.80252075195301</v>
      </c>
      <c r="N4" s="69" t="s">
        <v>209</v>
      </c>
      <c r="O4">
        <v>0</v>
      </c>
      <c r="P4">
        <v>6</v>
      </c>
      <c r="Q4">
        <v>10</v>
      </c>
      <c r="R4">
        <v>12</v>
      </c>
      <c r="S4">
        <v>13</v>
      </c>
      <c r="T4">
        <v>15</v>
      </c>
      <c r="U4">
        <v>19</v>
      </c>
      <c r="V4">
        <v>20</v>
      </c>
      <c r="W4">
        <v>30</v>
      </c>
      <c r="X4">
        <v>35</v>
      </c>
      <c r="Y4">
        <v>38</v>
      </c>
      <c r="Z4">
        <v>40</v>
      </c>
      <c r="AA4">
        <v>49</v>
      </c>
      <c r="AB4">
        <v>50</v>
      </c>
      <c r="AC4" t="s">
        <v>212</v>
      </c>
      <c r="AD4">
        <v>21</v>
      </c>
      <c r="AE4" t="s">
        <v>210</v>
      </c>
      <c r="AF4"/>
      <c r="AG4"/>
      <c r="AH4"/>
      <c r="AI4"/>
      <c r="AJ4"/>
      <c r="AK4"/>
      <c r="AL4"/>
      <c r="AM4"/>
      <c r="AN4"/>
      <c r="AO4"/>
      <c r="AP4"/>
      <c r="AQ4"/>
      <c r="AR4"/>
      <c r="AS4"/>
      <c r="AT4"/>
      <c r="AU4"/>
      <c r="AV4"/>
      <c r="AW4"/>
      <c r="AX4"/>
      <c r="AY4"/>
      <c r="AZ4"/>
      <c r="BA4"/>
      <c r="BB4"/>
      <c r="BC4"/>
      <c r="BD4"/>
      <c r="BE4"/>
      <c r="BF4"/>
      <c r="BG4"/>
      <c r="BH4"/>
      <c r="BI4"/>
      <c r="BJ4"/>
      <c r="BK4"/>
      <c r="BL4"/>
    </row>
    <row r="5" spans="1:64">
      <c r="A5">
        <v>10137</v>
      </c>
      <c r="B5" t="s">
        <v>1684</v>
      </c>
      <c r="C5">
        <v>1</v>
      </c>
      <c r="D5" t="s">
        <v>202</v>
      </c>
      <c r="E5">
        <v>0.89999997615814198</v>
      </c>
      <c r="F5">
        <v>6460</v>
      </c>
      <c r="G5">
        <v>38</v>
      </c>
      <c r="H5" t="s">
        <v>196</v>
      </c>
      <c r="I5">
        <v>9.00000035762787E-2</v>
      </c>
      <c r="J5" s="67" t="str">
        <f>VLOOKUP($A5,MFMaster!$A$2:$C$300,2,FALSE)</f>
        <v>1-3 stories</v>
      </c>
      <c r="K5" s="67">
        <f>VLOOKUP($A5,MFMaster!$A$2:$CG$232,85,FALSE)</f>
        <v>300.26898193359398</v>
      </c>
      <c r="N5" s="70" t="s">
        <v>197</v>
      </c>
      <c r="O5" s="71">
        <v>91.269523620605497</v>
      </c>
      <c r="P5" s="71"/>
      <c r="Q5" s="71"/>
      <c r="R5" s="71">
        <v>1823.2887268066409</v>
      </c>
      <c r="S5" s="71"/>
      <c r="T5" s="71">
        <v>343.45651245117199</v>
      </c>
      <c r="U5" s="71"/>
      <c r="V5" s="71">
        <v>471.54019165039102</v>
      </c>
      <c r="W5" s="71">
        <v>206.07391357421901</v>
      </c>
      <c r="X5" s="71"/>
      <c r="Y5" s="71"/>
      <c r="Z5" s="71"/>
      <c r="AA5" s="71"/>
      <c r="AB5" s="71">
        <v>538.903076171875</v>
      </c>
      <c r="AC5" s="71">
        <v>471.54019165039102</v>
      </c>
      <c r="AD5" s="71"/>
      <c r="AE5" s="71">
        <v>3946.0721359252948</v>
      </c>
      <c r="AF5"/>
      <c r="AG5"/>
      <c r="AH5"/>
      <c r="AI5"/>
      <c r="AJ5"/>
      <c r="AK5"/>
      <c r="AL5"/>
      <c r="AM5"/>
      <c r="AN5"/>
      <c r="AO5"/>
      <c r="AP5"/>
      <c r="AQ5"/>
      <c r="AR5"/>
      <c r="AS5"/>
      <c r="AT5"/>
      <c r="AU5"/>
      <c r="AV5"/>
      <c r="AW5"/>
      <c r="AX5"/>
      <c r="AY5"/>
      <c r="AZ5"/>
      <c r="BA5"/>
      <c r="BB5"/>
      <c r="BC5"/>
      <c r="BD5"/>
      <c r="BE5"/>
      <c r="BF5"/>
      <c r="BG5"/>
      <c r="BH5"/>
      <c r="BI5"/>
      <c r="BJ5"/>
      <c r="BK5"/>
      <c r="BL5"/>
    </row>
    <row r="6" spans="1:64">
      <c r="A6">
        <v>10238</v>
      </c>
      <c r="B6" t="s">
        <v>1684</v>
      </c>
      <c r="C6">
        <v>1</v>
      </c>
      <c r="D6" t="s">
        <v>199</v>
      </c>
      <c r="E6">
        <v>1</v>
      </c>
      <c r="F6">
        <v>8658</v>
      </c>
      <c r="G6">
        <v>19</v>
      </c>
      <c r="H6" t="s">
        <v>196</v>
      </c>
      <c r="I6">
        <v>5.0000000745058101E-2</v>
      </c>
      <c r="J6" s="67" t="str">
        <f>VLOOKUP($A6,MFMaster!$A$2:$C$300,2,FALSE)</f>
        <v>1-3 stories</v>
      </c>
      <c r="K6" s="67">
        <f>VLOOKUP($A6,MFMaster!$A$2:$CG$232,85,FALSE)</f>
        <v>160.14344787597699</v>
      </c>
      <c r="N6" s="70" t="s">
        <v>199</v>
      </c>
      <c r="O6" s="71">
        <v>226.89235305786181</v>
      </c>
      <c r="P6" s="71">
        <v>85.864128112792997</v>
      </c>
      <c r="Q6" s="71">
        <v>136.90428161621099</v>
      </c>
      <c r="R6" s="71">
        <v>538.903076171875</v>
      </c>
      <c r="S6" s="71"/>
      <c r="T6" s="71">
        <v>225.6316680908206</v>
      </c>
      <c r="U6" s="71">
        <v>160.14344787597699</v>
      </c>
      <c r="V6" s="71">
        <v>2020.0330047607399</v>
      </c>
      <c r="W6" s="71">
        <v>40.564231872558601</v>
      </c>
      <c r="X6" s="71"/>
      <c r="Y6" s="71">
        <v>78.231018066406307</v>
      </c>
      <c r="Z6" s="71"/>
      <c r="AA6" s="71">
        <v>600.53796386718795</v>
      </c>
      <c r="AB6" s="71"/>
      <c r="AC6" s="71">
        <v>2387.9013023376438</v>
      </c>
      <c r="AD6" s="71"/>
      <c r="AE6" s="71">
        <v>6501.6064758300754</v>
      </c>
      <c r="AF6"/>
      <c r="AG6"/>
      <c r="AH6"/>
      <c r="AI6"/>
      <c r="AJ6"/>
      <c r="AK6"/>
      <c r="AL6"/>
      <c r="AM6"/>
      <c r="AN6"/>
      <c r="AO6"/>
      <c r="AP6"/>
      <c r="AQ6"/>
      <c r="AR6"/>
      <c r="AS6"/>
      <c r="AT6"/>
      <c r="AU6"/>
      <c r="AV6"/>
      <c r="AW6"/>
      <c r="AX6"/>
      <c r="AY6"/>
      <c r="AZ6"/>
      <c r="BA6"/>
      <c r="BB6"/>
      <c r="BC6"/>
      <c r="BD6"/>
      <c r="BE6"/>
      <c r="BF6"/>
      <c r="BG6"/>
      <c r="BH6"/>
      <c r="BI6"/>
      <c r="BJ6"/>
      <c r="BK6"/>
      <c r="BL6"/>
    </row>
    <row r="7" spans="1:64">
      <c r="A7">
        <v>10260</v>
      </c>
      <c r="B7" t="s">
        <v>1684</v>
      </c>
      <c r="C7">
        <v>1</v>
      </c>
      <c r="D7" t="s">
        <v>202</v>
      </c>
      <c r="E7">
        <v>0.89999997615814198</v>
      </c>
      <c r="F7">
        <v>2000</v>
      </c>
      <c r="G7">
        <v>0</v>
      </c>
      <c r="H7" t="s">
        <v>196</v>
      </c>
      <c r="I7">
        <v>9.00000035762787E-2</v>
      </c>
      <c r="J7" s="67" t="str">
        <f>VLOOKUP($A7,MFMaster!$A$2:$C$300,2,FALSE)</f>
        <v>1-3 stories</v>
      </c>
      <c r="K7" s="67">
        <f>VLOOKUP($A7,MFMaster!$A$2:$CG$232,85,FALSE)</f>
        <v>480.43035888671898</v>
      </c>
      <c r="N7" s="70" t="s">
        <v>202</v>
      </c>
      <c r="O7" s="71">
        <v>652.01261901855491</v>
      </c>
      <c r="P7" s="71"/>
      <c r="Q7" s="71">
        <v>747.33612060546898</v>
      </c>
      <c r="R7" s="71"/>
      <c r="S7" s="71">
        <v>0</v>
      </c>
      <c r="T7" s="71"/>
      <c r="U7" s="71"/>
      <c r="V7" s="71">
        <v>943.08038330078102</v>
      </c>
      <c r="W7" s="71">
        <v>85.864128112792997</v>
      </c>
      <c r="X7" s="71"/>
      <c r="Y7" s="71">
        <v>300.26898193359398</v>
      </c>
      <c r="Z7" s="71">
        <v>0</v>
      </c>
      <c r="AA7" s="71">
        <v>36.507808685302699</v>
      </c>
      <c r="AB7" s="71"/>
      <c r="AC7" s="71">
        <v>415.41392707824718</v>
      </c>
      <c r="AD7" s="71">
        <v>1561.3986816406259</v>
      </c>
      <c r="AE7" s="71">
        <v>4741.8826503753671</v>
      </c>
      <c r="AF7"/>
      <c r="AG7"/>
      <c r="AH7"/>
      <c r="AI7"/>
      <c r="AJ7"/>
      <c r="AK7"/>
      <c r="AL7"/>
      <c r="AM7"/>
      <c r="AN7"/>
      <c r="AO7"/>
      <c r="AP7"/>
      <c r="AQ7"/>
      <c r="AR7"/>
      <c r="AS7"/>
      <c r="AT7"/>
      <c r="AU7"/>
      <c r="AV7"/>
      <c r="AW7"/>
      <c r="AX7"/>
      <c r="AY7"/>
      <c r="AZ7"/>
      <c r="BA7"/>
      <c r="BB7"/>
      <c r="BC7"/>
      <c r="BD7"/>
      <c r="BE7"/>
      <c r="BF7"/>
      <c r="BG7"/>
      <c r="BH7"/>
      <c r="BI7"/>
      <c r="BJ7"/>
      <c r="BK7"/>
      <c r="BL7"/>
    </row>
    <row r="8" spans="1:64">
      <c r="A8">
        <v>10400</v>
      </c>
      <c r="B8" t="s">
        <v>1684</v>
      </c>
      <c r="C8">
        <v>1</v>
      </c>
      <c r="D8" t="s">
        <v>1686</v>
      </c>
      <c r="E8">
        <v>0.89999997615814198</v>
      </c>
      <c r="F8">
        <v>17064</v>
      </c>
      <c r="G8"/>
      <c r="H8"/>
      <c r="I8">
        <v>0.15000000596046401</v>
      </c>
      <c r="J8" s="67" t="str">
        <f>VLOOKUP($A8,MFMaster!$A$2:$C$300,2,FALSE)</f>
        <v>1-3 stories</v>
      </c>
      <c r="K8" s="67">
        <f>VLOOKUP($A8,MFMaster!$A$2:$CG$232,85,FALSE)</f>
        <v>34.345653533935497</v>
      </c>
      <c r="N8" s="70" t="s">
        <v>1686</v>
      </c>
      <c r="O8" s="71"/>
      <c r="P8" s="71"/>
      <c r="Q8" s="71"/>
      <c r="R8" s="71"/>
      <c r="S8" s="71"/>
      <c r="T8" s="71">
        <v>343.45651245117199</v>
      </c>
      <c r="U8" s="71"/>
      <c r="V8" s="71"/>
      <c r="W8" s="71">
        <v>273.80856323242199</v>
      </c>
      <c r="X8" s="71">
        <v>0</v>
      </c>
      <c r="Y8" s="71">
        <v>28.082929611206101</v>
      </c>
      <c r="Z8" s="71"/>
      <c r="AA8" s="71"/>
      <c r="AB8" s="71">
        <v>1800.7716979980441</v>
      </c>
      <c r="AC8" s="71">
        <v>3898.1676769256565</v>
      </c>
      <c r="AD8" s="71"/>
      <c r="AE8" s="71">
        <v>6344.2873802185004</v>
      </c>
      <c r="AF8"/>
      <c r="AG8"/>
      <c r="AH8"/>
      <c r="AI8"/>
      <c r="AJ8"/>
      <c r="AK8"/>
      <c r="AL8"/>
      <c r="AM8"/>
      <c r="AN8"/>
      <c r="AO8"/>
      <c r="AP8"/>
      <c r="AQ8"/>
      <c r="AR8"/>
      <c r="AS8"/>
      <c r="AT8"/>
      <c r="AU8"/>
      <c r="AV8"/>
      <c r="AW8"/>
      <c r="AX8"/>
      <c r="AY8"/>
      <c r="AZ8"/>
      <c r="BA8"/>
      <c r="BB8"/>
      <c r="BC8"/>
      <c r="BD8"/>
      <c r="BE8"/>
      <c r="BF8"/>
      <c r="BG8"/>
      <c r="BH8"/>
      <c r="BI8"/>
      <c r="BJ8"/>
      <c r="BK8"/>
      <c r="BL8"/>
    </row>
    <row r="9" spans="1:64">
      <c r="A9">
        <v>10480</v>
      </c>
      <c r="B9" t="s">
        <v>1684</v>
      </c>
      <c r="C9">
        <v>1</v>
      </c>
      <c r="D9" t="s">
        <v>205</v>
      </c>
      <c r="E9">
        <v>0.89999997615814198</v>
      </c>
      <c r="F9">
        <v>3650</v>
      </c>
      <c r="G9"/>
      <c r="H9" t="s">
        <v>201</v>
      </c>
      <c r="I9">
        <v>7.0000000298023196E-2</v>
      </c>
      <c r="J9" s="67" t="str">
        <f>VLOOKUP($A9,MFMaster!$A$2:$C$300,2,FALSE)</f>
        <v>1-3 stories</v>
      </c>
      <c r="K9" s="67">
        <f>VLOOKUP($A9,MFMaster!$A$2:$CG$232,85,FALSE)</f>
        <v>400.358642578125</v>
      </c>
      <c r="N9" s="70" t="s">
        <v>210</v>
      </c>
      <c r="O9" s="71">
        <v>970.17449569702217</v>
      </c>
      <c r="P9" s="71">
        <v>85.864128112792997</v>
      </c>
      <c r="Q9" s="71">
        <v>884.24040222167991</v>
      </c>
      <c r="R9" s="71">
        <v>2362.1918029785156</v>
      </c>
      <c r="S9" s="71">
        <v>0</v>
      </c>
      <c r="T9" s="71">
        <v>912.54469299316463</v>
      </c>
      <c r="U9" s="71">
        <v>160.14344787597699</v>
      </c>
      <c r="V9" s="71">
        <v>3434.6535797119122</v>
      </c>
      <c r="W9" s="71">
        <v>606.31083679199264</v>
      </c>
      <c r="X9" s="71">
        <v>0</v>
      </c>
      <c r="Y9" s="71">
        <v>406.5829296112064</v>
      </c>
      <c r="Z9" s="71">
        <v>0</v>
      </c>
      <c r="AA9" s="71">
        <v>637.04577255249069</v>
      </c>
      <c r="AB9" s="71">
        <v>2339.6747741699191</v>
      </c>
      <c r="AC9" s="71">
        <v>7173.0230979919379</v>
      </c>
      <c r="AD9" s="71">
        <v>1561.3986816406259</v>
      </c>
      <c r="AE9" s="71">
        <v>21533.848642349236</v>
      </c>
      <c r="AF9"/>
      <c r="AG9"/>
      <c r="AH9"/>
      <c r="AI9"/>
      <c r="AJ9"/>
      <c r="AK9"/>
      <c r="AL9"/>
      <c r="AM9"/>
      <c r="AN9"/>
      <c r="AO9"/>
      <c r="AP9"/>
      <c r="AQ9"/>
      <c r="AR9"/>
      <c r="AS9"/>
      <c r="AT9"/>
      <c r="AU9"/>
      <c r="AV9"/>
      <c r="AW9"/>
      <c r="AX9"/>
      <c r="AY9"/>
      <c r="AZ9"/>
      <c r="BA9"/>
      <c r="BB9"/>
      <c r="BC9"/>
      <c r="BD9"/>
      <c r="BE9"/>
      <c r="BF9"/>
      <c r="BG9"/>
      <c r="BH9"/>
      <c r="BI9"/>
      <c r="BJ9"/>
      <c r="BK9"/>
      <c r="BL9"/>
    </row>
    <row r="10" spans="1:64">
      <c r="A10">
        <v>10495</v>
      </c>
      <c r="B10" t="s">
        <v>1684</v>
      </c>
      <c r="C10">
        <v>1</v>
      </c>
      <c r="D10" t="s">
        <v>197</v>
      </c>
      <c r="E10">
        <v>0.89999997615814198</v>
      </c>
      <c r="F10">
        <v>4849</v>
      </c>
      <c r="G10">
        <v>30</v>
      </c>
      <c r="H10" t="s">
        <v>201</v>
      </c>
      <c r="I10">
        <v>0.109999999403954</v>
      </c>
      <c r="J10" s="67" t="str">
        <f>VLOOKUP($A10,MFMaster!$A$2:$C$300,2,FALSE)</f>
        <v>1-3 stories</v>
      </c>
      <c r="K10" s="67">
        <f>VLOOKUP($A10,MFMaster!$A$2:$CG$232,85,FALSE)</f>
        <v>206.07391357421901</v>
      </c>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row>
    <row r="11" spans="1:64">
      <c r="A11">
        <v>10587</v>
      </c>
      <c r="B11" t="s">
        <v>1684</v>
      </c>
      <c r="C11">
        <v>1</v>
      </c>
      <c r="D11" t="s">
        <v>1686</v>
      </c>
      <c r="E11">
        <v>0.89999997615814198</v>
      </c>
      <c r="F11">
        <v>4758</v>
      </c>
      <c r="G11"/>
      <c r="H11"/>
      <c r="I11">
        <v>0.15000000596046401</v>
      </c>
      <c r="J11" s="67" t="str">
        <f>VLOOKUP($A11,MFMaster!$A$2:$C$300,2,FALSE)</f>
        <v>1-3 stories</v>
      </c>
      <c r="K11" s="67">
        <f>VLOOKUP($A11,MFMaster!$A$2:$CG$232,85,FALSE)</f>
        <v>266.90576171875</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row>
    <row r="12" spans="1:64">
      <c r="A12">
        <v>10614</v>
      </c>
      <c r="B12" t="s">
        <v>1684</v>
      </c>
      <c r="C12">
        <v>1</v>
      </c>
      <c r="D12" t="s">
        <v>204</v>
      </c>
      <c r="E12">
        <v>0.89999997615814198</v>
      </c>
      <c r="F12">
        <v>16019</v>
      </c>
      <c r="G12">
        <v>30</v>
      </c>
      <c r="H12" t="s">
        <v>201</v>
      </c>
      <c r="I12">
        <v>7.5000002980232197E-2</v>
      </c>
      <c r="J12" s="67" t="str">
        <f>VLOOKUP($A12,MFMaster!$A$2:$C$300,2,FALSE)</f>
        <v>4-6 stories</v>
      </c>
      <c r="K12" s="67" t="str">
        <f>VLOOKUP($A12,MFMaster!$A$2:$CG$232,85,FALSE)</f>
        <v/>
      </c>
      <c r="N12"/>
      <c r="O12" s="67" t="s">
        <v>1918</v>
      </c>
      <c r="P12" t="s">
        <v>252</v>
      </c>
      <c r="Q12" t="s">
        <v>253</v>
      </c>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row>
    <row r="13" spans="1:64">
      <c r="A13">
        <v>10805</v>
      </c>
      <c r="B13" t="s">
        <v>1684</v>
      </c>
      <c r="C13">
        <v>1</v>
      </c>
      <c r="D13" t="s">
        <v>204</v>
      </c>
      <c r="E13">
        <v>0.89999997615814198</v>
      </c>
      <c r="F13">
        <v>3531</v>
      </c>
      <c r="G13">
        <v>19</v>
      </c>
      <c r="H13" t="s">
        <v>194</v>
      </c>
      <c r="I13">
        <v>7.5000002980232197E-2</v>
      </c>
      <c r="J13" s="67" t="str">
        <f>VLOOKUP($A13,MFMaster!$A$2:$C$300,2,FALSE)</f>
        <v>1-3 stories</v>
      </c>
      <c r="K13" s="67">
        <f>VLOOKUP($A13,MFMaster!$A$2:$CG$232,85,FALSE)</f>
        <v>686.32904052734398</v>
      </c>
      <c r="N13" s="70" t="s">
        <v>173</v>
      </c>
      <c r="O13" s="73">
        <f>SUM(T8:V8)/AE8</f>
        <v>5.4136342171710254E-2</v>
      </c>
      <c r="P13" s="53">
        <f>SUM(W8:Z8)/AE8</f>
        <v>4.7584775838642859E-2</v>
      </c>
      <c r="Q13" s="53">
        <f>SUM(AA8:AB8)/AE8</f>
        <v>0.28384144507905706</v>
      </c>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row>
    <row r="14" spans="1:64">
      <c r="A14">
        <v>10862</v>
      </c>
      <c r="B14" t="s">
        <v>1684</v>
      </c>
      <c r="C14">
        <v>1</v>
      </c>
      <c r="D14" t="s">
        <v>202</v>
      </c>
      <c r="E14">
        <v>0.5</v>
      </c>
      <c r="F14">
        <v>4543</v>
      </c>
      <c r="G14">
        <v>30</v>
      </c>
      <c r="H14" t="s">
        <v>195</v>
      </c>
      <c r="I14">
        <v>0.245000004768372</v>
      </c>
      <c r="J14" s="67" t="str">
        <f>VLOOKUP($A14,MFMaster!$A$2:$C$300,2,FALSE)</f>
        <v>1-3 stories</v>
      </c>
      <c r="K14" s="67">
        <f>VLOOKUP($A14,MFMaster!$A$2:$CG$232,85,FALSE)</f>
        <v>85.864128112792997</v>
      </c>
      <c r="N14" s="70"/>
      <c r="O14" s="73" t="s">
        <v>1919</v>
      </c>
      <c r="P14" t="s">
        <v>252</v>
      </c>
      <c r="Q14" t="s">
        <v>253</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row>
    <row r="15" spans="1:64">
      <c r="A15">
        <v>10871</v>
      </c>
      <c r="B15" t="s">
        <v>1684</v>
      </c>
      <c r="C15">
        <v>1</v>
      </c>
      <c r="D15" t="s">
        <v>199</v>
      </c>
      <c r="E15">
        <v>1</v>
      </c>
      <c r="F15">
        <v>10700</v>
      </c>
      <c r="G15">
        <v>0</v>
      </c>
      <c r="H15" t="s">
        <v>196</v>
      </c>
      <c r="I15">
        <v>5.0000000745058101E-2</v>
      </c>
      <c r="J15" s="67" t="str">
        <f>VLOOKUP($A15,MFMaster!$A$2:$C$300,2,FALSE)</f>
        <v>1-3 stories</v>
      </c>
      <c r="K15" s="67">
        <f>VLOOKUP($A15,MFMaster!$A$2:$CG$232,85,FALSE)</f>
        <v>200.17932128906301</v>
      </c>
      <c r="N15" s="70" t="s">
        <v>174</v>
      </c>
      <c r="O15" s="73">
        <f>SUM(Q6:S6,Q7:R7)/(AE6+AE7)</f>
        <v>0.12657489702877053</v>
      </c>
      <c r="P15" s="53">
        <f>SUM(T6:U6,S7)/(AE6+AE7)</f>
        <v>3.4310978703902796E-2</v>
      </c>
      <c r="Q15" s="53">
        <f>SUM(V6:AB6,AD7,V7:AB7)/(AE7+AE6)</f>
        <v>0.50397933760908686</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row>
    <row r="16" spans="1:64">
      <c r="A16">
        <v>10901</v>
      </c>
      <c r="B16" t="s">
        <v>1684</v>
      </c>
      <c r="C16">
        <v>1</v>
      </c>
      <c r="D16" t="s">
        <v>1686</v>
      </c>
      <c r="E16">
        <v>0.89999997615814198</v>
      </c>
      <c r="F16">
        <v>6950</v>
      </c>
      <c r="G16">
        <v>50</v>
      </c>
      <c r="H16" t="s">
        <v>194</v>
      </c>
      <c r="I16">
        <v>0.15000000596046401</v>
      </c>
      <c r="J16" s="67" t="str">
        <f>VLOOKUP($A16,MFMaster!$A$2:$C$300,2,FALSE)</f>
        <v>1-3 stories</v>
      </c>
      <c r="K16" s="67">
        <f>VLOOKUP($A16,MFMaster!$A$2:$CG$232,85,FALSE)</f>
        <v>228.97100830078099</v>
      </c>
      <c r="N16"/>
      <c r="O16"/>
      <c r="P16"/>
    </row>
    <row r="17" spans="1:16">
      <c r="A17">
        <v>10910</v>
      </c>
      <c r="B17" t="s">
        <v>1684</v>
      </c>
      <c r="C17">
        <v>1</v>
      </c>
      <c r="D17" t="s">
        <v>199</v>
      </c>
      <c r="E17">
        <v>1</v>
      </c>
      <c r="F17">
        <v>7190</v>
      </c>
      <c r="G17">
        <v>15</v>
      </c>
      <c r="H17" t="s">
        <v>201</v>
      </c>
      <c r="I17">
        <v>5.0000000745058101E-2</v>
      </c>
      <c r="J17" s="67" t="str">
        <f>VLOOKUP($A17,MFMaster!$A$2:$C$300,2,FALSE)</f>
        <v>1-3 stories</v>
      </c>
      <c r="K17" s="67">
        <f>VLOOKUP($A17,MFMaster!$A$2:$CG$232,85,FALSE)</f>
        <v>206.07391357421901</v>
      </c>
      <c r="N17"/>
      <c r="O17"/>
      <c r="P17"/>
    </row>
    <row r="18" spans="1:16">
      <c r="A18">
        <v>10996</v>
      </c>
      <c r="B18" t="s">
        <v>1684</v>
      </c>
      <c r="C18">
        <v>1</v>
      </c>
      <c r="D18" t="s">
        <v>204</v>
      </c>
      <c r="E18">
        <v>0.89999997615814198</v>
      </c>
      <c r="F18">
        <v>7100</v>
      </c>
      <c r="G18"/>
      <c r="H18"/>
      <c r="I18">
        <v>7.5000002980232197E-2</v>
      </c>
      <c r="J18" s="67" t="str">
        <f>VLOOKUP($A18,MFMaster!$A$2:$C$300,2,FALSE)</f>
        <v>1-3 stories</v>
      </c>
      <c r="K18" s="67">
        <f>VLOOKUP($A18,MFMaster!$A$2:$CG$232,85,FALSE)</f>
        <v>112.106643676758</v>
      </c>
      <c r="N18"/>
      <c r="O18"/>
      <c r="P18"/>
    </row>
    <row r="19" spans="1:16">
      <c r="A19">
        <v>11005</v>
      </c>
      <c r="B19" t="s">
        <v>1684</v>
      </c>
      <c r="C19">
        <v>1</v>
      </c>
      <c r="D19" t="s">
        <v>1686</v>
      </c>
      <c r="E19">
        <v>0.89999997615814198</v>
      </c>
      <c r="F19">
        <v>1552</v>
      </c>
      <c r="G19"/>
      <c r="H19"/>
      <c r="I19">
        <v>0.15000000596046401</v>
      </c>
      <c r="J19" s="67" t="str">
        <f>VLOOKUP($A19,MFMaster!$A$2:$C$300,2,FALSE)</f>
        <v>1-3 stories</v>
      </c>
      <c r="K19" s="67" t="str">
        <f>VLOOKUP($A19,MFMaster!$A$2:$CG$232,85,FALSE)</f>
        <v/>
      </c>
      <c r="N19"/>
      <c r="O19"/>
      <c r="P19"/>
    </row>
    <row r="20" spans="1:16">
      <c r="A20">
        <v>11263</v>
      </c>
      <c r="B20" t="s">
        <v>1684</v>
      </c>
      <c r="C20">
        <v>1</v>
      </c>
      <c r="D20" t="s">
        <v>197</v>
      </c>
      <c r="E20">
        <v>1</v>
      </c>
      <c r="F20">
        <v>2520</v>
      </c>
      <c r="G20">
        <v>15</v>
      </c>
      <c r="H20" t="s">
        <v>194</v>
      </c>
      <c r="I20">
        <v>7.0000000298023196E-2</v>
      </c>
      <c r="J20" s="67" t="str">
        <f>VLOOKUP($A20,MFMaster!$A$2:$C$300,2,FALSE)</f>
        <v>1-3 stories</v>
      </c>
      <c r="K20" s="67">
        <f>VLOOKUP($A20,MFMaster!$A$2:$CG$232,85,FALSE)</f>
        <v>343.45651245117199</v>
      </c>
      <c r="N20"/>
      <c r="O20"/>
      <c r="P20"/>
    </row>
    <row r="21" spans="1:16">
      <c r="A21">
        <v>11290</v>
      </c>
      <c r="B21" t="s">
        <v>1684</v>
      </c>
      <c r="C21">
        <v>1</v>
      </c>
      <c r="D21" t="s">
        <v>1686</v>
      </c>
      <c r="E21">
        <v>0.89999997615814198</v>
      </c>
      <c r="F21">
        <v>7176</v>
      </c>
      <c r="G21"/>
      <c r="H21"/>
      <c r="I21">
        <v>0.15000000596046401</v>
      </c>
      <c r="J21" s="67" t="str">
        <f>VLOOKUP($A21,MFMaster!$A$2:$C$300,2,FALSE)</f>
        <v>1-3 stories</v>
      </c>
      <c r="K21" s="67" t="str">
        <f>VLOOKUP($A21,MFMaster!$A$2:$CG$232,85,FALSE)</f>
        <v/>
      </c>
    </row>
    <row r="22" spans="1:16">
      <c r="A22">
        <v>11413</v>
      </c>
      <c r="B22" t="s">
        <v>1684</v>
      </c>
      <c r="C22">
        <v>1</v>
      </c>
      <c r="D22" t="s">
        <v>203</v>
      </c>
      <c r="E22">
        <v>0.89999997615814198</v>
      </c>
      <c r="F22">
        <v>11595</v>
      </c>
      <c r="G22">
        <v>0</v>
      </c>
      <c r="H22" t="s">
        <v>196</v>
      </c>
      <c r="I22">
        <v>7.9999998211860698E-2</v>
      </c>
      <c r="J22" s="67" t="str">
        <f>VLOOKUP($A22,MFMaster!$A$2:$C$300,2,FALSE)</f>
        <v>4-6 stories</v>
      </c>
      <c r="K22" s="67" t="str">
        <f>VLOOKUP($A22,MFMaster!$A$2:$CG$232,85,FALSE)</f>
        <v/>
      </c>
    </row>
    <row r="23" spans="1:16">
      <c r="A23">
        <v>11413</v>
      </c>
      <c r="B23" t="s">
        <v>1685</v>
      </c>
      <c r="C23">
        <v>2</v>
      </c>
      <c r="D23" t="s">
        <v>204</v>
      </c>
      <c r="E23">
        <v>0.89999997615814198</v>
      </c>
      <c r="F23">
        <v>12682</v>
      </c>
      <c r="G23">
        <v>0</v>
      </c>
      <c r="H23" t="s">
        <v>196</v>
      </c>
      <c r="I23">
        <v>7.5000002980232197E-2</v>
      </c>
      <c r="J23" s="67" t="str">
        <f>VLOOKUP($A23,MFMaster!$A$2:$C$300,2,FALSE)</f>
        <v>4-6 stories</v>
      </c>
      <c r="K23" s="67" t="str">
        <f>VLOOKUP($A23,MFMaster!$A$2:$CG$232,85,FALSE)</f>
        <v/>
      </c>
    </row>
    <row r="24" spans="1:16">
      <c r="A24">
        <v>11537</v>
      </c>
      <c r="B24" t="s">
        <v>1684</v>
      </c>
      <c r="C24">
        <v>1</v>
      </c>
      <c r="D24" t="s">
        <v>1686</v>
      </c>
      <c r="E24">
        <v>0.89999997615814198</v>
      </c>
      <c r="F24">
        <v>3072</v>
      </c>
      <c r="G24"/>
      <c r="H24"/>
      <c r="I24">
        <v>0.15000000596046401</v>
      </c>
      <c r="J24" s="67" t="str">
        <f>VLOOKUP($A24,MFMaster!$A$2:$C$300,2,FALSE)</f>
        <v>1-3 stories</v>
      </c>
      <c r="K24" s="67">
        <f>VLOOKUP($A24,MFMaster!$A$2:$CG$232,85,FALSE)</f>
        <v>149.47552490234401</v>
      </c>
    </row>
    <row r="25" spans="1:16">
      <c r="A25">
        <v>11598</v>
      </c>
      <c r="B25" t="s">
        <v>1684</v>
      </c>
      <c r="C25">
        <v>1</v>
      </c>
      <c r="D25" t="s">
        <v>203</v>
      </c>
      <c r="E25">
        <v>1</v>
      </c>
      <c r="F25">
        <v>4008</v>
      </c>
      <c r="G25"/>
      <c r="H25" t="s">
        <v>196</v>
      </c>
      <c r="I25">
        <v>3.5000000149011598E-2</v>
      </c>
      <c r="J25" s="67" t="str">
        <f>VLOOKUP($A25,MFMaster!$A$2:$C$300,2,FALSE)</f>
        <v>1-3 stories</v>
      </c>
      <c r="K25" s="67">
        <f>VLOOKUP($A25,MFMaster!$A$2:$CG$232,85,FALSE)</f>
        <v>400.358642578125</v>
      </c>
    </row>
    <row r="26" spans="1:16">
      <c r="A26">
        <v>11879</v>
      </c>
      <c r="B26" t="s">
        <v>1684</v>
      </c>
      <c r="C26">
        <v>1</v>
      </c>
      <c r="D26" t="s">
        <v>202</v>
      </c>
      <c r="E26">
        <v>0.89999997615814198</v>
      </c>
      <c r="F26">
        <v>4600</v>
      </c>
      <c r="G26">
        <v>21</v>
      </c>
      <c r="H26" t="s">
        <v>201</v>
      </c>
      <c r="I26">
        <v>9.00000035762787E-2</v>
      </c>
      <c r="J26" s="67" t="str">
        <f>VLOOKUP($A26,MFMaster!$A$2:$C$300,2,FALSE)</f>
        <v>1-3 stories</v>
      </c>
      <c r="K26" s="67">
        <f>VLOOKUP($A26,MFMaster!$A$2:$CG$232,85,FALSE)</f>
        <v>600.53796386718795</v>
      </c>
    </row>
    <row r="27" spans="1:16">
      <c r="A27">
        <v>11887</v>
      </c>
      <c r="B27" t="s">
        <v>1684</v>
      </c>
      <c r="C27">
        <v>1</v>
      </c>
      <c r="D27" t="s">
        <v>199</v>
      </c>
      <c r="E27">
        <v>0.89999997615814198</v>
      </c>
      <c r="F27">
        <v>40240</v>
      </c>
      <c r="G27"/>
      <c r="H27" t="s">
        <v>196</v>
      </c>
      <c r="I27">
        <v>9.4999998807907104E-2</v>
      </c>
      <c r="J27" s="67" t="str">
        <f>VLOOKUP($A27,MFMaster!$A$2:$C$300,2,FALSE)</f>
        <v>1-3 stories</v>
      </c>
      <c r="K27" s="67">
        <f>VLOOKUP($A27,MFMaster!$A$2:$CG$232,85,FALSE)</f>
        <v>53.381153106689503</v>
      </c>
    </row>
    <row r="28" spans="1:16">
      <c r="A28">
        <v>11930</v>
      </c>
      <c r="B28" t="s">
        <v>1684</v>
      </c>
      <c r="C28">
        <v>1</v>
      </c>
      <c r="D28" t="s">
        <v>199</v>
      </c>
      <c r="E28">
        <v>0.5</v>
      </c>
      <c r="F28">
        <v>3667</v>
      </c>
      <c r="G28">
        <v>49</v>
      </c>
      <c r="H28" t="s">
        <v>194</v>
      </c>
      <c r="I28">
        <v>0.25</v>
      </c>
      <c r="J28" s="67" t="str">
        <f>VLOOKUP($A28,MFMaster!$A$2:$C$300,2,FALSE)</f>
        <v>1-3 stories</v>
      </c>
      <c r="K28" s="67">
        <f>VLOOKUP($A28,MFMaster!$A$2:$CG$232,85,FALSE)</f>
        <v>600.53796386718795</v>
      </c>
    </row>
    <row r="29" spans="1:16">
      <c r="A29">
        <v>11949</v>
      </c>
      <c r="B29" t="s">
        <v>1684</v>
      </c>
      <c r="C29">
        <v>1</v>
      </c>
      <c r="D29" t="s">
        <v>199</v>
      </c>
      <c r="E29">
        <v>0.89999997615814198</v>
      </c>
      <c r="F29">
        <v>22361</v>
      </c>
      <c r="G29"/>
      <c r="H29" t="s">
        <v>194</v>
      </c>
      <c r="I29">
        <v>9.4999998807907104E-2</v>
      </c>
      <c r="J29" s="67" t="str">
        <f>VLOOKUP($A29,MFMaster!$A$2:$C$300,2,FALSE)</f>
        <v>4-6 stories</v>
      </c>
      <c r="K29" s="67" t="str">
        <f>VLOOKUP($A29,MFMaster!$A$2:$CG$232,85,FALSE)</f>
        <v/>
      </c>
    </row>
    <row r="30" spans="1:16">
      <c r="A30">
        <v>12167</v>
      </c>
      <c r="B30" t="s">
        <v>1684</v>
      </c>
      <c r="C30">
        <v>1</v>
      </c>
      <c r="D30" t="s">
        <v>203</v>
      </c>
      <c r="E30">
        <v>0.89999997615814198</v>
      </c>
      <c r="F30">
        <v>3180</v>
      </c>
      <c r="G30">
        <v>30</v>
      </c>
      <c r="H30" t="s">
        <v>196</v>
      </c>
      <c r="I30">
        <v>7.9999998211860698E-2</v>
      </c>
      <c r="J30" s="67" t="str">
        <f>VLOOKUP($A30,MFMaster!$A$2:$C$300,2,FALSE)</f>
        <v>1-3 stories</v>
      </c>
      <c r="K30" s="67">
        <f>VLOOKUP($A30,MFMaster!$A$2:$CG$232,85,FALSE)</f>
        <v>400.358642578125</v>
      </c>
    </row>
    <row r="31" spans="1:16">
      <c r="A31">
        <v>12405</v>
      </c>
      <c r="B31" t="s">
        <v>1684</v>
      </c>
      <c r="C31">
        <v>1</v>
      </c>
      <c r="D31" t="s">
        <v>199</v>
      </c>
      <c r="E31">
        <v>0.89999997615814198</v>
      </c>
      <c r="F31">
        <v>6140</v>
      </c>
      <c r="G31"/>
      <c r="H31" t="s">
        <v>196</v>
      </c>
      <c r="I31">
        <v>9.4999998807907104E-2</v>
      </c>
      <c r="J31" s="67" t="str">
        <f>VLOOKUP($A31,MFMaster!$A$2:$C$300,2,FALSE)</f>
        <v>1-3 stories</v>
      </c>
      <c r="K31" s="67">
        <f>VLOOKUP($A31,MFMaster!$A$2:$CG$232,85,FALSE)</f>
        <v>165.66564941406301</v>
      </c>
    </row>
    <row r="32" spans="1:16">
      <c r="A32">
        <v>12511</v>
      </c>
      <c r="B32" t="s">
        <v>1684</v>
      </c>
      <c r="C32">
        <v>1</v>
      </c>
      <c r="D32" t="s">
        <v>1686</v>
      </c>
      <c r="E32">
        <v>0.89999997615814198</v>
      </c>
      <c r="F32">
        <v>12235</v>
      </c>
      <c r="G32"/>
      <c r="H32"/>
      <c r="I32">
        <v>0.15000000596046401</v>
      </c>
      <c r="J32" s="67" t="str">
        <f>VLOOKUP($A32,MFMaster!$A$2:$C$300,2,FALSE)</f>
        <v>4-6 stories</v>
      </c>
      <c r="K32" s="67" t="str">
        <f>VLOOKUP($A32,MFMaster!$A$2:$CG$232,85,FALSE)</f>
        <v/>
      </c>
    </row>
    <row r="33" spans="1:11">
      <c r="A33">
        <v>12651</v>
      </c>
      <c r="B33" t="s">
        <v>1684</v>
      </c>
      <c r="C33">
        <v>1</v>
      </c>
      <c r="D33" t="s">
        <v>206</v>
      </c>
      <c r="E33">
        <v>0.89999997615814198</v>
      </c>
      <c r="F33">
        <v>5366</v>
      </c>
      <c r="G33">
        <v>0</v>
      </c>
      <c r="H33" t="s">
        <v>194</v>
      </c>
      <c r="I33">
        <v>7.0000000298023196E-2</v>
      </c>
      <c r="J33" s="67" t="str">
        <f>VLOOKUP($A33,MFMaster!$A$2:$C$300,2,FALSE)</f>
        <v>1-3 stories</v>
      </c>
      <c r="K33" s="67">
        <f>VLOOKUP($A33,MFMaster!$A$2:$CG$232,85,FALSE)</f>
        <v>266.90576171875</v>
      </c>
    </row>
    <row r="34" spans="1:11">
      <c r="A34">
        <v>12783</v>
      </c>
      <c r="B34" t="s">
        <v>1684</v>
      </c>
      <c r="C34">
        <v>1</v>
      </c>
      <c r="D34" t="s">
        <v>204</v>
      </c>
      <c r="E34">
        <v>1</v>
      </c>
      <c r="F34">
        <v>6867</v>
      </c>
      <c r="G34">
        <v>0</v>
      </c>
      <c r="H34" t="s">
        <v>196</v>
      </c>
      <c r="I34">
        <v>2.5000000372528999E-2</v>
      </c>
      <c r="J34" s="67" t="str">
        <f>VLOOKUP($A34,MFMaster!$A$2:$C$300,2,FALSE)</f>
        <v>4-6 stories</v>
      </c>
      <c r="K34" s="67" t="str">
        <f>VLOOKUP($A34,MFMaster!$A$2:$CG$232,85,FALSE)</f>
        <v/>
      </c>
    </row>
    <row r="35" spans="1:11">
      <c r="A35">
        <v>12932</v>
      </c>
      <c r="B35" t="s">
        <v>1684</v>
      </c>
      <c r="C35">
        <v>1</v>
      </c>
      <c r="D35" t="s">
        <v>1686</v>
      </c>
      <c r="E35">
        <v>0.89999997615814198</v>
      </c>
      <c r="F35">
        <v>6223</v>
      </c>
      <c r="G35">
        <v>35</v>
      </c>
      <c r="H35" t="s">
        <v>196</v>
      </c>
      <c r="I35">
        <v>0.15000000596046401</v>
      </c>
      <c r="J35" s="67" t="str">
        <f>VLOOKUP($A35,MFMaster!$A$2:$C$300,2,FALSE)</f>
        <v>4-6 stories</v>
      </c>
      <c r="K35" s="67" t="str">
        <f>VLOOKUP($A35,MFMaster!$A$2:$CG$232,85,FALSE)</f>
        <v/>
      </c>
    </row>
    <row r="36" spans="1:11">
      <c r="A36">
        <v>12986</v>
      </c>
      <c r="B36" t="s">
        <v>1684</v>
      </c>
      <c r="C36">
        <v>1</v>
      </c>
      <c r="D36" t="s">
        <v>204</v>
      </c>
      <c r="E36">
        <v>1</v>
      </c>
      <c r="F36">
        <v>27437</v>
      </c>
      <c r="G36">
        <v>0</v>
      </c>
      <c r="H36" t="s">
        <v>196</v>
      </c>
      <c r="I36">
        <v>2.5000000372528999E-2</v>
      </c>
      <c r="J36" s="67" t="str">
        <f>VLOOKUP($A36,MFMaster!$A$2:$C$300,2,FALSE)</f>
        <v>4-6 stories</v>
      </c>
      <c r="K36" s="67" t="str">
        <f>VLOOKUP($A36,MFMaster!$A$2:$CG$232,85,FALSE)</f>
        <v/>
      </c>
    </row>
    <row r="37" spans="1:11">
      <c r="A37">
        <v>13048</v>
      </c>
      <c r="B37" t="s">
        <v>1684</v>
      </c>
      <c r="C37">
        <v>1</v>
      </c>
      <c r="D37" t="s">
        <v>205</v>
      </c>
      <c r="E37">
        <v>1</v>
      </c>
      <c r="F37">
        <v>4230</v>
      </c>
      <c r="G37">
        <v>0</v>
      </c>
      <c r="H37" t="s">
        <v>196</v>
      </c>
      <c r="I37">
        <v>1.9999999552965199E-2</v>
      </c>
      <c r="J37" s="67" t="str">
        <f>VLOOKUP($A37,MFMaster!$A$2:$C$300,2,FALSE)</f>
        <v>1-3 stories</v>
      </c>
      <c r="K37" s="67">
        <f>VLOOKUP($A37,MFMaster!$A$2:$CG$232,85,FALSE)</f>
        <v>266.90576171875</v>
      </c>
    </row>
    <row r="38" spans="1:11">
      <c r="A38">
        <v>13054</v>
      </c>
      <c r="B38" t="s">
        <v>1684</v>
      </c>
      <c r="C38">
        <v>1</v>
      </c>
      <c r="D38" t="s">
        <v>204</v>
      </c>
      <c r="E38">
        <v>1</v>
      </c>
      <c r="F38">
        <v>3575</v>
      </c>
      <c r="G38"/>
      <c r="H38" t="s">
        <v>194</v>
      </c>
      <c r="I38">
        <v>2.5000000372528999E-2</v>
      </c>
      <c r="J38" s="67" t="str">
        <f>VLOOKUP($A38,MFMaster!$A$2:$C$300,2,FALSE)</f>
        <v>1-3 stories</v>
      </c>
      <c r="K38" s="67">
        <f>VLOOKUP($A38,MFMaster!$A$2:$CG$232,85,FALSE)</f>
        <v>149.47552490234401</v>
      </c>
    </row>
    <row r="39" spans="1:11">
      <c r="A39">
        <v>13062</v>
      </c>
      <c r="B39" t="s">
        <v>1684</v>
      </c>
      <c r="C39">
        <v>1</v>
      </c>
      <c r="D39" t="s">
        <v>199</v>
      </c>
      <c r="E39">
        <v>0.89999997615814198</v>
      </c>
      <c r="F39">
        <v>2792</v>
      </c>
      <c r="G39"/>
      <c r="H39"/>
      <c r="I39">
        <v>9.4999998807907104E-2</v>
      </c>
      <c r="J39" s="67" t="str">
        <f>VLOOKUP($A39,MFMaster!$A$2:$C$300,2,FALSE)</f>
        <v>1-3 stories</v>
      </c>
      <c r="K39" s="67">
        <f>VLOOKUP($A39,MFMaster!$A$2:$CG$232,85,FALSE)</f>
        <v>400.358642578125</v>
      </c>
    </row>
    <row r="40" spans="1:11">
      <c r="A40">
        <v>13202</v>
      </c>
      <c r="B40" t="s">
        <v>1684</v>
      </c>
      <c r="C40">
        <v>1</v>
      </c>
      <c r="D40" t="s">
        <v>202</v>
      </c>
      <c r="E40">
        <v>1</v>
      </c>
      <c r="F40">
        <v>4200</v>
      </c>
      <c r="G40">
        <v>10</v>
      </c>
      <c r="H40" t="s">
        <v>194</v>
      </c>
      <c r="I40">
        <v>4.5000001788139302E-2</v>
      </c>
      <c r="J40" s="67" t="str">
        <f>VLOOKUP($A40,MFMaster!$A$2:$C$300,2,FALSE)</f>
        <v>1-3 stories</v>
      </c>
      <c r="K40" s="67">
        <f>VLOOKUP($A40,MFMaster!$A$2:$CG$232,85,FALSE)</f>
        <v>480.43035888671898</v>
      </c>
    </row>
    <row r="41" spans="1:11">
      <c r="A41">
        <v>13218</v>
      </c>
      <c r="B41" t="s">
        <v>1684</v>
      </c>
      <c r="C41">
        <v>1</v>
      </c>
      <c r="D41" t="s">
        <v>203</v>
      </c>
      <c r="E41">
        <v>0.75</v>
      </c>
      <c r="F41">
        <v>7256</v>
      </c>
      <c r="G41">
        <v>49</v>
      </c>
      <c r="H41" t="s">
        <v>198</v>
      </c>
      <c r="I41">
        <v>0.144999995827675</v>
      </c>
      <c r="J41" s="67" t="str">
        <f>VLOOKUP($A41,MFMaster!$A$2:$C$300,2,FALSE)</f>
        <v>1-3 stories</v>
      </c>
      <c r="K41" s="67">
        <f>VLOOKUP($A41,MFMaster!$A$2:$CG$232,85,FALSE)</f>
        <v>128.79620361328099</v>
      </c>
    </row>
    <row r="42" spans="1:11">
      <c r="A42">
        <v>13268</v>
      </c>
      <c r="B42" t="s">
        <v>1684</v>
      </c>
      <c r="C42">
        <v>1</v>
      </c>
      <c r="D42" t="s">
        <v>203</v>
      </c>
      <c r="E42">
        <v>0.89999997615814198</v>
      </c>
      <c r="F42">
        <v>2709</v>
      </c>
      <c r="G42"/>
      <c r="H42" t="s">
        <v>201</v>
      </c>
      <c r="I42">
        <v>7.9999998211860698E-2</v>
      </c>
      <c r="J42" s="67" t="str">
        <f>VLOOKUP($A42,MFMaster!$A$2:$C$300,2,FALSE)</f>
        <v>1-3 stories</v>
      </c>
      <c r="K42" s="67">
        <f>VLOOKUP($A42,MFMaster!$A$2:$CG$232,85,FALSE)</f>
        <v>171.72825622558599</v>
      </c>
    </row>
    <row r="43" spans="1:11">
      <c r="A43">
        <v>13321</v>
      </c>
      <c r="B43" t="s">
        <v>1684</v>
      </c>
      <c r="C43">
        <v>1</v>
      </c>
      <c r="D43" t="s">
        <v>202</v>
      </c>
      <c r="E43">
        <v>0.89999997615814198</v>
      </c>
      <c r="F43">
        <v>3816</v>
      </c>
      <c r="G43">
        <v>10</v>
      </c>
      <c r="H43" t="s">
        <v>194</v>
      </c>
      <c r="I43">
        <v>9.00000035762787E-2</v>
      </c>
      <c r="J43" s="67" t="str">
        <f>VLOOKUP($A43,MFMaster!$A$2:$C$300,2,FALSE)</f>
        <v>1-3 stories</v>
      </c>
      <c r="K43" s="67">
        <f>VLOOKUP($A43,MFMaster!$A$2:$CG$232,85,FALSE)</f>
        <v>266.90576171875</v>
      </c>
    </row>
    <row r="44" spans="1:11">
      <c r="A44">
        <v>13360</v>
      </c>
      <c r="B44" t="s">
        <v>1684</v>
      </c>
      <c r="C44">
        <v>1</v>
      </c>
      <c r="D44" t="s">
        <v>204</v>
      </c>
      <c r="E44">
        <v>1</v>
      </c>
      <c r="F44">
        <v>3584</v>
      </c>
      <c r="G44">
        <v>0</v>
      </c>
      <c r="H44" t="s">
        <v>196</v>
      </c>
      <c r="I44">
        <v>2.5000000372528999E-2</v>
      </c>
      <c r="J44" s="67" t="str">
        <f>VLOOKUP($A44,MFMaster!$A$2:$C$300,2,FALSE)</f>
        <v>1-3 stories</v>
      </c>
      <c r="K44" s="67">
        <f>VLOOKUP($A44,MFMaster!$A$2:$CG$232,85,FALSE)</f>
        <v>343.16452026367199</v>
      </c>
    </row>
    <row r="45" spans="1:11">
      <c r="A45">
        <v>13384</v>
      </c>
      <c r="B45" t="s">
        <v>1684</v>
      </c>
      <c r="C45">
        <v>1</v>
      </c>
      <c r="D45" t="s">
        <v>202</v>
      </c>
      <c r="E45">
        <v>0.5</v>
      </c>
      <c r="F45">
        <v>1982</v>
      </c>
      <c r="G45"/>
      <c r="H45" t="s">
        <v>196</v>
      </c>
      <c r="I45">
        <v>0.245000004768372</v>
      </c>
      <c r="J45" s="67" t="str">
        <f>VLOOKUP($A45,MFMaster!$A$2:$C$300,2,FALSE)</f>
        <v>1-3 stories</v>
      </c>
      <c r="K45" s="67">
        <f>VLOOKUP($A45,MFMaster!$A$2:$CG$232,85,FALSE)</f>
        <v>343.45651245117199</v>
      </c>
    </row>
    <row r="46" spans="1:11">
      <c r="A46">
        <v>13628</v>
      </c>
      <c r="B46" t="s">
        <v>1684</v>
      </c>
      <c r="C46">
        <v>1</v>
      </c>
      <c r="D46" t="s">
        <v>1686</v>
      </c>
      <c r="E46">
        <v>0.89999997615814198</v>
      </c>
      <c r="F46">
        <v>2128</v>
      </c>
      <c r="G46">
        <v>15</v>
      </c>
      <c r="H46"/>
      <c r="I46">
        <v>0.15000000596046401</v>
      </c>
      <c r="J46" s="67" t="str">
        <f>VLOOKUP($A46,MFMaster!$A$2:$C$300,2,FALSE)</f>
        <v>1-3 stories</v>
      </c>
      <c r="K46" s="67">
        <f>VLOOKUP($A46,MFMaster!$A$2:$CG$232,85,FALSE)</f>
        <v>343.45651245117199</v>
      </c>
    </row>
    <row r="47" spans="1:11">
      <c r="A47">
        <v>13694</v>
      </c>
      <c r="B47" t="s">
        <v>1684</v>
      </c>
      <c r="C47">
        <v>1</v>
      </c>
      <c r="D47" t="s">
        <v>199</v>
      </c>
      <c r="E47">
        <v>1</v>
      </c>
      <c r="F47">
        <v>4905</v>
      </c>
      <c r="G47">
        <v>20</v>
      </c>
      <c r="H47" t="s">
        <v>196</v>
      </c>
      <c r="I47">
        <v>5.0000000745058101E-2</v>
      </c>
      <c r="J47" s="67" t="str">
        <f>VLOOKUP($A47,MFMaster!$A$2:$C$300,2,FALSE)</f>
        <v>1-3 stories</v>
      </c>
      <c r="K47" s="67">
        <f>VLOOKUP($A47,MFMaster!$A$2:$CG$232,85,FALSE)</f>
        <v>266.90576171875</v>
      </c>
    </row>
    <row r="48" spans="1:11">
      <c r="A48">
        <v>13712</v>
      </c>
      <c r="B48" t="s">
        <v>1684</v>
      </c>
      <c r="C48">
        <v>1</v>
      </c>
      <c r="D48" t="s">
        <v>1686</v>
      </c>
      <c r="E48">
        <v>0.89999997615814198</v>
      </c>
      <c r="F48">
        <v>2800</v>
      </c>
      <c r="G48">
        <v>30</v>
      </c>
      <c r="H48"/>
      <c r="I48">
        <v>0.15000000596046401</v>
      </c>
      <c r="J48" s="67" t="str">
        <f>VLOOKUP($A48,MFMaster!$A$2:$C$300,2,FALSE)</f>
        <v>1-3 stories</v>
      </c>
      <c r="K48" s="67">
        <f>VLOOKUP($A48,MFMaster!$A$2:$CG$232,85,FALSE)</f>
        <v>136.90428161621099</v>
      </c>
    </row>
    <row r="49" spans="1:11">
      <c r="A49">
        <v>13899</v>
      </c>
      <c r="B49" t="s">
        <v>1684</v>
      </c>
      <c r="C49">
        <v>1</v>
      </c>
      <c r="D49" t="s">
        <v>203</v>
      </c>
      <c r="E49">
        <v>0.89999997615814198</v>
      </c>
      <c r="F49">
        <v>7744</v>
      </c>
      <c r="G49">
        <v>0</v>
      </c>
      <c r="H49" t="s">
        <v>201</v>
      </c>
      <c r="I49">
        <v>7.9999998211860698E-2</v>
      </c>
      <c r="J49" s="67" t="str">
        <f>VLOOKUP($A49,MFMaster!$A$2:$C$300,2,FALSE)</f>
        <v>1-3 stories</v>
      </c>
      <c r="K49" s="67">
        <f>VLOOKUP($A49,MFMaster!$A$2:$CG$232,85,FALSE)</f>
        <v>42.124393463134801</v>
      </c>
    </row>
    <row r="50" spans="1:11">
      <c r="A50">
        <v>14014</v>
      </c>
      <c r="B50" t="s">
        <v>1684</v>
      </c>
      <c r="C50">
        <v>1</v>
      </c>
      <c r="D50" t="s">
        <v>203</v>
      </c>
      <c r="E50">
        <v>1</v>
      </c>
      <c r="F50">
        <v>8280</v>
      </c>
      <c r="G50">
        <v>8</v>
      </c>
      <c r="H50" t="s">
        <v>196</v>
      </c>
      <c r="I50">
        <v>3.5000000149011598E-2</v>
      </c>
      <c r="J50" s="67" t="str">
        <f>VLOOKUP($A50,MFMaster!$A$2:$C$300,2,FALSE)</f>
        <v>1-3 stories</v>
      </c>
      <c r="K50" s="67">
        <f>VLOOKUP($A50,MFMaster!$A$2:$CG$232,85,FALSE)</f>
        <v>85.864128112792997</v>
      </c>
    </row>
    <row r="51" spans="1:11">
      <c r="A51">
        <v>14020</v>
      </c>
      <c r="B51" t="s">
        <v>1684</v>
      </c>
      <c r="C51">
        <v>1</v>
      </c>
      <c r="D51" t="s">
        <v>203</v>
      </c>
      <c r="E51">
        <v>0.75</v>
      </c>
      <c r="F51">
        <v>2510</v>
      </c>
      <c r="G51">
        <v>20</v>
      </c>
      <c r="H51" t="s">
        <v>201</v>
      </c>
      <c r="I51">
        <v>0.144999995827675</v>
      </c>
      <c r="J51" s="67" t="str">
        <f>VLOOKUP($A51,MFMaster!$A$2:$C$300,2,FALSE)</f>
        <v>1-3 stories</v>
      </c>
      <c r="K51" s="67">
        <f>VLOOKUP($A51,MFMaster!$A$2:$CG$232,85,FALSE)</f>
        <v>171.72825622558599</v>
      </c>
    </row>
    <row r="52" spans="1:11">
      <c r="A52">
        <v>14240</v>
      </c>
      <c r="B52" t="s">
        <v>1684</v>
      </c>
      <c r="C52">
        <v>1</v>
      </c>
      <c r="D52" t="s">
        <v>204</v>
      </c>
      <c r="E52">
        <v>1</v>
      </c>
      <c r="F52">
        <v>3999</v>
      </c>
      <c r="G52"/>
      <c r="H52" t="s">
        <v>201</v>
      </c>
      <c r="I52">
        <v>2.5000000372528999E-2</v>
      </c>
      <c r="J52" s="67" t="str">
        <f>VLOOKUP($A52,MFMaster!$A$2:$C$300,2,FALSE)</f>
        <v>1-3 stories</v>
      </c>
      <c r="K52" s="67" t="str">
        <f>VLOOKUP($A52,MFMaster!$A$2:$CG$232,85,FALSE)</f>
        <v/>
      </c>
    </row>
    <row r="53" spans="1:11">
      <c r="A53">
        <v>14258</v>
      </c>
      <c r="B53" t="s">
        <v>1684</v>
      </c>
      <c r="C53">
        <v>1</v>
      </c>
      <c r="D53" t="s">
        <v>204</v>
      </c>
      <c r="E53">
        <v>1</v>
      </c>
      <c r="F53">
        <v>4350</v>
      </c>
      <c r="G53">
        <v>0</v>
      </c>
      <c r="H53" t="s">
        <v>194</v>
      </c>
      <c r="I53">
        <v>2.5000000372528999E-2</v>
      </c>
      <c r="J53" s="67" t="str">
        <f>VLOOKUP($A53,MFMaster!$A$2:$C$300,2,FALSE)</f>
        <v>1-3 stories</v>
      </c>
      <c r="K53" s="67">
        <f>VLOOKUP($A53,MFMaster!$A$2:$CG$232,85,FALSE)</f>
        <v>436.75485229492199</v>
      </c>
    </row>
    <row r="54" spans="1:11">
      <c r="A54">
        <v>14259</v>
      </c>
      <c r="B54" t="s">
        <v>1684</v>
      </c>
      <c r="C54">
        <v>1</v>
      </c>
      <c r="D54" t="s">
        <v>204</v>
      </c>
      <c r="E54">
        <v>0.89999997615814198</v>
      </c>
      <c r="F54">
        <v>9850</v>
      </c>
      <c r="G54">
        <v>20</v>
      </c>
      <c r="H54" t="s">
        <v>196</v>
      </c>
      <c r="I54">
        <v>7.5000002980232197E-2</v>
      </c>
      <c r="J54" s="67" t="str">
        <f>VLOOKUP($A54,MFMaster!$A$2:$C$300,2,FALSE)</f>
        <v>4-6 stories</v>
      </c>
      <c r="K54" s="67" t="str">
        <f>VLOOKUP($A54,MFMaster!$A$2:$CG$232,85,FALSE)</f>
        <v/>
      </c>
    </row>
    <row r="55" spans="1:11">
      <c r="A55">
        <v>14259</v>
      </c>
      <c r="B55" t="s">
        <v>1685</v>
      </c>
      <c r="C55">
        <v>2</v>
      </c>
      <c r="D55" t="s">
        <v>204</v>
      </c>
      <c r="E55">
        <v>1</v>
      </c>
      <c r="F55">
        <v>23198</v>
      </c>
      <c r="G55"/>
      <c r="H55" t="s">
        <v>196</v>
      </c>
      <c r="I55">
        <v>2.5000000372528999E-2</v>
      </c>
      <c r="J55" s="67" t="str">
        <f>VLOOKUP($A55,MFMaster!$A$2:$C$300,2,FALSE)</f>
        <v>4-6 stories</v>
      </c>
      <c r="K55" s="67" t="str">
        <f>VLOOKUP($A55,MFMaster!$A$2:$CG$232,85,FALSE)</f>
        <v/>
      </c>
    </row>
    <row r="56" spans="1:11">
      <c r="A56">
        <v>14346</v>
      </c>
      <c r="B56" t="s">
        <v>1684</v>
      </c>
      <c r="C56">
        <v>1</v>
      </c>
      <c r="D56" t="s">
        <v>202</v>
      </c>
      <c r="E56">
        <v>1</v>
      </c>
      <c r="F56">
        <v>7000</v>
      </c>
      <c r="G56">
        <v>0</v>
      </c>
      <c r="H56" t="s">
        <v>196</v>
      </c>
      <c r="I56">
        <v>4.5000001788139302E-2</v>
      </c>
      <c r="J56" s="67" t="str">
        <f>VLOOKUP($A56,MFMaster!$A$2:$C$300,2,FALSE)</f>
        <v>1-3 stories</v>
      </c>
      <c r="K56" s="67">
        <f>VLOOKUP($A56,MFMaster!$A$2:$CG$232,85,FALSE)</f>
        <v>171.58226013183599</v>
      </c>
    </row>
    <row r="57" spans="1:11">
      <c r="A57">
        <v>14507</v>
      </c>
      <c r="B57" t="s">
        <v>1684</v>
      </c>
      <c r="C57">
        <v>1</v>
      </c>
      <c r="D57" t="s">
        <v>203</v>
      </c>
      <c r="E57">
        <v>0.75</v>
      </c>
      <c r="F57">
        <v>2631</v>
      </c>
      <c r="G57">
        <v>49</v>
      </c>
      <c r="H57" t="s">
        <v>198</v>
      </c>
      <c r="I57">
        <v>0.144999995827675</v>
      </c>
      <c r="J57" s="67" t="str">
        <f>VLOOKUP($A57,MFMaster!$A$2:$C$300,2,FALSE)</f>
        <v>1-3 stories</v>
      </c>
      <c r="K57" s="67">
        <f>VLOOKUP($A57,MFMaster!$A$2:$CG$232,85,FALSE)</f>
        <v>412.14782714843801</v>
      </c>
    </row>
    <row r="58" spans="1:11">
      <c r="A58">
        <v>14613</v>
      </c>
      <c r="B58" t="s">
        <v>1684</v>
      </c>
      <c r="C58">
        <v>1</v>
      </c>
      <c r="D58" t="s">
        <v>205</v>
      </c>
      <c r="E58">
        <v>1</v>
      </c>
      <c r="F58">
        <v>5354</v>
      </c>
      <c r="G58">
        <v>0</v>
      </c>
      <c r="H58" t="s">
        <v>196</v>
      </c>
      <c r="I58">
        <v>1.9999999552965199E-2</v>
      </c>
      <c r="J58" s="67" t="str">
        <f>VLOOKUP($A58,MFMaster!$A$2:$C$300,2,FALSE)</f>
        <v>1-3 stories</v>
      </c>
      <c r="K58" s="67">
        <f>VLOOKUP($A58,MFMaster!$A$2:$CG$232,85,FALSE)</f>
        <v>99.650344848632798</v>
      </c>
    </row>
    <row r="59" spans="1:11">
      <c r="A59">
        <v>14614</v>
      </c>
      <c r="B59" t="s">
        <v>1684</v>
      </c>
      <c r="C59">
        <v>1</v>
      </c>
      <c r="D59" t="s">
        <v>205</v>
      </c>
      <c r="E59">
        <v>0.89999997615814198</v>
      </c>
      <c r="F59">
        <v>4386</v>
      </c>
      <c r="G59">
        <v>0</v>
      </c>
      <c r="H59" t="s">
        <v>198</v>
      </c>
      <c r="I59">
        <v>7.0000000298023196E-2</v>
      </c>
      <c r="J59" s="67" t="str">
        <f>VLOOKUP($A59,MFMaster!$A$2:$C$300,2,FALSE)</f>
        <v>1-3 stories</v>
      </c>
      <c r="K59" s="67">
        <f>VLOOKUP($A59,MFMaster!$A$2:$CG$232,85,FALSE)</f>
        <v>320.28689575195301</v>
      </c>
    </row>
    <row r="60" spans="1:11">
      <c r="A60">
        <v>20119</v>
      </c>
      <c r="B60" t="s">
        <v>1684</v>
      </c>
      <c r="C60">
        <v>1</v>
      </c>
      <c r="D60" t="s">
        <v>204</v>
      </c>
      <c r="E60">
        <v>0.89999997615814198</v>
      </c>
      <c r="F60">
        <v>17239</v>
      </c>
      <c r="G60"/>
      <c r="H60" t="s">
        <v>195</v>
      </c>
      <c r="I60">
        <v>7.5000002980232197E-2</v>
      </c>
      <c r="J60" s="67" t="str">
        <f>VLOOKUP($A60,MFMaster!$A$2:$C$300,2,FALSE)</f>
        <v>1-3 stories</v>
      </c>
      <c r="K60" s="67">
        <f>VLOOKUP($A60,MFMaster!$A$2:$CG$232,85,FALSE)</f>
        <v>116.07144165039099</v>
      </c>
    </row>
    <row r="61" spans="1:11">
      <c r="A61">
        <v>20165</v>
      </c>
      <c r="B61" t="s">
        <v>1684</v>
      </c>
      <c r="C61">
        <v>1</v>
      </c>
      <c r="D61" t="s">
        <v>204</v>
      </c>
      <c r="E61">
        <v>0.89999997615814198</v>
      </c>
      <c r="F61">
        <v>3382</v>
      </c>
      <c r="G61"/>
      <c r="H61"/>
      <c r="I61">
        <v>7.5000002980232197E-2</v>
      </c>
      <c r="J61" s="67" t="str">
        <f>VLOOKUP($A61,MFMaster!$A$2:$C$300,2,FALSE)</f>
        <v>1-3 stories</v>
      </c>
      <c r="K61" s="67">
        <f>VLOOKUP($A61,MFMaster!$A$2:$CG$232,85,FALSE)</f>
        <v>628.72027587890602</v>
      </c>
    </row>
    <row r="62" spans="1:11">
      <c r="A62">
        <v>20193</v>
      </c>
      <c r="B62" t="s">
        <v>1684</v>
      </c>
      <c r="C62">
        <v>1</v>
      </c>
      <c r="D62" t="s">
        <v>197</v>
      </c>
      <c r="E62">
        <v>0.25</v>
      </c>
      <c r="F62">
        <v>6048</v>
      </c>
      <c r="G62">
        <v>50</v>
      </c>
      <c r="H62" t="s">
        <v>195</v>
      </c>
      <c r="I62">
        <v>0.33000001311302202</v>
      </c>
      <c r="J62" s="67" t="str">
        <f>VLOOKUP($A62,MFMaster!$A$2:$C$300,2,FALSE)</f>
        <v>1-3 stories</v>
      </c>
      <c r="K62" s="67">
        <f>VLOOKUP($A62,MFMaster!$A$2:$CG$232,85,FALSE)</f>
        <v>538.903076171875</v>
      </c>
    </row>
    <row r="63" spans="1:11">
      <c r="A63">
        <v>20566</v>
      </c>
      <c r="B63" t="s">
        <v>1684</v>
      </c>
      <c r="C63">
        <v>1</v>
      </c>
      <c r="D63" t="s">
        <v>197</v>
      </c>
      <c r="E63">
        <v>1</v>
      </c>
      <c r="F63">
        <v>3623</v>
      </c>
      <c r="G63">
        <v>12</v>
      </c>
      <c r="H63" t="s">
        <v>194</v>
      </c>
      <c r="I63">
        <v>7.0000000298023196E-2</v>
      </c>
      <c r="J63" s="67" t="str">
        <f>VLOOKUP($A63,MFMaster!$A$2:$C$300,2,FALSE)</f>
        <v>1-3 stories</v>
      </c>
      <c r="K63" s="67">
        <f>VLOOKUP($A63,MFMaster!$A$2:$CG$232,85,FALSE)</f>
        <v>754.46429443359398</v>
      </c>
    </row>
    <row r="64" spans="1:11">
      <c r="A64">
        <v>20581</v>
      </c>
      <c r="B64" t="s">
        <v>1684</v>
      </c>
      <c r="C64">
        <v>1</v>
      </c>
      <c r="D64" t="s">
        <v>1686</v>
      </c>
      <c r="E64">
        <v>0.89999997615814198</v>
      </c>
      <c r="F64">
        <v>2943</v>
      </c>
      <c r="G64"/>
      <c r="H64"/>
      <c r="I64">
        <v>0.15000000596046401</v>
      </c>
      <c r="J64" s="67" t="str">
        <f>VLOOKUP($A64,MFMaster!$A$2:$C$300,2,FALSE)</f>
        <v>1-3 stories</v>
      </c>
      <c r="K64" s="67">
        <f>VLOOKUP($A64,MFMaster!$A$2:$CG$232,85,FALSE)</f>
        <v>1257.44055175781</v>
      </c>
    </row>
    <row r="65" spans="1:11">
      <c r="A65">
        <v>20705</v>
      </c>
      <c r="B65" t="s">
        <v>1684</v>
      </c>
      <c r="C65">
        <v>1</v>
      </c>
      <c r="D65" t="s">
        <v>199</v>
      </c>
      <c r="E65">
        <v>0.89999997615814198</v>
      </c>
      <c r="F65">
        <v>5540</v>
      </c>
      <c r="G65"/>
      <c r="H65" t="s">
        <v>196</v>
      </c>
      <c r="I65">
        <v>9.4999998807907104E-2</v>
      </c>
      <c r="J65" s="67" t="str">
        <f>VLOOKUP($A65,MFMaster!$A$2:$C$300,2,FALSE)</f>
        <v>1-3 stories</v>
      </c>
      <c r="K65" s="67">
        <f>VLOOKUP($A65,MFMaster!$A$2:$CG$232,85,FALSE)</f>
        <v>1257.44055175781</v>
      </c>
    </row>
    <row r="66" spans="1:11">
      <c r="A66">
        <v>20803</v>
      </c>
      <c r="B66" t="s">
        <v>1684</v>
      </c>
      <c r="C66">
        <v>1</v>
      </c>
      <c r="D66" t="s">
        <v>204</v>
      </c>
      <c r="E66">
        <v>1</v>
      </c>
      <c r="F66">
        <v>2825</v>
      </c>
      <c r="G66"/>
      <c r="H66" t="s">
        <v>194</v>
      </c>
      <c r="I66">
        <v>2.5000000372528999E-2</v>
      </c>
      <c r="J66" s="67" t="str">
        <f>VLOOKUP($A66,MFMaster!$A$2:$C$300,2,FALSE)</f>
        <v>1-3 stories</v>
      </c>
      <c r="K66" s="67">
        <f>VLOOKUP($A66,MFMaster!$A$2:$CG$232,85,FALSE)</f>
        <v>838.293701171875</v>
      </c>
    </row>
    <row r="67" spans="1:11">
      <c r="A67">
        <v>21346</v>
      </c>
      <c r="B67" t="s">
        <v>1684</v>
      </c>
      <c r="C67">
        <v>1</v>
      </c>
      <c r="D67" t="s">
        <v>204</v>
      </c>
      <c r="E67">
        <v>0.89999997615814198</v>
      </c>
      <c r="F67">
        <v>5000</v>
      </c>
      <c r="G67">
        <v>20</v>
      </c>
      <c r="H67" t="s">
        <v>198</v>
      </c>
      <c r="I67">
        <v>7.5000002980232197E-2</v>
      </c>
      <c r="J67" s="67" t="str">
        <f>VLOOKUP($A67,MFMaster!$A$2:$C$300,2,FALSE)</f>
        <v>1-3 stories</v>
      </c>
      <c r="K67" s="67" t="str">
        <f>VLOOKUP($A67,MFMaster!$A$2:$CG$232,85,FALSE)</f>
        <v/>
      </c>
    </row>
    <row r="68" spans="1:11">
      <c r="A68">
        <v>21424</v>
      </c>
      <c r="B68" t="s">
        <v>1684</v>
      </c>
      <c r="C68">
        <v>1</v>
      </c>
      <c r="D68" t="s">
        <v>1686</v>
      </c>
      <c r="E68">
        <v>0.89999997615814198</v>
      </c>
      <c r="F68">
        <v>7180</v>
      </c>
      <c r="G68"/>
      <c r="H68" t="s">
        <v>194</v>
      </c>
      <c r="I68">
        <v>0.15000000596046401</v>
      </c>
      <c r="J68" s="67" t="str">
        <f>VLOOKUP($A68,MFMaster!$A$2:$C$300,2,FALSE)</f>
        <v>1-3 stories</v>
      </c>
      <c r="K68" s="67" t="str">
        <f>VLOOKUP($A68,MFMaster!$A$2:$CG$232,85,FALSE)</f>
        <v/>
      </c>
    </row>
    <row r="69" spans="1:11">
      <c r="A69">
        <v>21488</v>
      </c>
      <c r="B69" t="s">
        <v>1684</v>
      </c>
      <c r="C69">
        <v>1</v>
      </c>
      <c r="D69" t="s">
        <v>202</v>
      </c>
      <c r="E69">
        <v>0.89999997615814198</v>
      </c>
      <c r="F69">
        <v>2924</v>
      </c>
      <c r="G69">
        <v>20</v>
      </c>
      <c r="H69" t="s">
        <v>198</v>
      </c>
      <c r="I69">
        <v>9.00000035762787E-2</v>
      </c>
      <c r="J69" s="67" t="str">
        <f>VLOOKUP($A69,MFMaster!$A$2:$C$300,2,FALSE)</f>
        <v>1-3 stories</v>
      </c>
      <c r="K69" s="67">
        <f>VLOOKUP($A69,MFMaster!$A$2:$CG$232,85,FALSE)</f>
        <v>943.08038330078102</v>
      </c>
    </row>
    <row r="70" spans="1:11">
      <c r="A70">
        <v>21564</v>
      </c>
      <c r="B70" t="s">
        <v>1684</v>
      </c>
      <c r="C70">
        <v>1</v>
      </c>
      <c r="D70" t="s">
        <v>199</v>
      </c>
      <c r="E70">
        <v>1</v>
      </c>
      <c r="F70">
        <v>5890</v>
      </c>
      <c r="G70">
        <v>20</v>
      </c>
      <c r="H70" t="s">
        <v>196</v>
      </c>
      <c r="I70">
        <v>5.0000000745058101E-2</v>
      </c>
      <c r="J70" s="67" t="str">
        <f>VLOOKUP($A70,MFMaster!$A$2:$C$300,2,FALSE)</f>
        <v>1-3 stories</v>
      </c>
      <c r="K70" s="67">
        <f>VLOOKUP($A70,MFMaster!$A$2:$CG$232,85,FALSE)</f>
        <v>328.02795410156301</v>
      </c>
    </row>
    <row r="71" spans="1:11">
      <c r="A71">
        <v>21627</v>
      </c>
      <c r="B71" t="s">
        <v>1684</v>
      </c>
      <c r="C71">
        <v>1</v>
      </c>
      <c r="D71" t="s">
        <v>204</v>
      </c>
      <c r="E71">
        <v>0.89999997615814198</v>
      </c>
      <c r="F71">
        <v>7400</v>
      </c>
      <c r="G71">
        <v>12</v>
      </c>
      <c r="H71" t="s">
        <v>201</v>
      </c>
      <c r="I71">
        <v>7.5000002980232197E-2</v>
      </c>
      <c r="J71" s="67" t="str">
        <f>VLOOKUP($A71,MFMaster!$A$2:$C$300,2,FALSE)</f>
        <v>1-3 stories</v>
      </c>
      <c r="K71" s="67" t="str">
        <f>VLOOKUP($A71,MFMaster!$A$2:$CG$232,85,FALSE)</f>
        <v/>
      </c>
    </row>
    <row r="72" spans="1:11">
      <c r="A72">
        <v>21691</v>
      </c>
      <c r="B72" t="s">
        <v>1684</v>
      </c>
      <c r="C72">
        <v>1</v>
      </c>
      <c r="D72" t="s">
        <v>204</v>
      </c>
      <c r="E72">
        <v>1</v>
      </c>
      <c r="F72">
        <v>6726</v>
      </c>
      <c r="G72"/>
      <c r="H72" t="s">
        <v>208</v>
      </c>
      <c r="I72">
        <v>2.5000000372528999E-2</v>
      </c>
      <c r="J72" s="67" t="str">
        <f>VLOOKUP($A72,MFMaster!$A$2:$C$300,2,FALSE)</f>
        <v>1-3 stories</v>
      </c>
      <c r="K72" s="67">
        <f>VLOOKUP($A72,MFMaster!$A$2:$CG$232,85,FALSE)</f>
        <v>943.08038330078102</v>
      </c>
    </row>
    <row r="73" spans="1:11">
      <c r="A73">
        <v>21757</v>
      </c>
      <c r="B73" t="s">
        <v>1684</v>
      </c>
      <c r="C73">
        <v>1</v>
      </c>
      <c r="D73" t="s">
        <v>199</v>
      </c>
      <c r="E73">
        <v>0.5</v>
      </c>
      <c r="F73">
        <v>4588</v>
      </c>
      <c r="G73">
        <v>20</v>
      </c>
      <c r="H73" t="s">
        <v>196</v>
      </c>
      <c r="I73">
        <v>0.25</v>
      </c>
      <c r="J73" s="67" t="str">
        <f>VLOOKUP($A73,MFMaster!$A$2:$C$300,2,FALSE)</f>
        <v>1-3 stories</v>
      </c>
      <c r="K73" s="67">
        <f>VLOOKUP($A73,MFMaster!$A$2:$CG$232,85,FALSE)</f>
        <v>1257.44055175781</v>
      </c>
    </row>
    <row r="74" spans="1:11">
      <c r="A74">
        <v>21839</v>
      </c>
      <c r="B74" t="s">
        <v>1684</v>
      </c>
      <c r="C74">
        <v>1</v>
      </c>
      <c r="D74" t="s">
        <v>204</v>
      </c>
      <c r="E74">
        <v>1</v>
      </c>
      <c r="F74">
        <v>6339</v>
      </c>
      <c r="G74">
        <v>9</v>
      </c>
      <c r="H74" t="s">
        <v>194</v>
      </c>
      <c r="I74">
        <v>2.5000000372528999E-2</v>
      </c>
      <c r="J74" s="67" t="str">
        <f>VLOOKUP($A74,MFMaster!$A$2:$C$300,2,FALSE)</f>
        <v>4-6 stories</v>
      </c>
      <c r="K74" s="67" t="str">
        <f>VLOOKUP($A74,MFMaster!$A$2:$CG$232,85,FALSE)</f>
        <v/>
      </c>
    </row>
    <row r="75" spans="1:11">
      <c r="A75">
        <v>21844</v>
      </c>
      <c r="B75" t="s">
        <v>1684</v>
      </c>
      <c r="C75">
        <v>1</v>
      </c>
      <c r="D75" t="s">
        <v>205</v>
      </c>
      <c r="E75">
        <v>0.89999997615814198</v>
      </c>
      <c r="F75">
        <v>4345</v>
      </c>
      <c r="G75"/>
      <c r="H75" t="s">
        <v>201</v>
      </c>
      <c r="I75">
        <v>7.0000000298023196E-2</v>
      </c>
      <c r="J75" s="67" t="str">
        <f>VLOOKUP($A75,MFMaster!$A$2:$C$300,2,FALSE)</f>
        <v>1-3 stories</v>
      </c>
      <c r="K75" s="67">
        <f>VLOOKUP($A75,MFMaster!$A$2:$CG$232,85,FALSE)</f>
        <v>628.72027587890602</v>
      </c>
    </row>
    <row r="76" spans="1:11">
      <c r="A76">
        <v>21910</v>
      </c>
      <c r="B76" t="s">
        <v>1684</v>
      </c>
      <c r="C76">
        <v>1</v>
      </c>
      <c r="D76" t="s">
        <v>199</v>
      </c>
      <c r="E76">
        <v>1</v>
      </c>
      <c r="F76">
        <v>10709</v>
      </c>
      <c r="G76"/>
      <c r="H76" t="s">
        <v>201</v>
      </c>
      <c r="I76">
        <v>5.0000000745058101E-2</v>
      </c>
      <c r="J76" s="67" t="str">
        <f>VLOOKUP($A76,MFMaster!$A$2:$C$300,2,FALSE)</f>
        <v>1-3 stories</v>
      </c>
      <c r="K76" s="67">
        <f>VLOOKUP($A76,MFMaster!$A$2:$CG$232,85,FALSE)</f>
        <v>184.01568603515599</v>
      </c>
    </row>
    <row r="77" spans="1:11">
      <c r="A77">
        <v>21952</v>
      </c>
      <c r="B77" t="s">
        <v>1684</v>
      </c>
      <c r="C77">
        <v>1</v>
      </c>
      <c r="D77" t="s">
        <v>204</v>
      </c>
      <c r="E77">
        <v>1</v>
      </c>
      <c r="F77">
        <v>4760</v>
      </c>
      <c r="G77"/>
      <c r="H77" t="s">
        <v>194</v>
      </c>
      <c r="I77">
        <v>2.5000000372528999E-2</v>
      </c>
      <c r="J77" s="67" t="str">
        <f>VLOOKUP($A77,MFMaster!$A$2:$C$300,2,FALSE)</f>
        <v>1-3 stories</v>
      </c>
      <c r="K77" s="67">
        <f>VLOOKUP($A77,MFMaster!$A$2:$CG$232,85,FALSE)</f>
        <v>419.14685058593801</v>
      </c>
    </row>
    <row r="78" spans="1:11">
      <c r="A78">
        <v>21985</v>
      </c>
      <c r="B78" t="s">
        <v>1684</v>
      </c>
      <c r="C78">
        <v>1</v>
      </c>
      <c r="D78" t="s">
        <v>203</v>
      </c>
      <c r="E78">
        <v>0.75</v>
      </c>
      <c r="F78">
        <v>3240</v>
      </c>
      <c r="G78"/>
      <c r="H78" t="s">
        <v>195</v>
      </c>
      <c r="I78">
        <v>0.144999995827675</v>
      </c>
      <c r="J78" s="67" t="str">
        <f>VLOOKUP($A78,MFMaster!$A$2:$C$300,2,FALSE)</f>
        <v>1-3 stories</v>
      </c>
      <c r="K78" s="67">
        <f>VLOOKUP($A78,MFMaster!$A$2:$CG$232,85,FALSE)</f>
        <v>754.46429443359398</v>
      </c>
    </row>
    <row r="79" spans="1:11">
      <c r="A79">
        <v>21998</v>
      </c>
      <c r="B79" t="s">
        <v>1684</v>
      </c>
      <c r="C79">
        <v>1</v>
      </c>
      <c r="D79" t="s">
        <v>204</v>
      </c>
      <c r="E79">
        <v>0.89999997615814198</v>
      </c>
      <c r="F79">
        <v>4207</v>
      </c>
      <c r="G79"/>
      <c r="H79" t="s">
        <v>208</v>
      </c>
      <c r="I79">
        <v>7.5000002980232197E-2</v>
      </c>
      <c r="J79" s="67" t="str">
        <f>VLOOKUP($A79,MFMaster!$A$2:$C$300,2,FALSE)</f>
        <v>1-3 stories</v>
      </c>
      <c r="K79" s="67" t="str">
        <f>VLOOKUP($A79,MFMaster!$A$2:$CG$232,85,FALSE)</f>
        <v/>
      </c>
    </row>
    <row r="80" spans="1:11">
      <c r="A80">
        <v>22106</v>
      </c>
      <c r="B80" t="s">
        <v>1684</v>
      </c>
      <c r="C80">
        <v>1</v>
      </c>
      <c r="D80" t="s">
        <v>199</v>
      </c>
      <c r="E80">
        <v>1</v>
      </c>
      <c r="F80">
        <v>3200</v>
      </c>
      <c r="G80"/>
      <c r="H80" t="s">
        <v>194</v>
      </c>
      <c r="I80">
        <v>5.0000000745058101E-2</v>
      </c>
      <c r="J80" s="67" t="str">
        <f>VLOOKUP($A80,MFMaster!$A$2:$C$300,2,FALSE)</f>
        <v>1-3 stories</v>
      </c>
      <c r="K80" s="67">
        <f>VLOOKUP($A80,MFMaster!$A$2:$CG$232,85,FALSE)</f>
        <v>235.770095825195</v>
      </c>
    </row>
    <row r="81" spans="1:11">
      <c r="A81">
        <v>22262</v>
      </c>
      <c r="B81" t="s">
        <v>1684</v>
      </c>
      <c r="C81">
        <v>1</v>
      </c>
      <c r="D81" t="s">
        <v>204</v>
      </c>
      <c r="E81">
        <v>1</v>
      </c>
      <c r="F81">
        <v>4040</v>
      </c>
      <c r="G81">
        <v>0</v>
      </c>
      <c r="H81" t="s">
        <v>196</v>
      </c>
      <c r="I81">
        <v>2.5000000372528999E-2</v>
      </c>
      <c r="J81" s="67" t="str">
        <f>VLOOKUP($A81,MFMaster!$A$2:$C$300,2,FALSE)</f>
        <v>1-3 stories</v>
      </c>
      <c r="K81" s="67">
        <f>VLOOKUP($A81,MFMaster!$A$2:$CG$232,85,FALSE)</f>
        <v>943.08038330078102</v>
      </c>
    </row>
    <row r="82" spans="1:11">
      <c r="A82">
        <v>22371</v>
      </c>
      <c r="B82" t="s">
        <v>1684</v>
      </c>
      <c r="C82">
        <v>1</v>
      </c>
      <c r="D82" t="s">
        <v>204</v>
      </c>
      <c r="E82">
        <v>0.89999997615814198</v>
      </c>
      <c r="F82">
        <v>5400</v>
      </c>
      <c r="G82">
        <v>14</v>
      </c>
      <c r="H82" t="s">
        <v>201</v>
      </c>
      <c r="I82">
        <v>7.5000002980232197E-2</v>
      </c>
      <c r="J82" s="67" t="str">
        <f>VLOOKUP($A82,MFMaster!$A$2:$C$300,2,FALSE)</f>
        <v>1-3 stories</v>
      </c>
      <c r="K82" s="67">
        <f>VLOOKUP($A82,MFMaster!$A$2:$CG$232,85,FALSE)</f>
        <v>1257.44055175781</v>
      </c>
    </row>
    <row r="83" spans="1:11">
      <c r="A83">
        <v>22450</v>
      </c>
      <c r="B83" t="s">
        <v>1684</v>
      </c>
      <c r="C83">
        <v>1</v>
      </c>
      <c r="D83" t="s">
        <v>199</v>
      </c>
      <c r="E83">
        <v>0.75</v>
      </c>
      <c r="F83">
        <v>5123</v>
      </c>
      <c r="G83">
        <v>12</v>
      </c>
      <c r="H83" t="s">
        <v>194</v>
      </c>
      <c r="I83">
        <v>0.15500000119209301</v>
      </c>
      <c r="J83" s="67" t="str">
        <f>VLOOKUP($A83,MFMaster!$A$2:$C$300,2,FALSE)</f>
        <v>1-3 stories</v>
      </c>
      <c r="K83" s="67">
        <f>VLOOKUP($A83,MFMaster!$A$2:$CG$232,85,FALSE)</f>
        <v>538.903076171875</v>
      </c>
    </row>
    <row r="84" spans="1:11">
      <c r="A84">
        <v>22870</v>
      </c>
      <c r="B84" t="s">
        <v>1684</v>
      </c>
      <c r="C84">
        <v>1</v>
      </c>
      <c r="D84" t="s">
        <v>197</v>
      </c>
      <c r="E84">
        <v>0.89999997615814198</v>
      </c>
      <c r="F84">
        <v>7344</v>
      </c>
      <c r="G84"/>
      <c r="H84" t="s">
        <v>196</v>
      </c>
      <c r="I84">
        <v>0.109999999403954</v>
      </c>
      <c r="J84" s="67" t="str">
        <f>VLOOKUP($A84,MFMaster!$A$2:$C$300,2,FALSE)</f>
        <v>1-3 stories</v>
      </c>
      <c r="K84" s="67">
        <f>VLOOKUP($A84,MFMaster!$A$2:$CG$232,85,FALSE)</f>
        <v>471.54019165039102</v>
      </c>
    </row>
    <row r="85" spans="1:11">
      <c r="A85">
        <v>22906</v>
      </c>
      <c r="B85" t="s">
        <v>1684</v>
      </c>
      <c r="C85">
        <v>1</v>
      </c>
      <c r="D85" t="s">
        <v>204</v>
      </c>
      <c r="E85">
        <v>0.89999997615814198</v>
      </c>
      <c r="F85">
        <v>4745</v>
      </c>
      <c r="G85"/>
      <c r="H85" t="s">
        <v>194</v>
      </c>
      <c r="I85">
        <v>7.5000002980232197E-2</v>
      </c>
      <c r="J85" s="67" t="str">
        <f>VLOOKUP($A85,MFMaster!$A$2:$C$300,2,FALSE)</f>
        <v>1-3 stories</v>
      </c>
      <c r="K85" s="67">
        <f>VLOOKUP($A85,MFMaster!$A$2:$CG$232,85,FALSE)</f>
        <v>628.72027587890602</v>
      </c>
    </row>
    <row r="86" spans="1:11">
      <c r="A86">
        <v>23425</v>
      </c>
      <c r="B86" t="s">
        <v>1684</v>
      </c>
      <c r="C86">
        <v>1</v>
      </c>
      <c r="D86" t="s">
        <v>197</v>
      </c>
      <c r="E86">
        <v>0.5</v>
      </c>
      <c r="F86">
        <v>3340</v>
      </c>
      <c r="G86">
        <v>12</v>
      </c>
      <c r="H86" t="s">
        <v>194</v>
      </c>
      <c r="I86">
        <v>0.25</v>
      </c>
      <c r="J86" s="67" t="str">
        <f>VLOOKUP($A86,MFMaster!$A$2:$C$300,2,FALSE)</f>
        <v>1-3 stories</v>
      </c>
      <c r="K86" s="67">
        <f>VLOOKUP($A86,MFMaster!$A$2:$CG$232,85,FALSE)</f>
        <v>754.46429443359398</v>
      </c>
    </row>
    <row r="87" spans="1:11">
      <c r="A87">
        <v>23531</v>
      </c>
      <c r="B87" t="s">
        <v>1684</v>
      </c>
      <c r="C87">
        <v>1</v>
      </c>
      <c r="D87" t="s">
        <v>204</v>
      </c>
      <c r="E87">
        <v>0.89999997615814198</v>
      </c>
      <c r="F87">
        <v>5274</v>
      </c>
      <c r="G87"/>
      <c r="H87" t="s">
        <v>194</v>
      </c>
      <c r="I87">
        <v>7.5000002980232197E-2</v>
      </c>
      <c r="J87" s="67" t="str">
        <f>VLOOKUP($A87,MFMaster!$A$2:$C$300,2,FALSE)</f>
        <v>1-3 stories</v>
      </c>
      <c r="K87" s="67">
        <f>VLOOKUP($A87,MFMaster!$A$2:$CG$232,85,FALSE)</f>
        <v>419.14685058593801</v>
      </c>
    </row>
    <row r="88" spans="1:11">
      <c r="A88">
        <v>23623</v>
      </c>
      <c r="B88" t="s">
        <v>1684</v>
      </c>
      <c r="C88">
        <v>1</v>
      </c>
      <c r="D88" t="s">
        <v>1686</v>
      </c>
      <c r="E88">
        <v>0.89999997615814198</v>
      </c>
      <c r="F88">
        <v>4292</v>
      </c>
      <c r="G88">
        <v>50</v>
      </c>
      <c r="H88"/>
      <c r="I88">
        <v>0.15000000596046401</v>
      </c>
      <c r="J88" s="67" t="str">
        <f>VLOOKUP($A88,MFMaster!$A$2:$C$300,2,FALSE)</f>
        <v>1-3 stories</v>
      </c>
      <c r="K88" s="67">
        <f>VLOOKUP($A88,MFMaster!$A$2:$CG$232,85,FALSE)</f>
        <v>314.36013793945301</v>
      </c>
    </row>
    <row r="89" spans="1:11">
      <c r="A89">
        <v>23681</v>
      </c>
      <c r="B89" t="s">
        <v>1684</v>
      </c>
      <c r="C89">
        <v>1</v>
      </c>
      <c r="D89" t="s">
        <v>203</v>
      </c>
      <c r="E89">
        <v>0.89999997615814198</v>
      </c>
      <c r="F89">
        <v>5024</v>
      </c>
      <c r="G89"/>
      <c r="H89"/>
      <c r="I89">
        <v>7.9999998211860698E-2</v>
      </c>
      <c r="J89" s="67" t="str">
        <f>VLOOKUP($A89,MFMaster!$A$2:$C$300,2,FALSE)</f>
        <v>1-3 stories</v>
      </c>
      <c r="K89" s="67">
        <f>VLOOKUP($A89,MFMaster!$A$2:$CG$232,85,FALSE)</f>
        <v>943.08038330078102</v>
      </c>
    </row>
    <row r="90" spans="1:11">
      <c r="A90">
        <v>23685</v>
      </c>
      <c r="B90" t="s">
        <v>1684</v>
      </c>
      <c r="C90">
        <v>1</v>
      </c>
      <c r="D90" t="s">
        <v>1686</v>
      </c>
      <c r="E90">
        <v>0.89999997615814198</v>
      </c>
      <c r="F90">
        <v>4325</v>
      </c>
      <c r="G90"/>
      <c r="H90"/>
      <c r="I90">
        <v>0.15000000596046401</v>
      </c>
      <c r="J90" s="67" t="str">
        <f>VLOOKUP($A90,MFMaster!$A$2:$C$300,2,FALSE)</f>
        <v>1-3 stories</v>
      </c>
      <c r="K90" s="67">
        <f>VLOOKUP($A90,MFMaster!$A$2:$CG$232,85,FALSE)</f>
        <v>754.46429443359398</v>
      </c>
    </row>
    <row r="91" spans="1:11">
      <c r="A91">
        <v>23899</v>
      </c>
      <c r="B91" t="s">
        <v>1684</v>
      </c>
      <c r="C91">
        <v>1</v>
      </c>
      <c r="D91" t="s">
        <v>199</v>
      </c>
      <c r="E91">
        <v>0.89999997615814198</v>
      </c>
      <c r="F91">
        <v>16015</v>
      </c>
      <c r="G91">
        <v>20</v>
      </c>
      <c r="H91" t="s">
        <v>195</v>
      </c>
      <c r="I91">
        <v>9.4999998807907104E-2</v>
      </c>
      <c r="J91" s="67" t="str">
        <f>VLOOKUP($A91,MFMaster!$A$2:$C$300,2,FALSE)</f>
        <v>1-3 stories</v>
      </c>
      <c r="K91" s="67">
        <f>VLOOKUP($A91,MFMaster!$A$2:$CG$232,85,FALSE)</f>
        <v>167.65873718261699</v>
      </c>
    </row>
    <row r="92" spans="1:11">
      <c r="A92">
        <v>24009</v>
      </c>
      <c r="B92" t="s">
        <v>1684</v>
      </c>
      <c r="C92">
        <v>1</v>
      </c>
      <c r="D92" t="s">
        <v>204</v>
      </c>
      <c r="E92">
        <v>0.89999997615814198</v>
      </c>
      <c r="F92">
        <v>2136</v>
      </c>
      <c r="G92">
        <v>15</v>
      </c>
      <c r="H92" t="s">
        <v>201</v>
      </c>
      <c r="I92">
        <v>7.5000002980232197E-2</v>
      </c>
      <c r="J92" s="67" t="str">
        <f>VLOOKUP($A92,MFMaster!$A$2:$C$300,2,FALSE)</f>
        <v>1-3 stories</v>
      </c>
      <c r="K92" s="67" t="str">
        <f>VLOOKUP($A92,MFMaster!$A$2:$CG$232,85,FALSE)</f>
        <v/>
      </c>
    </row>
    <row r="93" spans="1:11">
      <c r="A93">
        <v>24123</v>
      </c>
      <c r="B93" t="s">
        <v>1684</v>
      </c>
      <c r="C93">
        <v>1</v>
      </c>
      <c r="D93" t="s">
        <v>1686</v>
      </c>
      <c r="E93">
        <v>0.89999997615814198</v>
      </c>
      <c r="F93">
        <v>1874</v>
      </c>
      <c r="G93">
        <v>50</v>
      </c>
      <c r="H93"/>
      <c r="I93">
        <v>0.15000000596046401</v>
      </c>
      <c r="J93" s="67" t="str">
        <f>VLOOKUP($A93,MFMaster!$A$2:$C$300,2,FALSE)</f>
        <v>1-3 stories</v>
      </c>
      <c r="K93" s="67" t="str">
        <f>VLOOKUP($A93,MFMaster!$A$2:$CG$232,85,FALSE)</f>
        <v/>
      </c>
    </row>
    <row r="94" spans="1:11">
      <c r="A94">
        <v>24139</v>
      </c>
      <c r="B94" t="s">
        <v>1684</v>
      </c>
      <c r="C94">
        <v>1</v>
      </c>
      <c r="D94" t="s">
        <v>197</v>
      </c>
      <c r="E94">
        <v>0.75</v>
      </c>
      <c r="F94">
        <v>7280</v>
      </c>
      <c r="G94">
        <v>20</v>
      </c>
      <c r="H94" t="s">
        <v>194</v>
      </c>
      <c r="I94">
        <v>0.17000000178813901</v>
      </c>
      <c r="J94" s="67" t="str">
        <f>VLOOKUP($A94,MFMaster!$A$2:$C$300,2,FALSE)</f>
        <v>1-3 stories</v>
      </c>
      <c r="K94" s="67">
        <f>VLOOKUP($A94,MFMaster!$A$2:$CG$232,85,FALSE)</f>
        <v>471.54019165039102</v>
      </c>
    </row>
    <row r="95" spans="1:11">
      <c r="A95">
        <v>24637</v>
      </c>
      <c r="B95" t="s">
        <v>1684</v>
      </c>
      <c r="C95">
        <v>1</v>
      </c>
      <c r="D95" t="s">
        <v>204</v>
      </c>
      <c r="E95">
        <v>0.89999997615814198</v>
      </c>
      <c r="F95">
        <v>27202</v>
      </c>
      <c r="G95">
        <v>20</v>
      </c>
      <c r="H95" t="s">
        <v>201</v>
      </c>
      <c r="I95">
        <v>7.5000002980232197E-2</v>
      </c>
      <c r="J95" s="67" t="str">
        <f>VLOOKUP($A95,MFMaster!$A$2:$C$300,2,FALSE)</f>
        <v>1-3 stories</v>
      </c>
      <c r="K95" s="67">
        <f>VLOOKUP($A95,MFMaster!$A$2:$CG$232,85,FALSE)</f>
        <v>209.57342529296901</v>
      </c>
    </row>
    <row r="96" spans="1:11">
      <c r="A96">
        <v>24802</v>
      </c>
      <c r="B96" t="s">
        <v>1684</v>
      </c>
      <c r="C96">
        <v>1</v>
      </c>
      <c r="D96" t="s">
        <v>197</v>
      </c>
      <c r="E96">
        <v>1</v>
      </c>
      <c r="F96">
        <v>9152</v>
      </c>
      <c r="G96">
        <v>12</v>
      </c>
      <c r="H96" t="s">
        <v>194</v>
      </c>
      <c r="I96">
        <v>7.0000000298023196E-2</v>
      </c>
      <c r="J96" s="67" t="str">
        <f>VLOOKUP($A96,MFMaster!$A$2:$C$300,2,FALSE)</f>
        <v>1-3 stories</v>
      </c>
      <c r="K96" s="67">
        <f>VLOOKUP($A96,MFMaster!$A$2:$CG$232,85,FALSE)</f>
        <v>314.36013793945301</v>
      </c>
    </row>
    <row r="97" spans="1:11">
      <c r="A97">
        <v>60051</v>
      </c>
      <c r="B97" t="s">
        <v>1684</v>
      </c>
      <c r="C97">
        <v>1</v>
      </c>
      <c r="D97" t="s">
        <v>202</v>
      </c>
      <c r="E97">
        <v>0.89999997615814198</v>
      </c>
      <c r="F97">
        <v>3110</v>
      </c>
      <c r="G97">
        <v>21</v>
      </c>
      <c r="H97" t="s">
        <v>201</v>
      </c>
      <c r="I97">
        <v>9.00000035762787E-2</v>
      </c>
      <c r="J97" s="67" t="str">
        <f>VLOOKUP($A97,MFMaster!$A$2:$C$300,2,FALSE)</f>
        <v>1-3 stories</v>
      </c>
      <c r="K97" s="67">
        <f>VLOOKUP($A97,MFMaster!$A$2:$CG$232,85,FALSE)</f>
        <v>960.86071777343795</v>
      </c>
    </row>
    <row r="98" spans="1:11">
      <c r="A98">
        <v>60071</v>
      </c>
      <c r="B98" t="s">
        <v>1684</v>
      </c>
      <c r="C98">
        <v>1</v>
      </c>
      <c r="D98" t="s">
        <v>206</v>
      </c>
      <c r="E98">
        <v>1</v>
      </c>
      <c r="F98">
        <v>6888</v>
      </c>
      <c r="G98"/>
      <c r="H98" t="s">
        <v>201</v>
      </c>
      <c r="I98">
        <v>1.9999999552965199E-2</v>
      </c>
      <c r="J98" s="67" t="str">
        <f>VLOOKUP($A98,MFMaster!$A$2:$C$300,2,FALSE)</f>
        <v>4-6 stories</v>
      </c>
      <c r="K98" s="67" t="str">
        <f>VLOOKUP($A98,MFMaster!$A$2:$CG$232,85,FALSE)</f>
        <v/>
      </c>
    </row>
    <row r="99" spans="1:11">
      <c r="A99">
        <v>60099</v>
      </c>
      <c r="B99" t="s">
        <v>1684</v>
      </c>
      <c r="C99">
        <v>1</v>
      </c>
      <c r="D99" t="s">
        <v>204</v>
      </c>
      <c r="E99">
        <v>0.89999997615814198</v>
      </c>
      <c r="F99">
        <v>6448</v>
      </c>
      <c r="G99">
        <v>13</v>
      </c>
      <c r="H99" t="s">
        <v>201</v>
      </c>
      <c r="I99">
        <v>7.5000002980232197E-2</v>
      </c>
      <c r="J99" s="67" t="str">
        <f>VLOOKUP($A99,MFMaster!$A$2:$C$300,2,FALSE)</f>
        <v>1-3 stories</v>
      </c>
      <c r="K99" s="67">
        <f>VLOOKUP($A99,MFMaster!$A$2:$CG$232,85,FALSE)</f>
        <v>300.26898193359398</v>
      </c>
    </row>
    <row r="100" spans="1:11">
      <c r="A100">
        <v>71003</v>
      </c>
      <c r="B100" t="s">
        <v>1684</v>
      </c>
      <c r="C100">
        <v>1</v>
      </c>
      <c r="D100" t="s">
        <v>203</v>
      </c>
      <c r="E100">
        <v>0.89999997615814198</v>
      </c>
      <c r="F100">
        <v>2290</v>
      </c>
      <c r="G100"/>
      <c r="H100" t="s">
        <v>194</v>
      </c>
      <c r="I100">
        <v>7.9999998211860698E-2</v>
      </c>
      <c r="J100" s="67" t="str">
        <f>VLOOKUP($A100,MFMaster!$A$2:$C$300,2,FALSE)</f>
        <v>1-3 stories</v>
      </c>
      <c r="K100" s="67">
        <f>VLOOKUP($A100,MFMaster!$A$2:$CG$232,85,FALSE)</f>
        <v>182.53904724121099</v>
      </c>
    </row>
    <row r="101" spans="1:11">
      <c r="A101">
        <v>71004</v>
      </c>
      <c r="B101" t="s">
        <v>1684</v>
      </c>
      <c r="C101">
        <v>1</v>
      </c>
      <c r="D101" t="s">
        <v>205</v>
      </c>
      <c r="E101">
        <v>1</v>
      </c>
      <c r="F101">
        <v>5012</v>
      </c>
      <c r="G101">
        <v>0</v>
      </c>
      <c r="H101" t="s">
        <v>201</v>
      </c>
      <c r="I101">
        <v>1.9999999552965199E-2</v>
      </c>
      <c r="J101" s="67" t="str">
        <f>VLOOKUP($A101,MFMaster!$A$2:$C$300,2,FALSE)</f>
        <v>1-3 stories</v>
      </c>
      <c r="K101" s="67">
        <f>VLOOKUP($A101,MFMaster!$A$2:$CG$232,85,FALSE)</f>
        <v>136.90428161621099</v>
      </c>
    </row>
    <row r="102" spans="1:11">
      <c r="A102">
        <v>71007</v>
      </c>
      <c r="B102" t="s">
        <v>1684</v>
      </c>
      <c r="C102">
        <v>1</v>
      </c>
      <c r="D102" t="s">
        <v>1686</v>
      </c>
      <c r="E102">
        <v>0.89999997615814198</v>
      </c>
      <c r="F102">
        <v>1717</v>
      </c>
      <c r="G102"/>
      <c r="H102"/>
      <c r="I102">
        <v>0.15000000596046401</v>
      </c>
      <c r="J102" s="67" t="str">
        <f>VLOOKUP($A102,MFMaster!$A$2:$C$300,2,FALSE)</f>
        <v>1-3 stories</v>
      </c>
      <c r="K102" s="67">
        <f>VLOOKUP($A102,MFMaster!$A$2:$CG$232,85,FALSE)</f>
        <v>219.04685974121099</v>
      </c>
    </row>
    <row r="103" spans="1:11">
      <c r="A103">
        <v>71008</v>
      </c>
      <c r="B103" t="s">
        <v>1684</v>
      </c>
      <c r="C103">
        <v>1</v>
      </c>
      <c r="D103" t="s">
        <v>204</v>
      </c>
      <c r="E103">
        <v>1</v>
      </c>
      <c r="F103">
        <v>1260</v>
      </c>
      <c r="G103">
        <v>20</v>
      </c>
      <c r="H103" t="s">
        <v>201</v>
      </c>
      <c r="I103">
        <v>2.5000000372528999E-2</v>
      </c>
      <c r="J103" s="67" t="str">
        <f>VLOOKUP($A103,MFMaster!$A$2:$C$300,2,FALSE)</f>
        <v>1-3 stories</v>
      </c>
      <c r="K103" s="67">
        <f>VLOOKUP($A103,MFMaster!$A$2:$CG$232,85,FALSE)</f>
        <v>182.53904724121099</v>
      </c>
    </row>
    <row r="104" spans="1:11">
      <c r="A104">
        <v>71009</v>
      </c>
      <c r="B104" t="s">
        <v>1684</v>
      </c>
      <c r="C104">
        <v>1</v>
      </c>
      <c r="D104" t="s">
        <v>1686</v>
      </c>
      <c r="E104">
        <v>0.89999997615814198</v>
      </c>
      <c r="F104">
        <v>1560</v>
      </c>
      <c r="G104"/>
      <c r="H104"/>
      <c r="I104">
        <v>0.15000000596046401</v>
      </c>
      <c r="J104" s="67" t="str">
        <f>VLOOKUP($A104,MFMaster!$A$2:$C$300,2,FALSE)</f>
        <v>1-3 stories</v>
      </c>
      <c r="K104" s="67" t="str">
        <f>VLOOKUP($A104,MFMaster!$A$2:$CG$232,85,FALSE)</f>
        <v/>
      </c>
    </row>
    <row r="105" spans="1:11">
      <c r="A105">
        <v>71010</v>
      </c>
      <c r="B105" t="s">
        <v>1684</v>
      </c>
      <c r="C105">
        <v>1</v>
      </c>
      <c r="D105" t="s">
        <v>204</v>
      </c>
      <c r="E105">
        <v>1</v>
      </c>
      <c r="F105">
        <v>2836</v>
      </c>
      <c r="G105">
        <v>50</v>
      </c>
      <c r="H105" t="s">
        <v>196</v>
      </c>
      <c r="I105">
        <v>2.5000000372528999E-2</v>
      </c>
      <c r="J105" s="67" t="str">
        <f>VLOOKUP($A105,MFMaster!$A$2:$C$300,2,FALSE)</f>
        <v>1-3 stories</v>
      </c>
      <c r="K105" s="67">
        <f>VLOOKUP($A105,MFMaster!$A$2:$CG$232,85,FALSE)</f>
        <v>182.53904724121099</v>
      </c>
    </row>
    <row r="106" spans="1:11">
      <c r="A106">
        <v>71011</v>
      </c>
      <c r="B106" t="s">
        <v>1684</v>
      </c>
      <c r="C106">
        <v>1</v>
      </c>
      <c r="D106" t="s">
        <v>199</v>
      </c>
      <c r="E106">
        <v>1</v>
      </c>
      <c r="F106">
        <v>1300</v>
      </c>
      <c r="G106">
        <v>10</v>
      </c>
      <c r="H106" t="s">
        <v>196</v>
      </c>
      <c r="I106">
        <v>5.0000000745058101E-2</v>
      </c>
      <c r="J106" s="67" t="str">
        <f>VLOOKUP($A106,MFMaster!$A$2:$C$300,2,FALSE)</f>
        <v>1-3 stories</v>
      </c>
      <c r="K106" s="67">
        <f>VLOOKUP($A106,MFMaster!$A$2:$CG$232,85,FALSE)</f>
        <v>136.90428161621099</v>
      </c>
    </row>
    <row r="107" spans="1:11">
      <c r="A107">
        <v>71013</v>
      </c>
      <c r="B107" t="s">
        <v>1684</v>
      </c>
      <c r="C107">
        <v>1</v>
      </c>
      <c r="D107" t="s">
        <v>1686</v>
      </c>
      <c r="E107">
        <v>0.75</v>
      </c>
      <c r="F107">
        <v>2150</v>
      </c>
      <c r="G107">
        <v>30</v>
      </c>
      <c r="H107" t="s">
        <v>200</v>
      </c>
      <c r="I107">
        <v>0.19499999284744299</v>
      </c>
      <c r="J107" s="67" t="str">
        <f>VLOOKUP($A107,MFMaster!$A$2:$C$300,2,FALSE)</f>
        <v>1-3 stories</v>
      </c>
      <c r="K107" s="67" t="str">
        <f>VLOOKUP($A107,MFMaster!$A$2:$CG$232,85,FALSE)</f>
        <v/>
      </c>
    </row>
    <row r="108" spans="1:11">
      <c r="A108">
        <v>72001</v>
      </c>
      <c r="B108" t="s">
        <v>1684</v>
      </c>
      <c r="C108">
        <v>1</v>
      </c>
      <c r="D108" t="s">
        <v>199</v>
      </c>
      <c r="E108">
        <v>0.5</v>
      </c>
      <c r="F108">
        <v>4522</v>
      </c>
      <c r="G108">
        <v>38</v>
      </c>
      <c r="H108" t="s">
        <v>195</v>
      </c>
      <c r="I108">
        <v>0.25</v>
      </c>
      <c r="J108" s="67" t="str">
        <f>VLOOKUP($A108,MFMaster!$A$2:$C$300,2,FALSE)</f>
        <v>1-3 stories</v>
      </c>
      <c r="K108" s="67">
        <f>VLOOKUP($A108,MFMaster!$A$2:$CG$232,85,FALSE)</f>
        <v>78.231018066406307</v>
      </c>
    </row>
    <row r="109" spans="1:11">
      <c r="A109">
        <v>72002</v>
      </c>
      <c r="B109" t="s">
        <v>1684</v>
      </c>
      <c r="C109">
        <v>1</v>
      </c>
      <c r="D109" t="s">
        <v>203</v>
      </c>
      <c r="E109">
        <v>0.89999997615814198</v>
      </c>
      <c r="F109">
        <v>3380</v>
      </c>
      <c r="G109">
        <v>20</v>
      </c>
      <c r="H109"/>
      <c r="I109">
        <v>7.9999998211860698E-2</v>
      </c>
      <c r="J109" s="67" t="str">
        <f>VLOOKUP($A109,MFMaster!$A$2:$C$300,2,FALSE)</f>
        <v>4-6 stories</v>
      </c>
      <c r="K109" s="67" t="str">
        <f>VLOOKUP($A109,MFMaster!$A$2:$CG$232,85,FALSE)</f>
        <v/>
      </c>
    </row>
    <row r="110" spans="1:11">
      <c r="A110">
        <v>72003</v>
      </c>
      <c r="B110" t="s">
        <v>1684</v>
      </c>
      <c r="C110">
        <v>1</v>
      </c>
      <c r="D110" t="s">
        <v>203</v>
      </c>
      <c r="E110">
        <v>0.89999997615814198</v>
      </c>
      <c r="F110">
        <v>2975</v>
      </c>
      <c r="G110">
        <v>50</v>
      </c>
      <c r="H110" t="s">
        <v>196</v>
      </c>
      <c r="I110">
        <v>7.9999998211860698E-2</v>
      </c>
      <c r="J110" s="67" t="str">
        <f>VLOOKUP($A110,MFMaster!$A$2:$C$300,2,FALSE)</f>
        <v>4-6 stories</v>
      </c>
      <c r="K110" s="67" t="str">
        <f>VLOOKUP($A110,MFMaster!$A$2:$CG$232,85,FALSE)</f>
        <v/>
      </c>
    </row>
    <row r="111" spans="1:11">
      <c r="A111">
        <v>72004</v>
      </c>
      <c r="B111" t="s">
        <v>1684</v>
      </c>
      <c r="C111">
        <v>1</v>
      </c>
      <c r="D111" t="s">
        <v>199</v>
      </c>
      <c r="E111">
        <v>1</v>
      </c>
      <c r="F111">
        <v>3050</v>
      </c>
      <c r="G111">
        <v>38</v>
      </c>
      <c r="H111" t="s">
        <v>195</v>
      </c>
      <c r="I111">
        <v>5.0000000745058101E-2</v>
      </c>
      <c r="J111" s="67" t="str">
        <f>VLOOKUP($A111,MFMaster!$A$2:$C$300,2,FALSE)</f>
        <v>4-6 stories</v>
      </c>
      <c r="K111" s="67" t="str">
        <f>VLOOKUP($A111,MFMaster!$A$2:$CG$232,85,FALSE)</f>
        <v/>
      </c>
    </row>
    <row r="112" spans="1:11">
      <c r="A112">
        <v>72005</v>
      </c>
      <c r="B112" t="s">
        <v>1684</v>
      </c>
      <c r="C112">
        <v>1</v>
      </c>
      <c r="D112" t="s">
        <v>199</v>
      </c>
      <c r="E112">
        <v>0.89999997615814198</v>
      </c>
      <c r="F112">
        <v>4620</v>
      </c>
      <c r="G112"/>
      <c r="H112"/>
      <c r="I112">
        <v>9.4999998807907104E-2</v>
      </c>
      <c r="J112" s="67" t="str">
        <f>VLOOKUP($A112,MFMaster!$A$2:$C$300,2,FALSE)</f>
        <v>1-3 stories</v>
      </c>
      <c r="K112" s="67">
        <f>VLOOKUP($A112,MFMaster!$A$2:$CG$232,85,FALSE)</f>
        <v>91.269523620605497</v>
      </c>
    </row>
    <row r="113" spans="1:11">
      <c r="A113">
        <v>72006</v>
      </c>
      <c r="B113" t="s">
        <v>1684</v>
      </c>
      <c r="C113">
        <v>1</v>
      </c>
      <c r="D113" t="s">
        <v>205</v>
      </c>
      <c r="E113">
        <v>1</v>
      </c>
      <c r="F113">
        <v>3168</v>
      </c>
      <c r="G113">
        <v>0</v>
      </c>
      <c r="H113" t="s">
        <v>196</v>
      </c>
      <c r="I113">
        <v>1.9999999552965199E-2</v>
      </c>
      <c r="J113" s="67" t="str">
        <f>VLOOKUP($A113,MFMaster!$A$2:$C$300,2,FALSE)</f>
        <v>1-3 stories</v>
      </c>
      <c r="K113" s="67">
        <f>VLOOKUP($A113,MFMaster!$A$2:$CG$232,85,FALSE)</f>
        <v>91.269523620605497</v>
      </c>
    </row>
    <row r="114" spans="1:11">
      <c r="A114">
        <v>72007</v>
      </c>
      <c r="B114" t="s">
        <v>1684</v>
      </c>
      <c r="C114">
        <v>1</v>
      </c>
      <c r="D114" t="s">
        <v>197</v>
      </c>
      <c r="E114">
        <v>1</v>
      </c>
      <c r="F114">
        <v>4836</v>
      </c>
      <c r="G114">
        <v>0</v>
      </c>
      <c r="H114" t="s">
        <v>194</v>
      </c>
      <c r="I114">
        <v>7.0000000298023196E-2</v>
      </c>
      <c r="J114" s="67" t="str">
        <f>VLOOKUP($A114,MFMaster!$A$2:$C$300,2,FALSE)</f>
        <v>1-3 stories</v>
      </c>
      <c r="K114" s="67">
        <f>VLOOKUP($A114,MFMaster!$A$2:$CG$232,85,FALSE)</f>
        <v>91.269523620605497</v>
      </c>
    </row>
    <row r="115" spans="1:11">
      <c r="A115">
        <v>72008</v>
      </c>
      <c r="B115" t="s">
        <v>1684</v>
      </c>
      <c r="C115">
        <v>1</v>
      </c>
      <c r="D115" t="s">
        <v>1686</v>
      </c>
      <c r="E115">
        <v>0.89999997615814198</v>
      </c>
      <c r="F115">
        <v>3898</v>
      </c>
      <c r="G115"/>
      <c r="H115"/>
      <c r="I115">
        <v>0.15000000596046401</v>
      </c>
      <c r="J115" s="67" t="str">
        <f>VLOOKUP($A115,MFMaster!$A$2:$C$300,2,FALSE)</f>
        <v>1-3 stories</v>
      </c>
      <c r="K115" s="67">
        <f>VLOOKUP($A115,MFMaster!$A$2:$CG$232,85,FALSE)</f>
        <v>99.566741943359403</v>
      </c>
    </row>
    <row r="116" spans="1:11">
      <c r="A116">
        <v>73003</v>
      </c>
      <c r="B116" t="s">
        <v>1684</v>
      </c>
      <c r="C116">
        <v>1</v>
      </c>
      <c r="D116" t="s">
        <v>204</v>
      </c>
      <c r="E116">
        <v>0.89999997615814198</v>
      </c>
      <c r="F116">
        <v>5310</v>
      </c>
      <c r="G116"/>
      <c r="H116" t="s">
        <v>196</v>
      </c>
      <c r="I116">
        <v>7.5000002980232197E-2</v>
      </c>
      <c r="J116" s="67" t="str">
        <f>VLOOKUP($A116,MFMaster!$A$2:$C$300,2,FALSE)</f>
        <v>1-3 stories</v>
      </c>
      <c r="K116" s="67">
        <f>VLOOKUP($A116,MFMaster!$A$2:$CG$232,85,FALSE)</f>
        <v>60.846343994140597</v>
      </c>
    </row>
    <row r="117" spans="1:11">
      <c r="A117">
        <v>73007</v>
      </c>
      <c r="B117" t="s">
        <v>1684</v>
      </c>
      <c r="C117">
        <v>1</v>
      </c>
      <c r="D117" t="s">
        <v>1686</v>
      </c>
      <c r="E117">
        <v>0.89999997615814198</v>
      </c>
      <c r="F117">
        <v>3764</v>
      </c>
      <c r="G117"/>
      <c r="H117"/>
      <c r="I117">
        <v>0.15000000596046401</v>
      </c>
      <c r="J117" s="67" t="str">
        <f>VLOOKUP($A117,MFMaster!$A$2:$C$300,2,FALSE)</f>
        <v>1-3 stories</v>
      </c>
      <c r="K117" s="67">
        <f>VLOOKUP($A117,MFMaster!$A$2:$CG$232,85,FALSE)</f>
        <v>64.425544738769503</v>
      </c>
    </row>
    <row r="118" spans="1:11">
      <c r="A118">
        <v>73010</v>
      </c>
      <c r="B118" t="s">
        <v>1684</v>
      </c>
      <c r="C118">
        <v>1</v>
      </c>
      <c r="D118" t="s">
        <v>204</v>
      </c>
      <c r="E118">
        <v>1</v>
      </c>
      <c r="F118">
        <v>5046</v>
      </c>
      <c r="G118">
        <v>0</v>
      </c>
      <c r="H118" t="s">
        <v>194</v>
      </c>
      <c r="I118">
        <v>2.5000000372528999E-2</v>
      </c>
      <c r="J118" s="67" t="str">
        <f>VLOOKUP($A118,MFMaster!$A$2:$C$300,2,FALSE)</f>
        <v>1-3 stories</v>
      </c>
      <c r="K118" s="67" t="str">
        <f>VLOOKUP($A118,MFMaster!$A$2:$CG$232,85,FALSE)</f>
        <v/>
      </c>
    </row>
    <row r="119" spans="1:11">
      <c r="A119">
        <v>74001</v>
      </c>
      <c r="B119" t="s">
        <v>1684</v>
      </c>
      <c r="C119">
        <v>1</v>
      </c>
      <c r="D119" t="s">
        <v>202</v>
      </c>
      <c r="E119">
        <v>0.5</v>
      </c>
      <c r="F119">
        <v>10859</v>
      </c>
      <c r="G119">
        <v>40</v>
      </c>
      <c r="H119" t="s">
        <v>194</v>
      </c>
      <c r="I119">
        <v>0.245000004768372</v>
      </c>
      <c r="J119" s="67" t="str">
        <f>VLOOKUP($A119,MFMaster!$A$2:$C$300,2,FALSE)</f>
        <v>4-6 stories</v>
      </c>
      <c r="K119" s="67" t="str">
        <f>VLOOKUP($A119,MFMaster!$A$2:$CG$232,85,FALSE)</f>
        <v/>
      </c>
    </row>
    <row r="120" spans="1:11">
      <c r="A120">
        <v>74003</v>
      </c>
      <c r="B120" t="s">
        <v>1684</v>
      </c>
      <c r="C120">
        <v>1</v>
      </c>
      <c r="D120" t="s">
        <v>202</v>
      </c>
      <c r="E120">
        <v>0.75</v>
      </c>
      <c r="F120">
        <v>13355</v>
      </c>
      <c r="G120">
        <v>49</v>
      </c>
      <c r="H120" t="s">
        <v>201</v>
      </c>
      <c r="I120">
        <v>0.15000000596046401</v>
      </c>
      <c r="J120" s="67" t="str">
        <f>VLOOKUP($A120,MFMaster!$A$2:$C$300,2,FALSE)</f>
        <v>1-3 stories</v>
      </c>
      <c r="K120" s="67">
        <f>VLOOKUP($A120,MFMaster!$A$2:$CG$232,85,FALSE)</f>
        <v>36.507808685302699</v>
      </c>
    </row>
    <row r="121" spans="1:11">
      <c r="A121">
        <v>74004</v>
      </c>
      <c r="B121" t="s">
        <v>1684</v>
      </c>
      <c r="C121">
        <v>1</v>
      </c>
      <c r="D121" t="s">
        <v>203</v>
      </c>
      <c r="E121">
        <v>0.75</v>
      </c>
      <c r="F121">
        <v>5585</v>
      </c>
      <c r="G121">
        <v>30</v>
      </c>
      <c r="H121" t="s">
        <v>198</v>
      </c>
      <c r="I121">
        <v>0.144999995827675</v>
      </c>
      <c r="J121" s="67" t="str">
        <f>VLOOKUP($A121,MFMaster!$A$2:$C$300,2,FALSE)</f>
        <v>1-3 stories</v>
      </c>
      <c r="K121" s="67">
        <f>VLOOKUP($A121,MFMaster!$A$2:$CG$232,85,FALSE)</f>
        <v>45.634761810302699</v>
      </c>
    </row>
    <row r="122" spans="1:11">
      <c r="A122">
        <v>74006</v>
      </c>
      <c r="B122" t="s">
        <v>1684</v>
      </c>
      <c r="C122">
        <v>1</v>
      </c>
      <c r="D122" t="s">
        <v>202</v>
      </c>
      <c r="E122">
        <v>0.89999997615814198</v>
      </c>
      <c r="F122">
        <v>7146</v>
      </c>
      <c r="G122"/>
      <c r="H122" t="s">
        <v>196</v>
      </c>
      <c r="I122">
        <v>9.00000035762787E-2</v>
      </c>
      <c r="J122" s="67" t="str">
        <f>VLOOKUP($A122,MFMaster!$A$2:$C$300,2,FALSE)</f>
        <v>1-3 stories</v>
      </c>
      <c r="K122" s="67">
        <f>VLOOKUP($A122,MFMaster!$A$2:$CG$232,85,FALSE)</f>
        <v>47.6188774108887</v>
      </c>
    </row>
    <row r="123" spans="1:11">
      <c r="A123">
        <v>74007</v>
      </c>
      <c r="B123" t="s">
        <v>1684</v>
      </c>
      <c r="C123">
        <v>1</v>
      </c>
      <c r="D123" t="s">
        <v>199</v>
      </c>
      <c r="E123">
        <v>0.89999997615814198</v>
      </c>
      <c r="F123">
        <v>2340</v>
      </c>
      <c r="G123">
        <v>0</v>
      </c>
      <c r="H123" t="s">
        <v>196</v>
      </c>
      <c r="I123">
        <v>9.4999998807907104E-2</v>
      </c>
      <c r="J123" s="67" t="str">
        <f>VLOOKUP($A123,MFMaster!$A$2:$C$300,2,FALSE)</f>
        <v>4-6 stories</v>
      </c>
      <c r="K123" s="67" t="str">
        <f>VLOOKUP($A123,MFMaster!$A$2:$CG$232,85,FALSE)</f>
        <v/>
      </c>
    </row>
    <row r="124" spans="1:11">
      <c r="A124">
        <v>74010</v>
      </c>
      <c r="B124" t="s">
        <v>1684</v>
      </c>
      <c r="C124">
        <v>1</v>
      </c>
      <c r="D124" t="s">
        <v>203</v>
      </c>
      <c r="E124">
        <v>1</v>
      </c>
      <c r="F124">
        <v>8568</v>
      </c>
      <c r="G124">
        <v>6</v>
      </c>
      <c r="H124" t="s">
        <v>194</v>
      </c>
      <c r="I124">
        <v>3.5000000149011598E-2</v>
      </c>
      <c r="J124" s="67" t="str">
        <f>VLOOKUP($A124,MFMaster!$A$2:$C$300,2,FALSE)</f>
        <v>4-6 stories</v>
      </c>
      <c r="K124" s="67" t="str">
        <f>VLOOKUP($A124,MFMaster!$A$2:$CG$232,85,FALSE)</f>
        <v/>
      </c>
    </row>
    <row r="125" spans="1:11">
      <c r="A125">
        <v>74011</v>
      </c>
      <c r="B125" t="s">
        <v>1684</v>
      </c>
      <c r="C125">
        <v>1</v>
      </c>
      <c r="D125" t="s">
        <v>1686</v>
      </c>
      <c r="E125">
        <v>0.89999997615814198</v>
      </c>
      <c r="F125">
        <v>6520</v>
      </c>
      <c r="G125"/>
      <c r="H125" t="s">
        <v>196</v>
      </c>
      <c r="I125">
        <v>0.15000000596046401</v>
      </c>
      <c r="J125" s="67" t="str">
        <f>VLOOKUP($A125,MFMaster!$A$2:$C$300,2,FALSE)</f>
        <v>1-3 stories</v>
      </c>
      <c r="K125" s="67">
        <f>VLOOKUP($A125,MFMaster!$A$2:$CG$232,85,FALSE)</f>
        <v>31.292406082153299</v>
      </c>
    </row>
    <row r="126" spans="1:11">
      <c r="A126">
        <v>74013</v>
      </c>
      <c r="B126" t="s">
        <v>1684</v>
      </c>
      <c r="C126">
        <v>1</v>
      </c>
      <c r="D126" t="s">
        <v>203</v>
      </c>
      <c r="E126">
        <v>0.89999997615814198</v>
      </c>
      <c r="F126">
        <v>7600</v>
      </c>
      <c r="G126"/>
      <c r="H126" t="s">
        <v>196</v>
      </c>
      <c r="I126">
        <v>7.9999998211860698E-2</v>
      </c>
      <c r="J126" s="67" t="str">
        <f>VLOOKUP($A126,MFMaster!$A$2:$C$300,2,FALSE)</f>
        <v>4-6 stories</v>
      </c>
      <c r="K126" s="67" t="str">
        <f>VLOOKUP($A126,MFMaster!$A$2:$CG$232,85,FALSE)</f>
        <v/>
      </c>
    </row>
    <row r="127" spans="1:11">
      <c r="A127">
        <v>74014</v>
      </c>
      <c r="B127" t="s">
        <v>1684</v>
      </c>
      <c r="C127">
        <v>1</v>
      </c>
      <c r="D127" t="s">
        <v>199</v>
      </c>
      <c r="E127">
        <v>0.75</v>
      </c>
      <c r="F127">
        <v>6664</v>
      </c>
      <c r="G127">
        <v>38</v>
      </c>
      <c r="H127" t="s">
        <v>201</v>
      </c>
      <c r="I127">
        <v>0.15500000119209301</v>
      </c>
      <c r="J127" s="67" t="str">
        <f>VLOOKUP($A127,MFMaster!$A$2:$C$300,2,FALSE)</f>
        <v>4-6 stories</v>
      </c>
      <c r="K127" s="67" t="str">
        <f>VLOOKUP($A127,MFMaster!$A$2:$CG$232,85,FALSE)</f>
        <v/>
      </c>
    </row>
    <row r="128" spans="1:11">
      <c r="A128">
        <v>74015</v>
      </c>
      <c r="B128" t="s">
        <v>1684</v>
      </c>
      <c r="C128">
        <v>1</v>
      </c>
      <c r="D128" t="s">
        <v>199</v>
      </c>
      <c r="E128">
        <v>0.89999997615814198</v>
      </c>
      <c r="F128">
        <v>6690</v>
      </c>
      <c r="G128">
        <v>30</v>
      </c>
      <c r="H128"/>
      <c r="I128">
        <v>9.4999998807907104E-2</v>
      </c>
      <c r="J128" s="67" t="str">
        <f>VLOOKUP($A128,MFMaster!$A$2:$C$300,2,FALSE)</f>
        <v>1-3 stories</v>
      </c>
      <c r="K128" s="67">
        <f>VLOOKUP($A128,MFMaster!$A$2:$CG$232,85,FALSE)</f>
        <v>40.564231872558601</v>
      </c>
    </row>
    <row r="129" spans="1:11">
      <c r="A129">
        <v>75001</v>
      </c>
      <c r="B129" t="s">
        <v>1684</v>
      </c>
      <c r="C129">
        <v>1</v>
      </c>
      <c r="D129" t="s">
        <v>1686</v>
      </c>
      <c r="E129">
        <v>0.89999997615814198</v>
      </c>
      <c r="F129">
        <v>9100</v>
      </c>
      <c r="G129"/>
      <c r="H129"/>
      <c r="I129">
        <v>0.15000000596046401</v>
      </c>
      <c r="J129" s="67" t="str">
        <f>VLOOKUP($A129,MFMaster!$A$2:$C$300,2,FALSE)</f>
        <v>1-3 stories</v>
      </c>
      <c r="K129" s="67">
        <f>VLOOKUP($A129,MFMaster!$A$2:$CG$232,85,FALSE)</f>
        <v>28.821952819824201</v>
      </c>
    </row>
    <row r="130" spans="1:11">
      <c r="A130">
        <v>75003</v>
      </c>
      <c r="B130" t="s">
        <v>1684</v>
      </c>
      <c r="C130">
        <v>1</v>
      </c>
      <c r="D130" t="s">
        <v>204</v>
      </c>
      <c r="E130">
        <v>0.89999997615814198</v>
      </c>
      <c r="F130">
        <v>9600</v>
      </c>
      <c r="G130"/>
      <c r="H130" t="s">
        <v>196</v>
      </c>
      <c r="I130">
        <v>7.5000002980232197E-2</v>
      </c>
      <c r="J130" s="67" t="str">
        <f>VLOOKUP($A130,MFMaster!$A$2:$C$300,2,FALSE)</f>
        <v>4-6 stories</v>
      </c>
      <c r="K130" s="67" t="str">
        <f>VLOOKUP($A130,MFMaster!$A$2:$CG$232,85,FALSE)</f>
        <v/>
      </c>
    </row>
    <row r="131" spans="1:11">
      <c r="A131">
        <v>75004</v>
      </c>
      <c r="B131" t="s">
        <v>1684</v>
      </c>
      <c r="C131">
        <v>1</v>
      </c>
      <c r="D131" t="s">
        <v>199</v>
      </c>
      <c r="E131">
        <v>1</v>
      </c>
      <c r="F131">
        <v>12602</v>
      </c>
      <c r="G131">
        <v>15</v>
      </c>
      <c r="H131" t="s">
        <v>195</v>
      </c>
      <c r="I131">
        <v>5.0000000745058101E-2</v>
      </c>
      <c r="J131" s="67" t="str">
        <f>VLOOKUP($A131,MFMaster!$A$2:$C$300,2,FALSE)</f>
        <v>1-3 stories</v>
      </c>
      <c r="K131" s="67">
        <f>VLOOKUP($A131,MFMaster!$A$2:$CG$232,85,FALSE)</f>
        <v>19.557754516601602</v>
      </c>
    </row>
    <row r="132" spans="1:11">
      <c r="A132">
        <v>75006</v>
      </c>
      <c r="B132" t="s">
        <v>1684</v>
      </c>
      <c r="C132">
        <v>1</v>
      </c>
      <c r="D132" t="s">
        <v>202</v>
      </c>
      <c r="E132">
        <v>1</v>
      </c>
      <c r="F132">
        <v>2829</v>
      </c>
      <c r="G132">
        <v>13</v>
      </c>
      <c r="H132" t="s">
        <v>196</v>
      </c>
      <c r="I132">
        <v>4.5000001788139302E-2</v>
      </c>
      <c r="J132" s="67" t="str">
        <f>VLOOKUP($A132,MFMaster!$A$2:$C$300,2,FALSE)</f>
        <v>4-6 stories</v>
      </c>
      <c r="K132" s="67" t="str">
        <f>VLOOKUP($A132,MFMaster!$A$2:$CG$232,85,FALSE)</f>
        <v/>
      </c>
    </row>
    <row r="133" spans="1:11">
      <c r="A133">
        <v>75008</v>
      </c>
      <c r="B133" t="s">
        <v>1684</v>
      </c>
      <c r="C133">
        <v>1</v>
      </c>
      <c r="D133" t="s">
        <v>199</v>
      </c>
      <c r="E133">
        <v>0.89999997615814198</v>
      </c>
      <c r="F133">
        <v>13130</v>
      </c>
      <c r="G133">
        <v>0</v>
      </c>
      <c r="H133" t="s">
        <v>196</v>
      </c>
      <c r="I133">
        <v>9.4999998807907104E-2</v>
      </c>
      <c r="J133" s="67" t="str">
        <f>VLOOKUP($A133,MFMaster!$A$2:$C$300,2,FALSE)</f>
        <v>1-3 stories</v>
      </c>
      <c r="K133" s="67">
        <f>VLOOKUP($A133,MFMaster!$A$2:$CG$232,85,FALSE)</f>
        <v>26.7130317687988</v>
      </c>
    </row>
    <row r="134" spans="1:11">
      <c r="A134">
        <v>75009</v>
      </c>
      <c r="B134" t="s">
        <v>1684</v>
      </c>
      <c r="C134">
        <v>1</v>
      </c>
      <c r="D134" t="s">
        <v>1686</v>
      </c>
      <c r="E134">
        <v>0.89999997615814198</v>
      </c>
      <c r="F134">
        <v>7186</v>
      </c>
      <c r="G134">
        <v>38</v>
      </c>
      <c r="H134" t="s">
        <v>194</v>
      </c>
      <c r="I134">
        <v>0.15000000596046401</v>
      </c>
      <c r="J134" s="67" t="str">
        <f>VLOOKUP($A134,MFMaster!$A$2:$C$300,2,FALSE)</f>
        <v>1-3 stories</v>
      </c>
      <c r="K134" s="67" t="str">
        <f>VLOOKUP($A134,MFMaster!$A$2:$CG$232,85,FALSE)</f>
        <v/>
      </c>
    </row>
    <row r="135" spans="1:11">
      <c r="A135">
        <v>75010</v>
      </c>
      <c r="B135" t="s">
        <v>1684</v>
      </c>
      <c r="C135">
        <v>1</v>
      </c>
      <c r="D135" t="s">
        <v>203</v>
      </c>
      <c r="E135">
        <v>0.89999997615814198</v>
      </c>
      <c r="F135">
        <v>10296</v>
      </c>
      <c r="G135"/>
      <c r="H135" t="s">
        <v>196</v>
      </c>
      <c r="I135">
        <v>7.9999998211860698E-2</v>
      </c>
      <c r="J135" s="67" t="str">
        <f>VLOOKUP($A135,MFMaster!$A$2:$C$300,2,FALSE)</f>
        <v>1-3 stories</v>
      </c>
      <c r="K135" s="67">
        <f>VLOOKUP($A135,MFMaster!$A$2:$CG$232,85,FALSE)</f>
        <v>30.423171997070298</v>
      </c>
    </row>
    <row r="136" spans="1:11">
      <c r="A136">
        <v>75011</v>
      </c>
      <c r="B136" t="s">
        <v>1684</v>
      </c>
      <c r="C136">
        <v>1</v>
      </c>
      <c r="D136" t="s">
        <v>204</v>
      </c>
      <c r="E136">
        <v>1</v>
      </c>
      <c r="F136">
        <v>7173</v>
      </c>
      <c r="G136">
        <v>10</v>
      </c>
      <c r="H136" t="s">
        <v>201</v>
      </c>
      <c r="I136">
        <v>2.5000000372528999E-2</v>
      </c>
      <c r="J136" s="67" t="str">
        <f>VLOOKUP($A136,MFMaster!$A$2:$C$300,2,FALSE)</f>
        <v>4-6 stories</v>
      </c>
      <c r="K136" s="67" t="str">
        <f>VLOOKUP($A136,MFMaster!$A$2:$CG$232,85,FALSE)</f>
        <v/>
      </c>
    </row>
    <row r="137" spans="1:11">
      <c r="A137">
        <v>75012</v>
      </c>
      <c r="B137" t="s">
        <v>1684</v>
      </c>
      <c r="C137">
        <v>1</v>
      </c>
      <c r="D137" t="s">
        <v>202</v>
      </c>
      <c r="E137">
        <v>0.89999997615814198</v>
      </c>
      <c r="F137">
        <v>3354</v>
      </c>
      <c r="G137"/>
      <c r="H137" t="s">
        <v>194</v>
      </c>
      <c r="I137">
        <v>9.00000035762787E-2</v>
      </c>
      <c r="J137" s="67" t="str">
        <f>VLOOKUP($A137,MFMaster!$A$2:$C$300,2,FALSE)</f>
        <v>1-3 stories</v>
      </c>
      <c r="K137" s="67" t="str">
        <f>VLOOKUP($A137,MFMaster!$A$2:$CG$232,85,FALSE)</f>
        <v/>
      </c>
    </row>
    <row r="138" spans="1:11">
      <c r="A138">
        <v>76003</v>
      </c>
      <c r="B138" t="s">
        <v>1684</v>
      </c>
      <c r="C138">
        <v>1</v>
      </c>
      <c r="D138" t="s">
        <v>1686</v>
      </c>
      <c r="E138">
        <v>0.89999997615814198</v>
      </c>
      <c r="F138">
        <v>3241</v>
      </c>
      <c r="G138"/>
      <c r="H138"/>
      <c r="I138">
        <v>0.15000000596046401</v>
      </c>
      <c r="J138" s="67" t="str">
        <f>VLOOKUP($A138,MFMaster!$A$2:$C$300,2,FALSE)</f>
        <v>7+ stories</v>
      </c>
      <c r="K138" s="67" t="str">
        <f>VLOOKUP($A138,MFMaster!$A$2:$CG$232,85,FALSE)</f>
        <v/>
      </c>
    </row>
    <row r="139" spans="1:11">
      <c r="A139">
        <v>76007</v>
      </c>
      <c r="B139" t="s">
        <v>1684</v>
      </c>
      <c r="C139">
        <v>1</v>
      </c>
      <c r="D139" t="s">
        <v>204</v>
      </c>
      <c r="E139">
        <v>0.89999997615814198</v>
      </c>
      <c r="F139">
        <v>6030</v>
      </c>
      <c r="G139">
        <v>10</v>
      </c>
      <c r="H139" t="s">
        <v>194</v>
      </c>
      <c r="I139">
        <v>7.5000002980232197E-2</v>
      </c>
      <c r="J139" s="67" t="str">
        <f>VLOOKUP($A139,MFMaster!$A$2:$C$300,2,FALSE)</f>
        <v>4-6 stories</v>
      </c>
      <c r="K139" s="67" t="str">
        <f>VLOOKUP($A139,MFMaster!$A$2:$CG$232,85,FALSE)</f>
        <v/>
      </c>
    </row>
    <row r="140" spans="1:11">
      <c r="A140">
        <v>76012</v>
      </c>
      <c r="B140" t="s">
        <v>1684</v>
      </c>
      <c r="C140">
        <v>1</v>
      </c>
      <c r="D140" t="s">
        <v>205</v>
      </c>
      <c r="E140">
        <v>0.89999997615814198</v>
      </c>
      <c r="F140">
        <v>18839</v>
      </c>
      <c r="G140"/>
      <c r="H140" t="s">
        <v>196</v>
      </c>
      <c r="I140">
        <v>7.0000000298023196E-2</v>
      </c>
      <c r="J140" s="67" t="str">
        <f>VLOOKUP($A140,MFMaster!$A$2:$C$300,2,FALSE)</f>
        <v>4-6 stories</v>
      </c>
      <c r="K140" s="67" t="str">
        <f>VLOOKUP($A140,MFMaster!$A$2:$CG$232,85,FALSE)</f>
        <v/>
      </c>
    </row>
    <row r="141" spans="1:11">
      <c r="A141">
        <v>76012</v>
      </c>
      <c r="B141" t="s">
        <v>1685</v>
      </c>
      <c r="C141">
        <v>2</v>
      </c>
      <c r="D141" t="s">
        <v>203</v>
      </c>
      <c r="E141">
        <v>0.89999997615814198</v>
      </c>
      <c r="F141">
        <v>750</v>
      </c>
      <c r="G141"/>
      <c r="H141" t="s">
        <v>200</v>
      </c>
      <c r="I141">
        <v>7.9999998211860698E-2</v>
      </c>
      <c r="J141" s="67" t="str">
        <f>VLOOKUP($A141,MFMaster!$A$2:$C$300,2,FALSE)</f>
        <v>4-6 stories</v>
      </c>
      <c r="K141" s="67" t="str">
        <f>VLOOKUP($A141,MFMaster!$A$2:$CG$232,85,FALSE)</f>
        <v/>
      </c>
    </row>
    <row r="142" spans="1:11">
      <c r="A142">
        <v>76013</v>
      </c>
      <c r="B142" t="s">
        <v>1684</v>
      </c>
      <c r="C142">
        <v>1</v>
      </c>
      <c r="D142" t="s">
        <v>204</v>
      </c>
      <c r="E142">
        <v>1</v>
      </c>
      <c r="F142">
        <v>11621</v>
      </c>
      <c r="G142">
        <v>0</v>
      </c>
      <c r="H142" t="s">
        <v>196</v>
      </c>
      <c r="I142">
        <v>2.5000000372528999E-2</v>
      </c>
      <c r="J142" s="67" t="str">
        <f>VLOOKUP($A142,MFMaster!$A$2:$C$300,2,FALSE)</f>
        <v>4-6 stories</v>
      </c>
      <c r="K142" s="67" t="str">
        <f>VLOOKUP($A142,MFMaster!$A$2:$CG$232,85,FALSE)</f>
        <v/>
      </c>
    </row>
    <row r="143" spans="1:11">
      <c r="A143">
        <v>77003</v>
      </c>
      <c r="B143" t="s">
        <v>1684</v>
      </c>
      <c r="C143">
        <v>1</v>
      </c>
      <c r="D143" t="s">
        <v>204</v>
      </c>
      <c r="E143">
        <v>1</v>
      </c>
      <c r="F143">
        <v>26760</v>
      </c>
      <c r="G143">
        <v>0</v>
      </c>
      <c r="H143" t="s">
        <v>194</v>
      </c>
      <c r="I143">
        <v>2.5000000372528999E-2</v>
      </c>
      <c r="J143" s="67" t="str">
        <f>VLOOKUP($A143,MFMaster!$A$2:$C$300,2,FALSE)</f>
        <v>4-6 stories</v>
      </c>
      <c r="K143" s="67" t="str">
        <f>VLOOKUP($A143,MFMaster!$A$2:$CG$232,85,FALSE)</f>
        <v/>
      </c>
    </row>
    <row r="144" spans="1:11">
      <c r="A144">
        <v>77004</v>
      </c>
      <c r="B144" t="s">
        <v>1684</v>
      </c>
      <c r="C144">
        <v>1</v>
      </c>
      <c r="D144" t="s">
        <v>203</v>
      </c>
      <c r="E144">
        <v>0.89999997615814198</v>
      </c>
      <c r="F144">
        <v>42545</v>
      </c>
      <c r="G144">
        <v>30</v>
      </c>
      <c r="H144" t="s">
        <v>196</v>
      </c>
      <c r="I144">
        <v>7.9999998211860698E-2</v>
      </c>
      <c r="J144" s="67" t="str">
        <f>VLOOKUP($A144,MFMaster!$A$2:$C$300,2,FALSE)</f>
        <v>1-3 stories</v>
      </c>
      <c r="K144" s="67">
        <f>VLOOKUP($A144,MFMaster!$A$2:$CG$232,85,FALSE)</f>
        <v>6.93186235427856</v>
      </c>
    </row>
    <row r="145" spans="1:11">
      <c r="A145">
        <v>77006</v>
      </c>
      <c r="B145" t="s">
        <v>1684</v>
      </c>
      <c r="C145">
        <v>1</v>
      </c>
      <c r="D145" t="s">
        <v>199</v>
      </c>
      <c r="E145">
        <v>1</v>
      </c>
      <c r="F145">
        <v>20296</v>
      </c>
      <c r="G145">
        <v>0</v>
      </c>
      <c r="H145" t="s">
        <v>198</v>
      </c>
      <c r="I145">
        <v>5.0000000745058101E-2</v>
      </c>
      <c r="J145" s="67" t="str">
        <f>VLOOKUP($A145,MFMaster!$A$2:$C$300,2,FALSE)</f>
        <v>7+ stories</v>
      </c>
      <c r="K145" s="67" t="str">
        <f>VLOOKUP($A145,MFMaster!$A$2:$CG$232,85,FALSE)</f>
        <v/>
      </c>
    </row>
    <row r="146" spans="1:11">
      <c r="A146">
        <v>77006</v>
      </c>
      <c r="B146" t="s">
        <v>1685</v>
      </c>
      <c r="C146">
        <v>2</v>
      </c>
      <c r="D146" t="s">
        <v>203</v>
      </c>
      <c r="E146">
        <v>1</v>
      </c>
      <c r="F146">
        <v>1033</v>
      </c>
      <c r="G146">
        <v>0</v>
      </c>
      <c r="H146" t="s">
        <v>196</v>
      </c>
      <c r="I146">
        <v>3.5000000149011598E-2</v>
      </c>
      <c r="J146" s="67" t="str">
        <f>VLOOKUP($A146,MFMaster!$A$2:$C$300,2,FALSE)</f>
        <v>7+ stories</v>
      </c>
      <c r="K146" s="67" t="str">
        <f>VLOOKUP($A146,MFMaster!$A$2:$CG$232,85,FALSE)</f>
        <v/>
      </c>
    </row>
    <row r="147" spans="1:11">
      <c r="A147">
        <v>77009</v>
      </c>
      <c r="B147" t="s">
        <v>1684</v>
      </c>
      <c r="C147">
        <v>1</v>
      </c>
      <c r="D147" t="s">
        <v>204</v>
      </c>
      <c r="E147">
        <v>0.89999997615814198</v>
      </c>
      <c r="F147">
        <v>33658</v>
      </c>
      <c r="G147"/>
      <c r="H147" t="s">
        <v>196</v>
      </c>
      <c r="I147">
        <v>7.5000002980232197E-2</v>
      </c>
      <c r="J147" s="67" t="str">
        <f>VLOOKUP($A147,MFMaster!$A$2:$C$300,2,FALSE)</f>
        <v>4-6 stories</v>
      </c>
      <c r="K147" s="67" t="str">
        <f>VLOOKUP($A147,MFMaster!$A$2:$CG$232,85,FALSE)</f>
        <v/>
      </c>
    </row>
    <row r="148" spans="1:11">
      <c r="A148">
        <v>78008</v>
      </c>
      <c r="B148" t="s">
        <v>1684</v>
      </c>
      <c r="C148">
        <v>1</v>
      </c>
      <c r="D148" t="s">
        <v>199</v>
      </c>
      <c r="E148">
        <v>0.89999997615814198</v>
      </c>
      <c r="F148">
        <v>40361</v>
      </c>
      <c r="G148"/>
      <c r="H148" t="s">
        <v>196</v>
      </c>
      <c r="I148">
        <v>9.4999998807907104E-2</v>
      </c>
      <c r="J148" s="67" t="str">
        <f>VLOOKUP($A148,MFMaster!$A$2:$C$300,2,FALSE)</f>
        <v>4-6 stories</v>
      </c>
      <c r="K148" s="67" t="str">
        <f>VLOOKUP($A148,MFMaster!$A$2:$CG$232,85,FALSE)</f>
        <v/>
      </c>
    </row>
    <row r="149" spans="1:11">
      <c r="A149">
        <v>80061</v>
      </c>
      <c r="B149" t="s">
        <v>1684</v>
      </c>
      <c r="C149">
        <v>1</v>
      </c>
      <c r="D149" t="s">
        <v>199</v>
      </c>
      <c r="E149">
        <v>0.89999997615814198</v>
      </c>
      <c r="F149">
        <v>5758</v>
      </c>
      <c r="G149">
        <v>6</v>
      </c>
      <c r="H149" t="s">
        <v>194</v>
      </c>
      <c r="I149">
        <v>9.4999998807907104E-2</v>
      </c>
      <c r="J149" s="67" t="str">
        <f>VLOOKUP($A149,MFMaster!$A$2:$C$300,2,FALSE)</f>
        <v>1-3 stories</v>
      </c>
      <c r="K149" s="67">
        <f>VLOOKUP($A149,MFMaster!$A$2:$CG$232,85,FALSE)</f>
        <v>85.864128112792997</v>
      </c>
    </row>
    <row r="630" spans="7:7">
      <c r="G630" s="68"/>
    </row>
  </sheetData>
  <pageMargins left="0.75" right="0.75" top="1" bottom="1" header="0.5" footer="0.5"/>
  <pageSetup orientation="portrait" r:id="rId2"/>
  <headerFooter alignWithMargins="0"/>
  <legacyDrawing r:id="rId3"/>
</worksheet>
</file>

<file path=xl/worksheets/sheet11.xml><?xml version="1.0" encoding="utf-8"?>
<worksheet xmlns="http://schemas.openxmlformats.org/spreadsheetml/2006/main" xmlns:r="http://schemas.openxmlformats.org/officeDocument/2006/relationships">
  <dimension ref="A1:V373"/>
  <sheetViews>
    <sheetView topLeftCell="K1" workbookViewId="0">
      <selection activeCell="T26" sqref="T26"/>
    </sheetView>
  </sheetViews>
  <sheetFormatPr defaultRowHeight="12.75"/>
  <cols>
    <col min="1" max="7" width="9.140625" style="67"/>
    <col min="8" max="8" width="26.5703125" style="67" bestFit="1" customWidth="1"/>
    <col min="9" max="12" width="9.140625" style="67"/>
    <col min="13" max="15" width="9.140625" style="67" customWidth="1"/>
    <col min="16" max="16" width="13.85546875" style="67" customWidth="1"/>
    <col min="17" max="17" width="20.7109375" style="67" customWidth="1"/>
    <col min="18" max="18" width="25.28515625" style="67" customWidth="1"/>
    <col min="19" max="20" width="12" style="67" bestFit="1" customWidth="1"/>
    <col min="21" max="21" width="9.7109375" style="67" bestFit="1" customWidth="1"/>
    <col min="22" max="264" width="9.140625" style="67"/>
    <col min="265" max="265" width="26.5703125" style="67" bestFit="1" customWidth="1"/>
    <col min="266" max="520" width="9.140625" style="67"/>
    <col min="521" max="521" width="26.5703125" style="67" bestFit="1" customWidth="1"/>
    <col min="522" max="776" width="9.140625" style="67"/>
    <col min="777" max="777" width="26.5703125" style="67" bestFit="1" customWidth="1"/>
    <col min="778" max="1032" width="9.140625" style="67"/>
    <col min="1033" max="1033" width="26.5703125" style="67" bestFit="1" customWidth="1"/>
    <col min="1034" max="1288" width="9.140625" style="67"/>
    <col min="1289" max="1289" width="26.5703125" style="67" bestFit="1" customWidth="1"/>
    <col min="1290" max="1544" width="9.140625" style="67"/>
    <col min="1545" max="1545" width="26.5703125" style="67" bestFit="1" customWidth="1"/>
    <col min="1546" max="1800" width="9.140625" style="67"/>
    <col min="1801" max="1801" width="26.5703125" style="67" bestFit="1" customWidth="1"/>
    <col min="1802" max="2056" width="9.140625" style="67"/>
    <col min="2057" max="2057" width="26.5703125" style="67" bestFit="1" customWidth="1"/>
    <col min="2058" max="2312" width="9.140625" style="67"/>
    <col min="2313" max="2313" width="26.5703125" style="67" bestFit="1" customWidth="1"/>
    <col min="2314" max="2568" width="9.140625" style="67"/>
    <col min="2569" max="2569" width="26.5703125" style="67" bestFit="1" customWidth="1"/>
    <col min="2570" max="2824" width="9.140625" style="67"/>
    <col min="2825" max="2825" width="26.5703125" style="67" bestFit="1" customWidth="1"/>
    <col min="2826" max="3080" width="9.140625" style="67"/>
    <col min="3081" max="3081" width="26.5703125" style="67" bestFit="1" customWidth="1"/>
    <col min="3082" max="3336" width="9.140625" style="67"/>
    <col min="3337" max="3337" width="26.5703125" style="67" bestFit="1" customWidth="1"/>
    <col min="3338" max="3592" width="9.140625" style="67"/>
    <col min="3593" max="3593" width="26.5703125" style="67" bestFit="1" customWidth="1"/>
    <col min="3594" max="3848" width="9.140625" style="67"/>
    <col min="3849" max="3849" width="26.5703125" style="67" bestFit="1" customWidth="1"/>
    <col min="3850" max="4104" width="9.140625" style="67"/>
    <col min="4105" max="4105" width="26.5703125" style="67" bestFit="1" customWidth="1"/>
    <col min="4106" max="4360" width="9.140625" style="67"/>
    <col min="4361" max="4361" width="26.5703125" style="67" bestFit="1" customWidth="1"/>
    <col min="4362" max="4616" width="9.140625" style="67"/>
    <col min="4617" max="4617" width="26.5703125" style="67" bestFit="1" customWidth="1"/>
    <col min="4618" max="4872" width="9.140625" style="67"/>
    <col min="4873" max="4873" width="26.5703125" style="67" bestFit="1" customWidth="1"/>
    <col min="4874" max="5128" width="9.140625" style="67"/>
    <col min="5129" max="5129" width="26.5703125" style="67" bestFit="1" customWidth="1"/>
    <col min="5130" max="5384" width="9.140625" style="67"/>
    <col min="5385" max="5385" width="26.5703125" style="67" bestFit="1" customWidth="1"/>
    <col min="5386" max="5640" width="9.140625" style="67"/>
    <col min="5641" max="5641" width="26.5703125" style="67" bestFit="1" customWidth="1"/>
    <col min="5642" max="5896" width="9.140625" style="67"/>
    <col min="5897" max="5897" width="26.5703125" style="67" bestFit="1" customWidth="1"/>
    <col min="5898" max="6152" width="9.140625" style="67"/>
    <col min="6153" max="6153" width="26.5703125" style="67" bestFit="1" customWidth="1"/>
    <col min="6154" max="6408" width="9.140625" style="67"/>
    <col min="6409" max="6409" width="26.5703125" style="67" bestFit="1" customWidth="1"/>
    <col min="6410" max="6664" width="9.140625" style="67"/>
    <col min="6665" max="6665" width="26.5703125" style="67" bestFit="1" customWidth="1"/>
    <col min="6666" max="6920" width="9.140625" style="67"/>
    <col min="6921" max="6921" width="26.5703125" style="67" bestFit="1" customWidth="1"/>
    <col min="6922" max="7176" width="9.140625" style="67"/>
    <col min="7177" max="7177" width="26.5703125" style="67" bestFit="1" customWidth="1"/>
    <col min="7178" max="7432" width="9.140625" style="67"/>
    <col min="7433" max="7433" width="26.5703125" style="67" bestFit="1" customWidth="1"/>
    <col min="7434" max="7688" width="9.140625" style="67"/>
    <col min="7689" max="7689" width="26.5703125" style="67" bestFit="1" customWidth="1"/>
    <col min="7690" max="7944" width="9.140625" style="67"/>
    <col min="7945" max="7945" width="26.5703125" style="67" bestFit="1" customWidth="1"/>
    <col min="7946" max="8200" width="9.140625" style="67"/>
    <col min="8201" max="8201" width="26.5703125" style="67" bestFit="1" customWidth="1"/>
    <col min="8202" max="8456" width="9.140625" style="67"/>
    <col min="8457" max="8457" width="26.5703125" style="67" bestFit="1" customWidth="1"/>
    <col min="8458" max="8712" width="9.140625" style="67"/>
    <col min="8713" max="8713" width="26.5703125" style="67" bestFit="1" customWidth="1"/>
    <col min="8714" max="8968" width="9.140625" style="67"/>
    <col min="8969" max="8969" width="26.5703125" style="67" bestFit="1" customWidth="1"/>
    <col min="8970" max="9224" width="9.140625" style="67"/>
    <col min="9225" max="9225" width="26.5703125" style="67" bestFit="1" customWidth="1"/>
    <col min="9226" max="9480" width="9.140625" style="67"/>
    <col min="9481" max="9481" width="26.5703125" style="67" bestFit="1" customWidth="1"/>
    <col min="9482" max="9736" width="9.140625" style="67"/>
    <col min="9737" max="9737" width="26.5703125" style="67" bestFit="1" customWidth="1"/>
    <col min="9738" max="9992" width="9.140625" style="67"/>
    <col min="9993" max="9993" width="26.5703125" style="67" bestFit="1" customWidth="1"/>
    <col min="9994" max="10248" width="9.140625" style="67"/>
    <col min="10249" max="10249" width="26.5703125" style="67" bestFit="1" customWidth="1"/>
    <col min="10250" max="10504" width="9.140625" style="67"/>
    <col min="10505" max="10505" width="26.5703125" style="67" bestFit="1" customWidth="1"/>
    <col min="10506" max="10760" width="9.140625" style="67"/>
    <col min="10761" max="10761" width="26.5703125" style="67" bestFit="1" customWidth="1"/>
    <col min="10762" max="11016" width="9.140625" style="67"/>
    <col min="11017" max="11017" width="26.5703125" style="67" bestFit="1" customWidth="1"/>
    <col min="11018" max="11272" width="9.140625" style="67"/>
    <col min="11273" max="11273" width="26.5703125" style="67" bestFit="1" customWidth="1"/>
    <col min="11274" max="11528" width="9.140625" style="67"/>
    <col min="11529" max="11529" width="26.5703125" style="67" bestFit="1" customWidth="1"/>
    <col min="11530" max="11784" width="9.140625" style="67"/>
    <col min="11785" max="11785" width="26.5703125" style="67" bestFit="1" customWidth="1"/>
    <col min="11786" max="12040" width="9.140625" style="67"/>
    <col min="12041" max="12041" width="26.5703125" style="67" bestFit="1" customWidth="1"/>
    <col min="12042" max="12296" width="9.140625" style="67"/>
    <col min="12297" max="12297" width="26.5703125" style="67" bestFit="1" customWidth="1"/>
    <col min="12298" max="12552" width="9.140625" style="67"/>
    <col min="12553" max="12553" width="26.5703125" style="67" bestFit="1" customWidth="1"/>
    <col min="12554" max="12808" width="9.140625" style="67"/>
    <col min="12809" max="12809" width="26.5703125" style="67" bestFit="1" customWidth="1"/>
    <col min="12810" max="13064" width="9.140625" style="67"/>
    <col min="13065" max="13065" width="26.5703125" style="67" bestFit="1" customWidth="1"/>
    <col min="13066" max="13320" width="9.140625" style="67"/>
    <col min="13321" max="13321" width="26.5703125" style="67" bestFit="1" customWidth="1"/>
    <col min="13322" max="13576" width="9.140625" style="67"/>
    <col min="13577" max="13577" width="26.5703125" style="67" bestFit="1" customWidth="1"/>
    <col min="13578" max="13832" width="9.140625" style="67"/>
    <col min="13833" max="13833" width="26.5703125" style="67" bestFit="1" customWidth="1"/>
    <col min="13834" max="14088" width="9.140625" style="67"/>
    <col min="14089" max="14089" width="26.5703125" style="67" bestFit="1" customWidth="1"/>
    <col min="14090" max="14344" width="9.140625" style="67"/>
    <col min="14345" max="14345" width="26.5703125" style="67" bestFit="1" customWidth="1"/>
    <col min="14346" max="14600" width="9.140625" style="67"/>
    <col min="14601" max="14601" width="26.5703125" style="67" bestFit="1" customWidth="1"/>
    <col min="14602" max="14856" width="9.140625" style="67"/>
    <col min="14857" max="14857" width="26.5703125" style="67" bestFit="1" customWidth="1"/>
    <col min="14858" max="15112" width="9.140625" style="67"/>
    <col min="15113" max="15113" width="26.5703125" style="67" bestFit="1" customWidth="1"/>
    <col min="15114" max="15368" width="9.140625" style="67"/>
    <col min="15369" max="15369" width="26.5703125" style="67" bestFit="1" customWidth="1"/>
    <col min="15370" max="15624" width="9.140625" style="67"/>
    <col min="15625" max="15625" width="26.5703125" style="67" bestFit="1" customWidth="1"/>
    <col min="15626" max="15880" width="9.140625" style="67"/>
    <col min="15881" max="15881" width="26.5703125" style="67" bestFit="1" customWidth="1"/>
    <col min="15882" max="16136" width="9.140625" style="67"/>
    <col min="16137" max="16137" width="26.5703125" style="67" bestFit="1" customWidth="1"/>
    <col min="16138" max="16384" width="9.140625" style="67"/>
  </cols>
  <sheetData>
    <row r="1" spans="1:22">
      <c r="A1" t="s">
        <v>168</v>
      </c>
      <c r="B1" t="s">
        <v>1681</v>
      </c>
      <c r="C1" t="s">
        <v>1927</v>
      </c>
      <c r="D1" t="s">
        <v>1928</v>
      </c>
      <c r="E1" t="s">
        <v>1929</v>
      </c>
      <c r="F1" t="s">
        <v>1930</v>
      </c>
      <c r="G1" t="s">
        <v>1931</v>
      </c>
      <c r="H1" t="s">
        <v>1932</v>
      </c>
      <c r="I1" t="s">
        <v>213</v>
      </c>
      <c r="J1" t="s">
        <v>1933</v>
      </c>
      <c r="K1" t="s">
        <v>1934</v>
      </c>
      <c r="L1" s="67" t="s">
        <v>1915</v>
      </c>
      <c r="M1" s="67" t="s">
        <v>1916</v>
      </c>
    </row>
    <row r="2" spans="1:22">
      <c r="A2">
        <v>128</v>
      </c>
      <c r="B2" t="s">
        <v>1935</v>
      </c>
      <c r="C2">
        <v>1</v>
      </c>
      <c r="D2" t="s">
        <v>1936</v>
      </c>
      <c r="E2" t="s">
        <v>177</v>
      </c>
      <c r="F2" t="s">
        <v>1937</v>
      </c>
      <c r="G2">
        <v>18</v>
      </c>
      <c r="H2">
        <v>1696</v>
      </c>
      <c r="I2">
        <v>0.55000001192092896</v>
      </c>
      <c r="J2" t="s">
        <v>270</v>
      </c>
      <c r="K2" t="s">
        <v>270</v>
      </c>
      <c r="L2" s="67" t="str">
        <f>VLOOKUP($A2,MFMaster!$A$2:$C$300,2,FALSE)</f>
        <v>1-3 stories</v>
      </c>
      <c r="M2" s="67">
        <f>VLOOKUP($A2,MFMaster!$A$2:$CG$232,85,FALSE)</f>
        <v>443.80252075195301</v>
      </c>
    </row>
    <row r="3" spans="1:22">
      <c r="A3">
        <v>10137</v>
      </c>
      <c r="B3" t="s">
        <v>1938</v>
      </c>
      <c r="C3">
        <v>1</v>
      </c>
      <c r="D3" t="s">
        <v>257</v>
      </c>
      <c r="E3" t="s">
        <v>177</v>
      </c>
      <c r="F3" t="s">
        <v>1939</v>
      </c>
      <c r="G3">
        <v>100</v>
      </c>
      <c r="H3">
        <v>576</v>
      </c>
      <c r="I3">
        <v>0.85000002384185802</v>
      </c>
      <c r="J3" t="s">
        <v>270</v>
      </c>
      <c r="K3" t="s">
        <v>270</v>
      </c>
      <c r="L3" s="67" t="str">
        <f>VLOOKUP($A3,MFMaster!$A$2:$C$300,2,FALSE)</f>
        <v>1-3 stories</v>
      </c>
      <c r="M3" s="67">
        <f>VLOOKUP($A3,MFMaster!$A$2:$CG$232,85,FALSE)</f>
        <v>300.26898193359398</v>
      </c>
    </row>
    <row r="4" spans="1:22">
      <c r="A4">
        <v>10137</v>
      </c>
      <c r="B4" t="s">
        <v>1935</v>
      </c>
      <c r="C4">
        <v>2</v>
      </c>
      <c r="D4" t="s">
        <v>257</v>
      </c>
      <c r="E4" t="s">
        <v>177</v>
      </c>
      <c r="F4" t="s">
        <v>1939</v>
      </c>
      <c r="G4">
        <v>100</v>
      </c>
      <c r="H4">
        <v>528</v>
      </c>
      <c r="I4">
        <v>0.75</v>
      </c>
      <c r="J4" t="s">
        <v>270</v>
      </c>
      <c r="K4" t="s">
        <v>273</v>
      </c>
      <c r="L4" s="67" t="str">
        <f>VLOOKUP($A4,MFMaster!$A$2:$C$300,2,FALSE)</f>
        <v>1-3 stories</v>
      </c>
      <c r="M4" s="67">
        <f>VLOOKUP($A4,MFMaster!$A$2:$CG$232,85,FALSE)</f>
        <v>300.26898193359398</v>
      </c>
    </row>
    <row r="5" spans="1:22">
      <c r="A5">
        <v>10137</v>
      </c>
      <c r="B5" t="s">
        <v>1940</v>
      </c>
      <c r="C5">
        <v>3</v>
      </c>
      <c r="D5" t="s">
        <v>1936</v>
      </c>
      <c r="E5" t="s">
        <v>177</v>
      </c>
      <c r="F5" t="s">
        <v>1939</v>
      </c>
      <c r="G5">
        <v>0</v>
      </c>
      <c r="H5">
        <v>80</v>
      </c>
      <c r="I5">
        <v>0.60000002384185802</v>
      </c>
      <c r="J5" t="s">
        <v>270</v>
      </c>
      <c r="K5" t="s">
        <v>270</v>
      </c>
      <c r="L5" s="67" t="str">
        <f>VLOOKUP($A5,MFMaster!$A$2:$C$300,2,FALSE)</f>
        <v>1-3 stories</v>
      </c>
      <c r="M5" s="67">
        <f>VLOOKUP($A5,MFMaster!$A$2:$CG$232,85,FALSE)</f>
        <v>300.26898193359398</v>
      </c>
    </row>
    <row r="6" spans="1:22">
      <c r="A6">
        <v>10238</v>
      </c>
      <c r="B6" t="s">
        <v>1938</v>
      </c>
      <c r="C6">
        <v>1</v>
      </c>
      <c r="D6" t="s">
        <v>1936</v>
      </c>
      <c r="E6" t="s">
        <v>177</v>
      </c>
      <c r="F6" t="s">
        <v>1939</v>
      </c>
      <c r="G6">
        <v>100</v>
      </c>
      <c r="H6">
        <v>2996</v>
      </c>
      <c r="I6">
        <v>0.60000002384185802</v>
      </c>
      <c r="J6" t="s">
        <v>270</v>
      </c>
      <c r="K6" t="s">
        <v>270</v>
      </c>
      <c r="L6" s="67" t="str">
        <f>VLOOKUP($A6,MFMaster!$A$2:$C$300,2,FALSE)</f>
        <v>1-3 stories</v>
      </c>
      <c r="M6" s="67">
        <f>VLOOKUP($A6,MFMaster!$A$2:$CG$232,85,FALSE)</f>
        <v>160.14344787597699</v>
      </c>
    </row>
    <row r="7" spans="1:22">
      <c r="A7">
        <v>10260</v>
      </c>
      <c r="B7" t="s">
        <v>1938</v>
      </c>
      <c r="C7">
        <v>1</v>
      </c>
      <c r="D7" t="s">
        <v>1936</v>
      </c>
      <c r="E7" t="s">
        <v>177</v>
      </c>
      <c r="F7" t="s">
        <v>1939</v>
      </c>
      <c r="G7">
        <v>100</v>
      </c>
      <c r="H7">
        <v>917</v>
      </c>
      <c r="I7">
        <v>0.60000002384185802</v>
      </c>
      <c r="J7" t="s">
        <v>270</v>
      </c>
      <c r="K7" t="s">
        <v>270</v>
      </c>
      <c r="L7" s="67" t="str">
        <f>VLOOKUP($A7,MFMaster!$A$2:$C$300,2,FALSE)</f>
        <v>1-3 stories</v>
      </c>
      <c r="M7" s="67">
        <f>VLOOKUP($A7,MFMaster!$A$2:$CG$232,85,FALSE)</f>
        <v>480.43035888671898</v>
      </c>
      <c r="P7"/>
      <c r="Q7" s="69" t="s">
        <v>254</v>
      </c>
      <c r="R7"/>
    </row>
    <row r="8" spans="1:22">
      <c r="A8">
        <v>10323</v>
      </c>
      <c r="B8" t="s">
        <v>1938</v>
      </c>
      <c r="C8">
        <v>1</v>
      </c>
      <c r="D8" t="s">
        <v>1936</v>
      </c>
      <c r="E8" t="s">
        <v>177</v>
      </c>
      <c r="F8" t="s">
        <v>1939</v>
      </c>
      <c r="G8">
        <v>100</v>
      </c>
      <c r="H8">
        <v>627</v>
      </c>
      <c r="I8">
        <v>0.55000001192092896</v>
      </c>
      <c r="J8" t="s">
        <v>270</v>
      </c>
      <c r="K8" t="s">
        <v>273</v>
      </c>
      <c r="L8" s="67" t="str">
        <f>VLOOKUP($A8,MFMaster!$A$2:$C$300,2,FALSE)</f>
        <v>1-3 stories</v>
      </c>
      <c r="M8" s="67">
        <f>VLOOKUP($A8,MFMaster!$A$2:$CG$232,85,FALSE)</f>
        <v>256.24374389648398</v>
      </c>
      <c r="P8" s="69" t="s">
        <v>209</v>
      </c>
      <c r="Q8" t="s">
        <v>214</v>
      </c>
      <c r="R8" t="s">
        <v>1917</v>
      </c>
    </row>
    <row r="9" spans="1:22">
      <c r="A9">
        <v>10323</v>
      </c>
      <c r="B9" t="s">
        <v>1935</v>
      </c>
      <c r="C9">
        <v>2</v>
      </c>
      <c r="D9" t="s">
        <v>1936</v>
      </c>
      <c r="E9" t="s">
        <v>177</v>
      </c>
      <c r="F9" t="s">
        <v>1939</v>
      </c>
      <c r="G9">
        <v>8</v>
      </c>
      <c r="H9">
        <v>53</v>
      </c>
      <c r="I9">
        <v>0.55000001192092896</v>
      </c>
      <c r="J9" t="s">
        <v>270</v>
      </c>
      <c r="K9" t="s">
        <v>273</v>
      </c>
      <c r="L9" s="67" t="str">
        <f>VLOOKUP($A9,MFMaster!$A$2:$C$300,2,FALSE)</f>
        <v>1-3 stories</v>
      </c>
      <c r="M9" s="67">
        <f>VLOOKUP($A9,MFMaster!$A$2:$CG$232,85,FALSE)</f>
        <v>256.24374389648398</v>
      </c>
      <c r="P9" s="70" t="s">
        <v>257</v>
      </c>
      <c r="Q9" s="71">
        <v>0.88468209305250589</v>
      </c>
      <c r="R9" s="71">
        <v>31296.278507232659</v>
      </c>
      <c r="S9" s="73">
        <f>R9/$R$12</f>
        <v>0.40676902670653553</v>
      </c>
      <c r="U9" s="67" t="s">
        <v>257</v>
      </c>
      <c r="V9" s="74">
        <f>SUM(S9)</f>
        <v>0.40676902670653553</v>
      </c>
    </row>
    <row r="10" spans="1:22">
      <c r="A10">
        <v>10400</v>
      </c>
      <c r="B10" t="s">
        <v>1938</v>
      </c>
      <c r="C10">
        <v>1</v>
      </c>
      <c r="D10" t="s">
        <v>1936</v>
      </c>
      <c r="E10" t="s">
        <v>177</v>
      </c>
      <c r="F10" t="s">
        <v>1937</v>
      </c>
      <c r="G10">
        <v>100</v>
      </c>
      <c r="H10">
        <v>5666</v>
      </c>
      <c r="I10">
        <v>0.44999998807907099</v>
      </c>
      <c r="J10" t="s">
        <v>270</v>
      </c>
      <c r="K10" t="s">
        <v>273</v>
      </c>
      <c r="L10" s="67" t="str">
        <f>VLOOKUP($A10,MFMaster!$A$2:$C$300,2,FALSE)</f>
        <v>1-3 stories</v>
      </c>
      <c r="M10" s="67">
        <f>VLOOKUP($A10,MFMaster!$A$2:$CG$232,85,FALSE)</f>
        <v>34.345653533935497</v>
      </c>
      <c r="P10" s="70" t="s">
        <v>1936</v>
      </c>
      <c r="Q10" s="71">
        <v>0.52963917279980843</v>
      </c>
      <c r="R10" s="71">
        <v>44733.112776279442</v>
      </c>
      <c r="S10" s="73">
        <f t="shared" ref="S10:S11" si="0">R10/$R$12</f>
        <v>0.58141241110682607</v>
      </c>
      <c r="U10" s="67" t="s">
        <v>258</v>
      </c>
      <c r="V10" s="74">
        <f>S10</f>
        <v>0.58141241110682607</v>
      </c>
    </row>
    <row r="11" spans="1:22">
      <c r="A11">
        <v>10477</v>
      </c>
      <c r="B11" t="s">
        <v>1938</v>
      </c>
      <c r="C11">
        <v>1</v>
      </c>
      <c r="D11" t="s">
        <v>257</v>
      </c>
      <c r="E11" t="s">
        <v>177</v>
      </c>
      <c r="F11" t="s">
        <v>1939</v>
      </c>
      <c r="G11">
        <v>96</v>
      </c>
      <c r="H11">
        <v>3563</v>
      </c>
      <c r="I11">
        <v>0.85000002384185802</v>
      </c>
      <c r="J11" t="s">
        <v>270</v>
      </c>
      <c r="K11" t="s">
        <v>270</v>
      </c>
      <c r="L11" s="67" t="str">
        <f>VLOOKUP($A11,MFMaster!$A$2:$C$300,2,FALSE)</f>
        <v>4-6 stories</v>
      </c>
      <c r="M11" s="67" t="str">
        <f>VLOOKUP($A11,MFMaster!$A$2:$CG$232,85,FALSE)</f>
        <v/>
      </c>
      <c r="P11" s="70" t="s">
        <v>212</v>
      </c>
      <c r="Q11" s="71"/>
      <c r="R11" s="71">
        <v>909.30476379394497</v>
      </c>
      <c r="S11" s="73">
        <f t="shared" si="0"/>
        <v>1.1818562186638248E-2</v>
      </c>
    </row>
    <row r="12" spans="1:22">
      <c r="A12">
        <v>10480</v>
      </c>
      <c r="B12" t="s">
        <v>1938</v>
      </c>
      <c r="C12">
        <v>1</v>
      </c>
      <c r="D12" t="s">
        <v>1936</v>
      </c>
      <c r="E12" t="s">
        <v>177</v>
      </c>
      <c r="F12" t="s">
        <v>1937</v>
      </c>
      <c r="G12">
        <v>100</v>
      </c>
      <c r="H12">
        <v>1140</v>
      </c>
      <c r="I12">
        <v>0.44999998807907099</v>
      </c>
      <c r="J12" t="s">
        <v>270</v>
      </c>
      <c r="K12" t="s">
        <v>273</v>
      </c>
      <c r="L12" s="67" t="str">
        <f>VLOOKUP($A12,MFMaster!$A$2:$C$300,2,FALSE)</f>
        <v>1-3 stories</v>
      </c>
      <c r="M12" s="67">
        <f>VLOOKUP($A12,MFMaster!$A$2:$CG$232,85,FALSE)</f>
        <v>400.358642578125</v>
      </c>
      <c r="P12" s="70" t="s">
        <v>210</v>
      </c>
      <c r="Q12" s="71">
        <v>0.69700272921320539</v>
      </c>
      <c r="R12" s="71">
        <v>76938.696047306061</v>
      </c>
      <c r="S12" s="73"/>
    </row>
    <row r="13" spans="1:22">
      <c r="A13">
        <v>10495</v>
      </c>
      <c r="B13" t="s">
        <v>1938</v>
      </c>
      <c r="C13">
        <v>1</v>
      </c>
      <c r="D13" t="s">
        <v>257</v>
      </c>
      <c r="E13" t="s">
        <v>184</v>
      </c>
      <c r="F13"/>
      <c r="G13">
        <v>100</v>
      </c>
      <c r="H13">
        <v>865</v>
      </c>
      <c r="I13">
        <v>1.1000000238418599</v>
      </c>
      <c r="J13" t="s">
        <v>270</v>
      </c>
      <c r="K13" t="s">
        <v>270</v>
      </c>
      <c r="L13" s="67" t="str">
        <f>VLOOKUP($A13,MFMaster!$A$2:$C$300,2,FALSE)</f>
        <v>1-3 stories</v>
      </c>
      <c r="M13" s="67">
        <f>VLOOKUP($A13,MFMaster!$A$2:$CG$232,85,FALSE)</f>
        <v>206.07391357421901</v>
      </c>
      <c r="P13"/>
      <c r="Q13"/>
      <c r="R13"/>
      <c r="S13" s="73"/>
    </row>
    <row r="14" spans="1:22">
      <c r="A14">
        <v>10495</v>
      </c>
      <c r="B14" t="s">
        <v>1935</v>
      </c>
      <c r="C14">
        <v>2</v>
      </c>
      <c r="D14" t="s">
        <v>1936</v>
      </c>
      <c r="E14" t="s">
        <v>177</v>
      </c>
      <c r="F14" t="s">
        <v>1937</v>
      </c>
      <c r="G14">
        <v>0</v>
      </c>
      <c r="H14">
        <v>67</v>
      </c>
      <c r="I14">
        <v>0.55000001192092896</v>
      </c>
      <c r="J14" t="s">
        <v>270</v>
      </c>
      <c r="K14" t="s">
        <v>270</v>
      </c>
      <c r="L14" s="67" t="str">
        <f>VLOOKUP($A14,MFMaster!$A$2:$C$300,2,FALSE)</f>
        <v>1-3 stories</v>
      </c>
      <c r="M14" s="67">
        <f>VLOOKUP($A14,MFMaster!$A$2:$CG$232,85,FALSE)</f>
        <v>206.07391357421901</v>
      </c>
      <c r="P14"/>
      <c r="Q14"/>
      <c r="R14"/>
      <c r="S14" s="73"/>
    </row>
    <row r="15" spans="1:22">
      <c r="A15">
        <v>10519</v>
      </c>
      <c r="B15" t="s">
        <v>1940</v>
      </c>
      <c r="C15">
        <v>1</v>
      </c>
      <c r="D15" t="s">
        <v>1936</v>
      </c>
      <c r="E15" t="s">
        <v>177</v>
      </c>
      <c r="F15" t="s">
        <v>1937</v>
      </c>
      <c r="G15">
        <v>75</v>
      </c>
      <c r="H15">
        <v>16680</v>
      </c>
      <c r="I15">
        <v>0.44999998807907099</v>
      </c>
      <c r="J15" t="s">
        <v>270</v>
      </c>
      <c r="K15" t="s">
        <v>273</v>
      </c>
      <c r="L15" s="67" t="str">
        <f>VLOOKUP($A15,MFMaster!$A$2:$C$300,2,FALSE)</f>
        <v>4-6 stories</v>
      </c>
      <c r="M15" s="67" t="str">
        <f>VLOOKUP($A15,MFMaster!$A$2:$CG$232,85,FALSE)</f>
        <v/>
      </c>
      <c r="P15"/>
      <c r="Q15"/>
      <c r="R15"/>
      <c r="S15" s="73"/>
    </row>
    <row r="16" spans="1:22">
      <c r="A16">
        <v>10587</v>
      </c>
      <c r="B16" t="s">
        <v>1935</v>
      </c>
      <c r="C16">
        <v>1</v>
      </c>
      <c r="D16" t="s">
        <v>257</v>
      </c>
      <c r="E16" t="s">
        <v>177</v>
      </c>
      <c r="F16" t="s">
        <v>1937</v>
      </c>
      <c r="G16">
        <v>100</v>
      </c>
      <c r="H16">
        <v>1825</v>
      </c>
      <c r="I16">
        <v>0.80000001192092896</v>
      </c>
      <c r="J16" t="s">
        <v>270</v>
      </c>
      <c r="K16" t="s">
        <v>270</v>
      </c>
      <c r="L16" s="67" t="str">
        <f>VLOOKUP($A16,MFMaster!$A$2:$C$300,2,FALSE)</f>
        <v>1-3 stories</v>
      </c>
      <c r="M16" s="67">
        <f>VLOOKUP($A16,MFMaster!$A$2:$CG$232,85,FALSE)</f>
        <v>266.90576171875</v>
      </c>
      <c r="P16"/>
      <c r="Q16"/>
      <c r="R16"/>
    </row>
    <row r="17" spans="1:20">
      <c r="A17">
        <v>10587</v>
      </c>
      <c r="B17" t="s">
        <v>1940</v>
      </c>
      <c r="C17">
        <v>2</v>
      </c>
      <c r="D17" t="s">
        <v>1936</v>
      </c>
      <c r="E17" t="s">
        <v>177</v>
      </c>
      <c r="F17" t="s">
        <v>1937</v>
      </c>
      <c r="G17">
        <v>100</v>
      </c>
      <c r="H17">
        <v>80</v>
      </c>
      <c r="I17">
        <v>0.44999998807907099</v>
      </c>
      <c r="J17" t="s">
        <v>270</v>
      </c>
      <c r="K17" t="s">
        <v>273</v>
      </c>
      <c r="L17" s="67" t="str">
        <f>VLOOKUP($A17,MFMaster!$A$2:$C$300,2,FALSE)</f>
        <v>1-3 stories</v>
      </c>
      <c r="M17" s="67">
        <f>VLOOKUP($A17,MFMaster!$A$2:$CG$232,85,FALSE)</f>
        <v>266.90576171875</v>
      </c>
      <c r="P17"/>
      <c r="Q17"/>
      <c r="R17"/>
    </row>
    <row r="18" spans="1:20">
      <c r="A18">
        <v>10614</v>
      </c>
      <c r="B18" t="s">
        <v>1935</v>
      </c>
      <c r="C18">
        <v>1</v>
      </c>
      <c r="D18" t="s">
        <v>1936</v>
      </c>
      <c r="E18" t="s">
        <v>177</v>
      </c>
      <c r="F18" t="s">
        <v>1937</v>
      </c>
      <c r="G18">
        <v>95</v>
      </c>
      <c r="H18">
        <v>5307</v>
      </c>
      <c r="I18">
        <v>0.44999998807907099</v>
      </c>
      <c r="J18" t="s">
        <v>270</v>
      </c>
      <c r="K18" t="s">
        <v>273</v>
      </c>
      <c r="L18" s="67" t="str">
        <f>VLOOKUP($A18,MFMaster!$A$2:$C$300,2,FALSE)</f>
        <v>4-6 stories</v>
      </c>
      <c r="M18" s="67" t="str">
        <f>VLOOKUP($A18,MFMaster!$A$2:$CG$232,85,FALSE)</f>
        <v/>
      </c>
      <c r="P18"/>
      <c r="Q18"/>
      <c r="R18"/>
    </row>
    <row r="19" spans="1:20">
      <c r="A19">
        <v>10614</v>
      </c>
      <c r="B19" t="s">
        <v>1940</v>
      </c>
      <c r="C19">
        <v>2</v>
      </c>
      <c r="D19" t="s">
        <v>257</v>
      </c>
      <c r="E19" t="s">
        <v>177</v>
      </c>
      <c r="F19" t="s">
        <v>1937</v>
      </c>
      <c r="G19">
        <v>50</v>
      </c>
      <c r="H19">
        <v>200</v>
      </c>
      <c r="I19">
        <v>0.75</v>
      </c>
      <c r="J19" t="s">
        <v>270</v>
      </c>
      <c r="K19" t="s">
        <v>273</v>
      </c>
      <c r="L19" s="67" t="str">
        <f>VLOOKUP($A19,MFMaster!$A$2:$C$300,2,FALSE)</f>
        <v>4-6 stories</v>
      </c>
      <c r="M19" s="67" t="str">
        <f>VLOOKUP($A19,MFMaster!$A$2:$CG$232,85,FALSE)</f>
        <v/>
      </c>
      <c r="P19"/>
      <c r="Q19"/>
      <c r="R19"/>
    </row>
    <row r="20" spans="1:20">
      <c r="A20">
        <v>10623</v>
      </c>
      <c r="B20" t="s">
        <v>1935</v>
      </c>
      <c r="C20">
        <v>1</v>
      </c>
      <c r="D20" t="s">
        <v>257</v>
      </c>
      <c r="E20" t="s">
        <v>177</v>
      </c>
      <c r="F20" t="s">
        <v>1937</v>
      </c>
      <c r="G20">
        <v>77</v>
      </c>
      <c r="H20">
        <v>1158</v>
      </c>
      <c r="I20">
        <v>0.75</v>
      </c>
      <c r="J20" t="s">
        <v>270</v>
      </c>
      <c r="K20" t="s">
        <v>273</v>
      </c>
      <c r="L20" s="67" t="str">
        <f>VLOOKUP($A20,MFMaster!$A$2:$C$300,2,FALSE)</f>
        <v>1-3 stories</v>
      </c>
      <c r="M20" s="67" t="str">
        <f>VLOOKUP($A20,MFMaster!$A$2:$CG$232,85,FALSE)</f>
        <v/>
      </c>
      <c r="P20"/>
      <c r="Q20"/>
      <c r="R20"/>
    </row>
    <row r="21" spans="1:20">
      <c r="A21">
        <v>10805</v>
      </c>
      <c r="B21" t="s">
        <v>1938</v>
      </c>
      <c r="C21">
        <v>1</v>
      </c>
      <c r="D21" t="s">
        <v>1936</v>
      </c>
      <c r="E21" t="s">
        <v>177</v>
      </c>
      <c r="F21" t="s">
        <v>1937</v>
      </c>
      <c r="G21">
        <v>100</v>
      </c>
      <c r="H21">
        <v>701</v>
      </c>
      <c r="I21">
        <v>0.55000001192092896</v>
      </c>
      <c r="J21" t="s">
        <v>270</v>
      </c>
      <c r="K21" t="s">
        <v>270</v>
      </c>
      <c r="L21" s="67" t="str">
        <f>VLOOKUP($A21,MFMaster!$A$2:$C$300,2,FALSE)</f>
        <v>1-3 stories</v>
      </c>
      <c r="M21" s="67">
        <f>VLOOKUP($A21,MFMaster!$A$2:$CG$232,85,FALSE)</f>
        <v>686.32904052734398</v>
      </c>
      <c r="P21"/>
      <c r="Q21"/>
      <c r="R21"/>
    </row>
    <row r="22" spans="1:20">
      <c r="A22">
        <v>10862</v>
      </c>
      <c r="B22" t="s">
        <v>1935</v>
      </c>
      <c r="C22">
        <v>1</v>
      </c>
      <c r="D22" t="s">
        <v>257</v>
      </c>
      <c r="E22" t="s">
        <v>177</v>
      </c>
      <c r="F22" t="s">
        <v>1939</v>
      </c>
      <c r="G22">
        <v>95</v>
      </c>
      <c r="H22">
        <v>3519</v>
      </c>
      <c r="I22">
        <v>0.85000002384185802</v>
      </c>
      <c r="J22" t="s">
        <v>270</v>
      </c>
      <c r="K22" t="s">
        <v>270</v>
      </c>
      <c r="L22" s="67" t="str">
        <f>VLOOKUP($A22,MFMaster!$A$2:$C$300,2,FALSE)</f>
        <v>1-3 stories</v>
      </c>
      <c r="M22" s="67">
        <f>VLOOKUP($A22,MFMaster!$A$2:$CG$232,85,FALSE)</f>
        <v>85.864128112792997</v>
      </c>
      <c r="P22" s="69" t="s">
        <v>209</v>
      </c>
      <c r="Q22" t="s">
        <v>1917</v>
      </c>
      <c r="R22"/>
      <c r="S22"/>
      <c r="T22"/>
    </row>
    <row r="23" spans="1:20">
      <c r="A23">
        <v>10862</v>
      </c>
      <c r="B23" t="s">
        <v>1940</v>
      </c>
      <c r="C23">
        <v>2</v>
      </c>
      <c r="D23" t="s">
        <v>1936</v>
      </c>
      <c r="E23" t="s">
        <v>177</v>
      </c>
      <c r="F23" t="s">
        <v>1937</v>
      </c>
      <c r="G23">
        <v>100</v>
      </c>
      <c r="H23">
        <v>130</v>
      </c>
      <c r="I23">
        <v>0.44999998807907099</v>
      </c>
      <c r="J23" t="s">
        <v>270</v>
      </c>
      <c r="K23" t="s">
        <v>273</v>
      </c>
      <c r="L23" s="67" t="str">
        <f>VLOOKUP($A23,MFMaster!$A$2:$C$300,2,FALSE)</f>
        <v>1-3 stories</v>
      </c>
      <c r="M23" s="67">
        <f>VLOOKUP($A23,MFMaster!$A$2:$CG$232,85,FALSE)</f>
        <v>85.864128112792997</v>
      </c>
      <c r="O23" s="67" t="s">
        <v>177</v>
      </c>
      <c r="P23" s="70">
        <v>0.55000001192092896</v>
      </c>
      <c r="Q23" s="71">
        <v>16387.490423202511</v>
      </c>
      <c r="R23" s="53">
        <f t="shared" ref="R23:R32" si="1">Q23/$Q$33</f>
        <v>0.21299412733907791</v>
      </c>
      <c r="S23" s="67" t="s">
        <v>255</v>
      </c>
      <c r="T23" s="73">
        <v>0</v>
      </c>
    </row>
    <row r="24" spans="1:20">
      <c r="A24">
        <v>10871</v>
      </c>
      <c r="B24" t="s">
        <v>1938</v>
      </c>
      <c r="C24">
        <v>1</v>
      </c>
      <c r="D24" t="s">
        <v>1936</v>
      </c>
      <c r="E24" t="s">
        <v>177</v>
      </c>
      <c r="F24" t="s">
        <v>1939</v>
      </c>
      <c r="G24">
        <v>100</v>
      </c>
      <c r="H24">
        <v>1640</v>
      </c>
      <c r="I24">
        <v>0.55000001192092896</v>
      </c>
      <c r="J24" t="s">
        <v>270</v>
      </c>
      <c r="K24" t="s">
        <v>273</v>
      </c>
      <c r="L24" s="67" t="str">
        <f>VLOOKUP($A24,MFMaster!$A$2:$C$300,2,FALSE)</f>
        <v>1-3 stories</v>
      </c>
      <c r="M24" s="67">
        <f>VLOOKUP($A24,MFMaster!$A$2:$CG$232,85,FALSE)</f>
        <v>200.17932128906301</v>
      </c>
      <c r="O24" s="67" t="s">
        <v>177</v>
      </c>
      <c r="P24" s="70">
        <v>0.75</v>
      </c>
      <c r="Q24" s="71">
        <v>9309.794200897215</v>
      </c>
      <c r="R24" s="53">
        <f t="shared" si="1"/>
        <v>0.121002755169818</v>
      </c>
      <c r="S24" s="67" t="s">
        <v>256</v>
      </c>
      <c r="T24" s="73">
        <f>SUMIF($O$23:$O$32,$S24,$R$23:$R$32)</f>
        <v>0</v>
      </c>
    </row>
    <row r="25" spans="1:20">
      <c r="A25">
        <v>10901</v>
      </c>
      <c r="B25" t="s">
        <v>1938</v>
      </c>
      <c r="C25">
        <v>1</v>
      </c>
      <c r="D25" t="s">
        <v>257</v>
      </c>
      <c r="E25" t="s">
        <v>177</v>
      </c>
      <c r="F25" t="s">
        <v>1937</v>
      </c>
      <c r="G25">
        <v>60</v>
      </c>
      <c r="H25">
        <v>1745</v>
      </c>
      <c r="I25">
        <v>0.75</v>
      </c>
      <c r="J25" t="s">
        <v>270</v>
      </c>
      <c r="K25" t="s">
        <v>273</v>
      </c>
      <c r="L25" s="67" t="str">
        <f>VLOOKUP($A25,MFMaster!$A$2:$C$300,2,FALSE)</f>
        <v>1-3 stories</v>
      </c>
      <c r="M25" s="67">
        <f>VLOOKUP($A25,MFMaster!$A$2:$CG$232,85,FALSE)</f>
        <v>228.97100830078099</v>
      </c>
      <c r="O25" s="67" t="s">
        <v>177</v>
      </c>
      <c r="P25" s="70">
        <v>0.80000001192092896</v>
      </c>
      <c r="Q25" s="71">
        <v>3710.7805423736572</v>
      </c>
      <c r="R25" s="53">
        <f t="shared" si="1"/>
        <v>4.8230353944289241E-2</v>
      </c>
      <c r="S25" s="67" t="s">
        <v>177</v>
      </c>
      <c r="T25" s="73">
        <f>SUMIF($O$23:$O$37,$S25,$R$23:$R$37)</f>
        <v>0.82870194350189819</v>
      </c>
    </row>
    <row r="26" spans="1:20">
      <c r="A26">
        <v>10901</v>
      </c>
      <c r="B26" t="s">
        <v>1935</v>
      </c>
      <c r="C26">
        <v>2</v>
      </c>
      <c r="D26" t="s">
        <v>1936</v>
      </c>
      <c r="E26" t="s">
        <v>177</v>
      </c>
      <c r="F26" t="s">
        <v>1937</v>
      </c>
      <c r="G26">
        <v>100</v>
      </c>
      <c r="H26">
        <v>409</v>
      </c>
      <c r="I26">
        <v>0.44999998807907099</v>
      </c>
      <c r="J26" t="s">
        <v>270</v>
      </c>
      <c r="K26" t="s">
        <v>273</v>
      </c>
      <c r="L26" s="67" t="str">
        <f>VLOOKUP($A26,MFMaster!$A$2:$C$300,2,FALSE)</f>
        <v>1-3 stories</v>
      </c>
      <c r="M26" s="67">
        <f>VLOOKUP($A26,MFMaster!$A$2:$CG$232,85,FALSE)</f>
        <v>228.97100830078099</v>
      </c>
      <c r="O26" s="67" t="s">
        <v>177</v>
      </c>
      <c r="P26" s="70">
        <v>0.94999998807907104</v>
      </c>
      <c r="Q26" s="71">
        <v>3934.4811286926242</v>
      </c>
      <c r="R26" s="53">
        <f t="shared" si="1"/>
        <v>5.1137871199084195E-2</v>
      </c>
      <c r="S26" s="67" t="s">
        <v>184</v>
      </c>
      <c r="T26" s="73">
        <f>SUMIF($O$23:$O$37,$S26,$R$23:$R$37)</f>
        <v>0.15947949431146374</v>
      </c>
    </row>
    <row r="27" spans="1:20">
      <c r="A27">
        <v>10910</v>
      </c>
      <c r="B27" t="s">
        <v>1935</v>
      </c>
      <c r="C27">
        <v>1</v>
      </c>
      <c r="D27" t="s">
        <v>1936</v>
      </c>
      <c r="E27" t="s">
        <v>177</v>
      </c>
      <c r="F27" t="s">
        <v>1937</v>
      </c>
      <c r="G27">
        <v>100</v>
      </c>
      <c r="H27">
        <v>1038</v>
      </c>
      <c r="I27">
        <v>0.44999998807907099</v>
      </c>
      <c r="J27" t="s">
        <v>270</v>
      </c>
      <c r="K27" t="s">
        <v>273</v>
      </c>
      <c r="L27" s="67" t="str">
        <f>VLOOKUP($A27,MFMaster!$A$2:$C$300,2,FALSE)</f>
        <v>1-3 stories</v>
      </c>
      <c r="M27" s="67">
        <f>VLOOKUP($A27,MFMaster!$A$2:$CG$232,85,FALSE)</f>
        <v>206.07391357421901</v>
      </c>
      <c r="O27" s="67" t="s">
        <v>177</v>
      </c>
      <c r="P27" s="70">
        <v>0.85000002384185802</v>
      </c>
      <c r="Q27" s="71">
        <v>5614.7123336791983</v>
      </c>
      <c r="R27" s="53">
        <f t="shared" si="1"/>
        <v>7.2976442572239231E-2</v>
      </c>
    </row>
    <row r="28" spans="1:20">
      <c r="A28">
        <v>10996</v>
      </c>
      <c r="B28" t="s">
        <v>1935</v>
      </c>
      <c r="C28">
        <v>1</v>
      </c>
      <c r="D28" t="s">
        <v>1936</v>
      </c>
      <c r="E28" t="s">
        <v>177</v>
      </c>
      <c r="F28" t="s">
        <v>1939</v>
      </c>
      <c r="G28">
        <v>100</v>
      </c>
      <c r="H28">
        <v>993</v>
      </c>
      <c r="I28">
        <v>0.55000001192092896</v>
      </c>
      <c r="J28" t="s">
        <v>270</v>
      </c>
      <c r="K28" t="s">
        <v>273</v>
      </c>
      <c r="L28" s="67" t="str">
        <f>VLOOKUP($A28,MFMaster!$A$2:$C$300,2,FALSE)</f>
        <v>1-3 stories</v>
      </c>
      <c r="M28" s="67">
        <f>VLOOKUP($A28,MFMaster!$A$2:$CG$232,85,FALSE)</f>
        <v>112.106643676758</v>
      </c>
      <c r="O28" s="67" t="s">
        <v>177</v>
      </c>
      <c r="P28" s="70">
        <v>0.60000002384185802</v>
      </c>
      <c r="Q28" s="71">
        <v>5003.060760498046</v>
      </c>
      <c r="R28" s="53">
        <f t="shared" si="1"/>
        <v>6.502658632818388E-2</v>
      </c>
    </row>
    <row r="29" spans="1:20">
      <c r="A29">
        <v>11005</v>
      </c>
      <c r="B29" t="s">
        <v>1935</v>
      </c>
      <c r="C29">
        <v>1</v>
      </c>
      <c r="D29" t="s">
        <v>1936</v>
      </c>
      <c r="E29" t="s">
        <v>177</v>
      </c>
      <c r="F29" t="s">
        <v>1939</v>
      </c>
      <c r="G29">
        <v>70</v>
      </c>
      <c r="H29">
        <v>352</v>
      </c>
      <c r="I29">
        <v>0.55000001192092896</v>
      </c>
      <c r="J29" t="s">
        <v>270</v>
      </c>
      <c r="K29" t="s">
        <v>273</v>
      </c>
      <c r="L29" s="67" t="str">
        <f>VLOOKUP($A29,MFMaster!$A$2:$C$300,2,FALSE)</f>
        <v>1-3 stories</v>
      </c>
      <c r="M29" s="67" t="str">
        <f>VLOOKUP($A29,MFMaster!$A$2:$CG$232,85,FALSE)</f>
        <v/>
      </c>
      <c r="O29" s="67" t="s">
        <v>177</v>
      </c>
      <c r="P29" s="70">
        <v>0.44999998807907099</v>
      </c>
      <c r="Q29" s="71">
        <v>19272.527546405789</v>
      </c>
      <c r="R29" s="53">
        <f t="shared" si="1"/>
        <v>0.25049199605041406</v>
      </c>
    </row>
    <row r="30" spans="1:20">
      <c r="A30">
        <v>11005</v>
      </c>
      <c r="B30" t="s">
        <v>1940</v>
      </c>
      <c r="C30">
        <v>2</v>
      </c>
      <c r="D30" t="s">
        <v>1936</v>
      </c>
      <c r="E30" t="s">
        <v>184</v>
      </c>
      <c r="F30"/>
      <c r="G30">
        <v>50</v>
      </c>
      <c r="H30">
        <v>43</v>
      </c>
      <c r="I30">
        <v>0.89999997615814198</v>
      </c>
      <c r="J30" t="s">
        <v>270</v>
      </c>
      <c r="K30" t="s">
        <v>273</v>
      </c>
      <c r="L30" s="67" t="str">
        <f>VLOOKUP($A30,MFMaster!$A$2:$C$300,2,FALSE)</f>
        <v>1-3 stories</v>
      </c>
      <c r="M30" s="67" t="str">
        <f>VLOOKUP($A30,MFMaster!$A$2:$CG$232,85,FALSE)</f>
        <v/>
      </c>
      <c r="O30" s="67" t="s">
        <v>184</v>
      </c>
      <c r="P30" s="70">
        <v>1.1000000238418599</v>
      </c>
      <c r="Q30" s="71">
        <v>12270.144338607781</v>
      </c>
      <c r="R30" s="53">
        <f t="shared" si="1"/>
        <v>0.15947949431146374</v>
      </c>
    </row>
    <row r="31" spans="1:20">
      <c r="A31">
        <v>11005</v>
      </c>
      <c r="B31" t="s">
        <v>1941</v>
      </c>
      <c r="C31">
        <v>3</v>
      </c>
      <c r="D31" t="s">
        <v>1936</v>
      </c>
      <c r="E31" t="s">
        <v>177</v>
      </c>
      <c r="F31" t="s">
        <v>1939</v>
      </c>
      <c r="G31">
        <v>100</v>
      </c>
      <c r="H31">
        <v>20</v>
      </c>
      <c r="I31">
        <v>0.55000001192092896</v>
      </c>
      <c r="J31" t="s">
        <v>270</v>
      </c>
      <c r="K31" t="s">
        <v>273</v>
      </c>
      <c r="L31" s="67" t="str">
        <f>VLOOKUP($A31,MFMaster!$A$2:$C$300,2,FALSE)</f>
        <v>1-3 stories</v>
      </c>
      <c r="M31" s="67" t="str">
        <f>VLOOKUP($A31,MFMaster!$A$2:$CG$232,85,FALSE)</f>
        <v/>
      </c>
      <c r="O31" s="67" t="s">
        <v>177</v>
      </c>
      <c r="P31" s="70">
        <v>0.89999997615814198</v>
      </c>
      <c r="Q31" s="71">
        <v>526.40000915527298</v>
      </c>
      <c r="R31" s="53">
        <f t="shared" si="1"/>
        <v>6.8418108987916048E-3</v>
      </c>
    </row>
    <row r="32" spans="1:20">
      <c r="A32">
        <v>11263</v>
      </c>
      <c r="B32" t="s">
        <v>1938</v>
      </c>
      <c r="C32">
        <v>1</v>
      </c>
      <c r="D32" t="s">
        <v>1936</v>
      </c>
      <c r="E32" t="s">
        <v>177</v>
      </c>
      <c r="F32" t="s">
        <v>1939</v>
      </c>
      <c r="G32">
        <v>100</v>
      </c>
      <c r="H32">
        <v>570</v>
      </c>
      <c r="I32">
        <v>0.55000001192092896</v>
      </c>
      <c r="J32" t="s">
        <v>270</v>
      </c>
      <c r="K32" t="s">
        <v>273</v>
      </c>
      <c r="L32" s="67" t="str">
        <f>VLOOKUP($A32,MFMaster!$A$2:$C$300,2,FALSE)</f>
        <v>1-3 stories</v>
      </c>
      <c r="M32" s="67">
        <f>VLOOKUP($A32,MFMaster!$A$2:$CG$232,85,FALSE)</f>
        <v>343.45651245117199</v>
      </c>
      <c r="P32" s="70" t="s">
        <v>212</v>
      </c>
      <c r="Q32" s="71">
        <v>909.30476379394497</v>
      </c>
      <c r="R32" s="53">
        <f t="shared" si="1"/>
        <v>1.1818562186638251E-2</v>
      </c>
    </row>
    <row r="33" spans="1:20">
      <c r="A33">
        <v>11271</v>
      </c>
      <c r="B33" t="s">
        <v>1935</v>
      </c>
      <c r="C33">
        <v>1</v>
      </c>
      <c r="D33" t="s">
        <v>257</v>
      </c>
      <c r="E33" t="s">
        <v>184</v>
      </c>
      <c r="F33"/>
      <c r="G33">
        <v>90</v>
      </c>
      <c r="H33">
        <v>1500</v>
      </c>
      <c r="I33">
        <v>1.1000000238418599</v>
      </c>
      <c r="J33" t="s">
        <v>270</v>
      </c>
      <c r="K33" t="s">
        <v>270</v>
      </c>
      <c r="L33" s="67" t="str">
        <f>VLOOKUP($A33,MFMaster!$A$2:$C$300,2,FALSE)</f>
        <v>1-3 stories</v>
      </c>
      <c r="M33" s="67">
        <f>VLOOKUP($A33,MFMaster!$A$2:$CG$232,85,FALSE)</f>
        <v>54.761714935302699</v>
      </c>
      <c r="P33" s="70" t="s">
        <v>210</v>
      </c>
      <c r="Q33" s="71">
        <v>76938.696047306032</v>
      </c>
      <c r="R33"/>
      <c r="S33"/>
      <c r="T33"/>
    </row>
    <row r="34" spans="1:20">
      <c r="A34">
        <v>11290</v>
      </c>
      <c r="B34" t="s">
        <v>1938</v>
      </c>
      <c r="C34">
        <v>1</v>
      </c>
      <c r="D34" t="s">
        <v>257</v>
      </c>
      <c r="E34" t="s">
        <v>184</v>
      </c>
      <c r="F34"/>
      <c r="G34">
        <v>100</v>
      </c>
      <c r="H34">
        <v>832</v>
      </c>
      <c r="I34">
        <v>1.1000000238418599</v>
      </c>
      <c r="J34" t="s">
        <v>270</v>
      </c>
      <c r="K34" t="s">
        <v>270</v>
      </c>
      <c r="L34" s="67" t="str">
        <f>VLOOKUP($A34,MFMaster!$A$2:$C$300,2,FALSE)</f>
        <v>1-3 stories</v>
      </c>
      <c r="M34" s="67" t="str">
        <f>VLOOKUP($A34,MFMaster!$A$2:$CG$232,85,FALSE)</f>
        <v/>
      </c>
      <c r="P34"/>
      <c r="Q34"/>
      <c r="R34"/>
      <c r="S34"/>
      <c r="T34"/>
    </row>
    <row r="35" spans="1:20">
      <c r="A35">
        <v>11290</v>
      </c>
      <c r="B35" t="s">
        <v>1935</v>
      </c>
      <c r="C35">
        <v>2</v>
      </c>
      <c r="D35" t="s">
        <v>257</v>
      </c>
      <c r="E35" t="s">
        <v>184</v>
      </c>
      <c r="F35"/>
      <c r="G35">
        <v>100</v>
      </c>
      <c r="H35">
        <v>592</v>
      </c>
      <c r="I35">
        <v>0.94999998807907104</v>
      </c>
      <c r="J35" t="s">
        <v>270</v>
      </c>
      <c r="K35" t="s">
        <v>273</v>
      </c>
      <c r="L35" s="67" t="str">
        <f>VLOOKUP($A35,MFMaster!$A$2:$C$300,2,FALSE)</f>
        <v>1-3 stories</v>
      </c>
      <c r="M35" s="67" t="str">
        <f>VLOOKUP($A35,MFMaster!$A$2:$CG$232,85,FALSE)</f>
        <v/>
      </c>
      <c r="P35"/>
      <c r="Q35"/>
      <c r="R35" s="53"/>
    </row>
    <row r="36" spans="1:20">
      <c r="A36">
        <v>11297</v>
      </c>
      <c r="B36" t="s">
        <v>1935</v>
      </c>
      <c r="C36">
        <v>1</v>
      </c>
      <c r="D36" t="s">
        <v>1936</v>
      </c>
      <c r="E36" t="s">
        <v>177</v>
      </c>
      <c r="F36" t="s">
        <v>1937</v>
      </c>
      <c r="G36">
        <v>67</v>
      </c>
      <c r="H36">
        <v>13899</v>
      </c>
      <c r="I36">
        <v>0.44999998807907099</v>
      </c>
      <c r="J36" t="s">
        <v>270</v>
      </c>
      <c r="K36" t="s">
        <v>273</v>
      </c>
      <c r="L36" s="67" t="str">
        <f>VLOOKUP($A36,MFMaster!$A$2:$C$300,2,FALSE)</f>
        <v>1-3 stories</v>
      </c>
      <c r="M36" s="67" t="str">
        <f>VLOOKUP($A36,MFMaster!$A$2:$CG$232,85,FALSE)</f>
        <v/>
      </c>
      <c r="P36"/>
      <c r="Q36"/>
      <c r="R36" s="53"/>
    </row>
    <row r="37" spans="1:20">
      <c r="A37">
        <v>11297</v>
      </c>
      <c r="B37" t="s">
        <v>1940</v>
      </c>
      <c r="C37">
        <v>2</v>
      </c>
      <c r="D37" t="s">
        <v>257</v>
      </c>
      <c r="E37" t="s">
        <v>177</v>
      </c>
      <c r="F37" t="s">
        <v>1937</v>
      </c>
      <c r="G37">
        <v>27</v>
      </c>
      <c r="H37">
        <v>352</v>
      </c>
      <c r="I37">
        <v>0.75</v>
      </c>
      <c r="J37" t="s">
        <v>270</v>
      </c>
      <c r="K37" t="s">
        <v>273</v>
      </c>
      <c r="L37" s="67" t="str">
        <f>VLOOKUP($A37,MFMaster!$A$2:$C$300,2,FALSE)</f>
        <v>1-3 stories</v>
      </c>
      <c r="M37" s="67" t="str">
        <f>VLOOKUP($A37,MFMaster!$A$2:$CG$232,85,FALSE)</f>
        <v/>
      </c>
      <c r="P37"/>
      <c r="Q37"/>
      <c r="R37" s="53"/>
    </row>
    <row r="38" spans="1:20">
      <c r="A38">
        <v>11345</v>
      </c>
      <c r="B38" t="s">
        <v>1935</v>
      </c>
      <c r="C38">
        <v>1</v>
      </c>
      <c r="D38" t="s">
        <v>1936</v>
      </c>
      <c r="E38" t="s">
        <v>177</v>
      </c>
      <c r="F38" t="s">
        <v>1937</v>
      </c>
      <c r="G38">
        <v>98</v>
      </c>
      <c r="H38">
        <v>1627</v>
      </c>
      <c r="I38">
        <v>0.44999998807907099</v>
      </c>
      <c r="J38" t="s">
        <v>270</v>
      </c>
      <c r="K38" t="s">
        <v>273</v>
      </c>
      <c r="L38" s="67" t="str">
        <f>VLOOKUP($A38,MFMaster!$A$2:$C$300,2,FALSE)</f>
        <v>1-3 stories</v>
      </c>
      <c r="M38" s="67">
        <f>VLOOKUP($A38,MFMaster!$A$2:$CG$232,85,FALSE)</f>
        <v>78.231018066406307</v>
      </c>
      <c r="P38"/>
      <c r="Q38"/>
      <c r="R38"/>
    </row>
    <row r="39" spans="1:20">
      <c r="A39">
        <v>11413</v>
      </c>
      <c r="B39" t="s">
        <v>1941</v>
      </c>
      <c r="C39">
        <v>1</v>
      </c>
      <c r="D39" t="s">
        <v>1936</v>
      </c>
      <c r="E39" t="s">
        <v>177</v>
      </c>
      <c r="F39" t="s">
        <v>1937</v>
      </c>
      <c r="G39">
        <v>95</v>
      </c>
      <c r="H39">
        <v>19214</v>
      </c>
      <c r="I39">
        <v>0.44999998807907099</v>
      </c>
      <c r="J39" t="s">
        <v>270</v>
      </c>
      <c r="K39" t="s">
        <v>273</v>
      </c>
      <c r="L39" s="67" t="str">
        <f>VLOOKUP($A39,MFMaster!$A$2:$C$300,2,FALSE)</f>
        <v>4-6 stories</v>
      </c>
      <c r="M39" s="67" t="str">
        <f>VLOOKUP($A39,MFMaster!$A$2:$CG$232,85,FALSE)</f>
        <v/>
      </c>
      <c r="P39"/>
      <c r="Q39"/>
      <c r="R39"/>
    </row>
    <row r="40" spans="1:20">
      <c r="A40">
        <v>11413</v>
      </c>
      <c r="B40" t="s">
        <v>1942</v>
      </c>
      <c r="C40">
        <v>2</v>
      </c>
      <c r="D40" t="s">
        <v>257</v>
      </c>
      <c r="E40" t="s">
        <v>184</v>
      </c>
      <c r="F40"/>
      <c r="G40">
        <v>95</v>
      </c>
      <c r="H40">
        <v>2620</v>
      </c>
      <c r="I40">
        <v>1.1000000238418599</v>
      </c>
      <c r="J40" t="s">
        <v>270</v>
      </c>
      <c r="K40" t="s">
        <v>270</v>
      </c>
      <c r="L40" s="67" t="str">
        <f>VLOOKUP($A40,MFMaster!$A$2:$C$300,2,FALSE)</f>
        <v>4-6 stories</v>
      </c>
      <c r="M40" s="67" t="str">
        <f>VLOOKUP($A40,MFMaster!$A$2:$CG$232,85,FALSE)</f>
        <v/>
      </c>
      <c r="P40"/>
      <c r="Q40"/>
    </row>
    <row r="41" spans="1:20">
      <c r="A41">
        <v>11413</v>
      </c>
      <c r="B41" t="s">
        <v>1943</v>
      </c>
      <c r="C41">
        <v>3</v>
      </c>
      <c r="D41" t="s">
        <v>257</v>
      </c>
      <c r="E41" t="s">
        <v>177</v>
      </c>
      <c r="F41" t="s">
        <v>1937</v>
      </c>
      <c r="G41">
        <v>72</v>
      </c>
      <c r="H41">
        <v>296</v>
      </c>
      <c r="I41">
        <v>0.80000001192092896</v>
      </c>
      <c r="J41" t="s">
        <v>270</v>
      </c>
      <c r="K41" t="s">
        <v>270</v>
      </c>
      <c r="L41" s="67" t="str">
        <f>VLOOKUP($A41,MFMaster!$A$2:$C$300,2,FALSE)</f>
        <v>4-6 stories</v>
      </c>
      <c r="M41" s="67" t="str">
        <f>VLOOKUP($A41,MFMaster!$A$2:$CG$232,85,FALSE)</f>
        <v/>
      </c>
      <c r="P41"/>
      <c r="Q41"/>
    </row>
    <row r="42" spans="1:20">
      <c r="A42">
        <v>11537</v>
      </c>
      <c r="B42" t="s">
        <v>1935</v>
      </c>
      <c r="C42">
        <v>1</v>
      </c>
      <c r="D42" t="s">
        <v>257</v>
      </c>
      <c r="E42" t="s">
        <v>184</v>
      </c>
      <c r="F42"/>
      <c r="G42">
        <v>100</v>
      </c>
      <c r="H42">
        <v>421</v>
      </c>
      <c r="I42">
        <v>1.1000000238418599</v>
      </c>
      <c r="J42" t="s">
        <v>270</v>
      </c>
      <c r="K42" t="s">
        <v>270</v>
      </c>
      <c r="L42" s="67" t="str">
        <f>VLOOKUP($A42,MFMaster!$A$2:$C$300,2,FALSE)</f>
        <v>1-3 stories</v>
      </c>
      <c r="M42" s="67">
        <f>VLOOKUP($A42,MFMaster!$A$2:$CG$232,85,FALSE)</f>
        <v>149.47552490234401</v>
      </c>
      <c r="P42"/>
      <c r="Q42"/>
    </row>
    <row r="43" spans="1:20">
      <c r="A43">
        <v>11537</v>
      </c>
      <c r="B43" t="s">
        <v>1940</v>
      </c>
      <c r="C43">
        <v>2</v>
      </c>
      <c r="D43" t="s">
        <v>257</v>
      </c>
      <c r="E43" t="s">
        <v>177</v>
      </c>
      <c r="F43" t="s">
        <v>1939</v>
      </c>
      <c r="G43">
        <v>100</v>
      </c>
      <c r="H43">
        <v>480</v>
      </c>
      <c r="I43">
        <v>0.75</v>
      </c>
      <c r="J43" t="s">
        <v>270</v>
      </c>
      <c r="K43" t="s">
        <v>273</v>
      </c>
      <c r="L43" s="67" t="str">
        <f>VLOOKUP($A43,MFMaster!$A$2:$C$300,2,FALSE)</f>
        <v>1-3 stories</v>
      </c>
      <c r="M43" s="67">
        <f>VLOOKUP($A43,MFMaster!$A$2:$CG$232,85,FALSE)</f>
        <v>149.47552490234401</v>
      </c>
      <c r="P43"/>
      <c r="Q43"/>
    </row>
    <row r="44" spans="1:20">
      <c r="A44">
        <v>11537</v>
      </c>
      <c r="B44" t="s">
        <v>1941</v>
      </c>
      <c r="C44">
        <v>3</v>
      </c>
      <c r="D44" t="s">
        <v>1936</v>
      </c>
      <c r="E44" t="s">
        <v>177</v>
      </c>
      <c r="F44" t="s">
        <v>1937</v>
      </c>
      <c r="G44">
        <v>100</v>
      </c>
      <c r="H44">
        <v>42</v>
      </c>
      <c r="I44">
        <v>0.44999998807907099</v>
      </c>
      <c r="J44" t="s">
        <v>270</v>
      </c>
      <c r="K44" t="s">
        <v>273</v>
      </c>
      <c r="L44" s="67" t="str">
        <f>VLOOKUP($A44,MFMaster!$A$2:$C$300,2,FALSE)</f>
        <v>1-3 stories</v>
      </c>
      <c r="M44" s="67">
        <f>VLOOKUP($A44,MFMaster!$A$2:$CG$232,85,FALSE)</f>
        <v>149.47552490234401</v>
      </c>
      <c r="P44"/>
      <c r="Q44"/>
    </row>
    <row r="45" spans="1:20">
      <c r="A45">
        <v>11598</v>
      </c>
      <c r="B45" t="s">
        <v>1935</v>
      </c>
      <c r="C45">
        <v>1</v>
      </c>
      <c r="D45" t="s">
        <v>257</v>
      </c>
      <c r="E45" t="s">
        <v>177</v>
      </c>
      <c r="F45" t="s">
        <v>1937</v>
      </c>
      <c r="G45">
        <v>100</v>
      </c>
      <c r="H45">
        <v>1848</v>
      </c>
      <c r="I45">
        <v>0.80000001192092896</v>
      </c>
      <c r="J45" t="s">
        <v>270</v>
      </c>
      <c r="K45" t="s">
        <v>270</v>
      </c>
      <c r="L45" s="67" t="str">
        <f>VLOOKUP($A45,MFMaster!$A$2:$C$300,2,FALSE)</f>
        <v>1-3 stories</v>
      </c>
      <c r="M45" s="67">
        <f>VLOOKUP($A45,MFMaster!$A$2:$CG$232,85,FALSE)</f>
        <v>400.358642578125</v>
      </c>
      <c r="P45"/>
      <c r="Q45"/>
    </row>
    <row r="46" spans="1:20">
      <c r="A46">
        <v>11879</v>
      </c>
      <c r="B46" t="s">
        <v>1938</v>
      </c>
      <c r="C46">
        <v>1</v>
      </c>
      <c r="D46" t="s">
        <v>1936</v>
      </c>
      <c r="E46" t="s">
        <v>177</v>
      </c>
      <c r="F46" t="s">
        <v>1937</v>
      </c>
      <c r="G46">
        <v>80</v>
      </c>
      <c r="H46">
        <v>1452</v>
      </c>
      <c r="I46">
        <v>0.55000001192092896</v>
      </c>
      <c r="J46" t="s">
        <v>270</v>
      </c>
      <c r="K46" t="s">
        <v>270</v>
      </c>
      <c r="L46" s="67" t="str">
        <f>VLOOKUP($A46,MFMaster!$A$2:$C$300,2,FALSE)</f>
        <v>1-3 stories</v>
      </c>
      <c r="M46" s="67">
        <f>VLOOKUP($A46,MFMaster!$A$2:$CG$232,85,FALSE)</f>
        <v>600.53796386718795</v>
      </c>
      <c r="P46"/>
      <c r="Q46"/>
    </row>
    <row r="47" spans="1:20">
      <c r="A47">
        <v>11887</v>
      </c>
      <c r="B47" t="s">
        <v>1938</v>
      </c>
      <c r="C47">
        <v>1</v>
      </c>
      <c r="D47" t="s">
        <v>257</v>
      </c>
      <c r="E47" t="s">
        <v>177</v>
      </c>
      <c r="F47" t="s">
        <v>1937</v>
      </c>
      <c r="G47">
        <v>100</v>
      </c>
      <c r="H47">
        <v>5960</v>
      </c>
      <c r="I47">
        <v>0.80000001192092896</v>
      </c>
      <c r="J47" t="s">
        <v>270</v>
      </c>
      <c r="K47" t="s">
        <v>270</v>
      </c>
      <c r="L47" s="67" t="str">
        <f>VLOOKUP($A47,MFMaster!$A$2:$C$300,2,FALSE)</f>
        <v>1-3 stories</v>
      </c>
      <c r="M47" s="67">
        <f>VLOOKUP($A47,MFMaster!$A$2:$CG$232,85,FALSE)</f>
        <v>53.381153106689503</v>
      </c>
      <c r="P47"/>
      <c r="Q47"/>
    </row>
    <row r="48" spans="1:20">
      <c r="A48">
        <v>11887</v>
      </c>
      <c r="B48" t="s">
        <v>1935</v>
      </c>
      <c r="C48">
        <v>2</v>
      </c>
      <c r="D48" t="s">
        <v>1936</v>
      </c>
      <c r="E48" t="s">
        <v>177</v>
      </c>
      <c r="F48" t="s">
        <v>1937</v>
      </c>
      <c r="G48">
        <v>100</v>
      </c>
      <c r="H48">
        <v>106</v>
      </c>
      <c r="I48">
        <v>0.44999998807907099</v>
      </c>
      <c r="J48" t="s">
        <v>270</v>
      </c>
      <c r="K48" t="s">
        <v>273</v>
      </c>
      <c r="L48" s="67" t="str">
        <f>VLOOKUP($A48,MFMaster!$A$2:$C$300,2,FALSE)</f>
        <v>1-3 stories</v>
      </c>
      <c r="M48" s="67">
        <f>VLOOKUP($A48,MFMaster!$A$2:$CG$232,85,FALSE)</f>
        <v>53.381153106689503</v>
      </c>
      <c r="P48"/>
      <c r="Q48"/>
    </row>
    <row r="49" spans="1:17">
      <c r="A49">
        <v>11930</v>
      </c>
      <c r="B49" t="s">
        <v>1938</v>
      </c>
      <c r="C49">
        <v>1</v>
      </c>
      <c r="D49" t="s">
        <v>257</v>
      </c>
      <c r="E49" t="s">
        <v>177</v>
      </c>
      <c r="F49" t="s">
        <v>1939</v>
      </c>
      <c r="G49">
        <v>100</v>
      </c>
      <c r="H49">
        <v>562</v>
      </c>
      <c r="I49">
        <v>0.85000002384185802</v>
      </c>
      <c r="J49" t="s">
        <v>270</v>
      </c>
      <c r="K49" t="s">
        <v>270</v>
      </c>
      <c r="L49" s="67" t="str">
        <f>VLOOKUP($A49,MFMaster!$A$2:$C$300,2,FALSE)</f>
        <v>1-3 stories</v>
      </c>
      <c r="M49" s="67">
        <f>VLOOKUP($A49,MFMaster!$A$2:$CG$232,85,FALSE)</f>
        <v>600.53796386718795</v>
      </c>
      <c r="P49"/>
      <c r="Q49"/>
    </row>
    <row r="50" spans="1:17">
      <c r="A50">
        <v>11949</v>
      </c>
      <c r="B50" t="s">
        <v>1938</v>
      </c>
      <c r="C50">
        <v>1</v>
      </c>
      <c r="D50" t="s">
        <v>1936</v>
      </c>
      <c r="E50" t="s">
        <v>177</v>
      </c>
      <c r="F50" t="s">
        <v>1937</v>
      </c>
      <c r="G50">
        <v>65</v>
      </c>
      <c r="H50">
        <v>8708</v>
      </c>
      <c r="I50">
        <v>0.44999998807907099</v>
      </c>
      <c r="J50" t="s">
        <v>270</v>
      </c>
      <c r="K50" t="s">
        <v>273</v>
      </c>
      <c r="L50" s="67" t="str">
        <f>VLOOKUP($A50,MFMaster!$A$2:$C$300,2,FALSE)</f>
        <v>4-6 stories</v>
      </c>
      <c r="M50" s="67" t="str">
        <f>VLOOKUP($A50,MFMaster!$A$2:$CG$232,85,FALSE)</f>
        <v/>
      </c>
      <c r="P50"/>
      <c r="Q50"/>
    </row>
    <row r="51" spans="1:17">
      <c r="A51">
        <v>12167</v>
      </c>
      <c r="B51" t="s">
        <v>1935</v>
      </c>
      <c r="C51">
        <v>1</v>
      </c>
      <c r="D51" t="s">
        <v>257</v>
      </c>
      <c r="E51" t="s">
        <v>177</v>
      </c>
      <c r="F51" t="s">
        <v>1939</v>
      </c>
      <c r="G51">
        <v>95</v>
      </c>
      <c r="H51">
        <v>914</v>
      </c>
      <c r="I51">
        <v>0.85000002384185802</v>
      </c>
      <c r="J51" t="s">
        <v>270</v>
      </c>
      <c r="K51" t="s">
        <v>270</v>
      </c>
      <c r="L51" s="67" t="str">
        <f>VLOOKUP($A51,MFMaster!$A$2:$C$300,2,FALSE)</f>
        <v>1-3 stories</v>
      </c>
      <c r="M51" s="67">
        <f>VLOOKUP($A51,MFMaster!$A$2:$CG$232,85,FALSE)</f>
        <v>400.358642578125</v>
      </c>
      <c r="P51"/>
      <c r="Q51"/>
    </row>
    <row r="52" spans="1:17">
      <c r="A52">
        <v>12192</v>
      </c>
      <c r="B52" t="s">
        <v>1940</v>
      </c>
      <c r="C52">
        <v>1</v>
      </c>
      <c r="D52" t="s">
        <v>1936</v>
      </c>
      <c r="E52" t="s">
        <v>177</v>
      </c>
      <c r="F52" t="s">
        <v>1937</v>
      </c>
      <c r="G52">
        <v>95</v>
      </c>
      <c r="H52">
        <v>5017</v>
      </c>
      <c r="I52">
        <v>0.44999998807907099</v>
      </c>
      <c r="J52" t="s">
        <v>270</v>
      </c>
      <c r="K52" t="s">
        <v>273</v>
      </c>
      <c r="L52" s="67" t="str">
        <f>VLOOKUP($A52,MFMaster!$A$2:$C$300,2,FALSE)</f>
        <v>4-6 stories</v>
      </c>
      <c r="M52" s="67" t="str">
        <f>VLOOKUP($A52,MFMaster!$A$2:$CG$232,85,FALSE)</f>
        <v/>
      </c>
      <c r="P52"/>
      <c r="Q52"/>
    </row>
    <row r="53" spans="1:17">
      <c r="A53">
        <v>12192</v>
      </c>
      <c r="B53" t="s">
        <v>1941</v>
      </c>
      <c r="C53">
        <v>2</v>
      </c>
      <c r="D53" t="s">
        <v>257</v>
      </c>
      <c r="E53" t="s">
        <v>184</v>
      </c>
      <c r="F53"/>
      <c r="G53">
        <v>50</v>
      </c>
      <c r="H53">
        <v>95</v>
      </c>
      <c r="I53">
        <v>0.94999998807907104</v>
      </c>
      <c r="J53" t="s">
        <v>270</v>
      </c>
      <c r="K53" t="s">
        <v>273</v>
      </c>
      <c r="L53" s="67" t="str">
        <f>VLOOKUP($A53,MFMaster!$A$2:$C$300,2,FALSE)</f>
        <v>4-6 stories</v>
      </c>
      <c r="M53" s="67" t="str">
        <f>VLOOKUP($A53,MFMaster!$A$2:$CG$232,85,FALSE)</f>
        <v/>
      </c>
      <c r="P53"/>
      <c r="Q53"/>
    </row>
    <row r="54" spans="1:17">
      <c r="A54">
        <v>12405</v>
      </c>
      <c r="B54" t="s">
        <v>1938</v>
      </c>
      <c r="C54">
        <v>1</v>
      </c>
      <c r="D54" t="s">
        <v>257</v>
      </c>
      <c r="E54" t="s">
        <v>177</v>
      </c>
      <c r="F54" t="s">
        <v>1939</v>
      </c>
      <c r="G54">
        <v>100</v>
      </c>
      <c r="H54">
        <v>2639</v>
      </c>
      <c r="I54">
        <v>0.85000002384185802</v>
      </c>
      <c r="J54" t="s">
        <v>270</v>
      </c>
      <c r="K54" t="s">
        <v>270</v>
      </c>
      <c r="L54" s="67" t="str">
        <f>VLOOKUP($A54,MFMaster!$A$2:$C$300,2,FALSE)</f>
        <v>1-3 stories</v>
      </c>
      <c r="M54" s="67">
        <f>VLOOKUP($A54,MFMaster!$A$2:$CG$232,85,FALSE)</f>
        <v>165.66564941406301</v>
      </c>
      <c r="P54"/>
      <c r="Q54"/>
    </row>
    <row r="55" spans="1:17">
      <c r="A55">
        <v>12511</v>
      </c>
      <c r="B55" t="s">
        <v>1938</v>
      </c>
      <c r="C55">
        <v>1</v>
      </c>
      <c r="D55" t="s">
        <v>257</v>
      </c>
      <c r="E55" t="s">
        <v>177</v>
      </c>
      <c r="F55" t="s">
        <v>1939</v>
      </c>
      <c r="G55">
        <v>100</v>
      </c>
      <c r="H55">
        <v>2800</v>
      </c>
      <c r="I55">
        <v>0.85000002384185802</v>
      </c>
      <c r="J55" t="s">
        <v>270</v>
      </c>
      <c r="K55" t="s">
        <v>270</v>
      </c>
      <c r="L55" s="67" t="str">
        <f>VLOOKUP($A55,MFMaster!$A$2:$C$300,2,FALSE)</f>
        <v>4-6 stories</v>
      </c>
      <c r="M55" s="67" t="str">
        <f>VLOOKUP($A55,MFMaster!$A$2:$CG$232,85,FALSE)</f>
        <v/>
      </c>
      <c r="P55"/>
      <c r="Q55"/>
    </row>
    <row r="56" spans="1:17">
      <c r="A56">
        <v>12511</v>
      </c>
      <c r="B56" t="s">
        <v>1935</v>
      </c>
      <c r="C56">
        <v>2</v>
      </c>
      <c r="D56" t="s">
        <v>257</v>
      </c>
      <c r="E56" t="s">
        <v>177</v>
      </c>
      <c r="F56" t="s">
        <v>1939</v>
      </c>
      <c r="G56">
        <v>0</v>
      </c>
      <c r="H56">
        <v>256</v>
      </c>
      <c r="I56">
        <v>0.75</v>
      </c>
      <c r="J56" t="s">
        <v>270</v>
      </c>
      <c r="K56" t="s">
        <v>273</v>
      </c>
      <c r="L56" s="67" t="str">
        <f>VLOOKUP($A56,MFMaster!$A$2:$C$300,2,FALSE)</f>
        <v>4-6 stories</v>
      </c>
      <c r="M56" s="67" t="str">
        <f>VLOOKUP($A56,MFMaster!$A$2:$CG$232,85,FALSE)</f>
        <v/>
      </c>
      <c r="P56"/>
      <c r="Q56"/>
    </row>
    <row r="57" spans="1:17">
      <c r="A57">
        <v>12623</v>
      </c>
      <c r="B57" t="s">
        <v>1938</v>
      </c>
      <c r="C57">
        <v>1</v>
      </c>
      <c r="D57" t="s">
        <v>257</v>
      </c>
      <c r="E57" t="s">
        <v>184</v>
      </c>
      <c r="F57"/>
      <c r="G57">
        <v>100</v>
      </c>
      <c r="H57">
        <v>953</v>
      </c>
      <c r="I57">
        <v>1.1000000238418599</v>
      </c>
      <c r="J57" t="s">
        <v>270</v>
      </c>
      <c r="K57" t="s">
        <v>270</v>
      </c>
      <c r="L57" s="67" t="str">
        <f>VLOOKUP($A57,MFMaster!$A$2:$C$300,2,FALSE)</f>
        <v>1-3 stories</v>
      </c>
      <c r="M57" s="67">
        <f>VLOOKUP($A57,MFMaster!$A$2:$CG$232,85,FALSE)</f>
        <v>600.53796386718795</v>
      </c>
      <c r="P57"/>
      <c r="Q57"/>
    </row>
    <row r="58" spans="1:17">
      <c r="A58">
        <v>12651</v>
      </c>
      <c r="B58" t="s">
        <v>1935</v>
      </c>
      <c r="C58">
        <v>1</v>
      </c>
      <c r="D58" t="s">
        <v>1936</v>
      </c>
      <c r="E58" t="s">
        <v>177</v>
      </c>
      <c r="F58" t="s">
        <v>1937</v>
      </c>
      <c r="G58">
        <v>82</v>
      </c>
      <c r="H58">
        <v>2140</v>
      </c>
      <c r="I58">
        <v>0.44999998807907099</v>
      </c>
      <c r="J58" t="s">
        <v>270</v>
      </c>
      <c r="K58" t="s">
        <v>273</v>
      </c>
      <c r="L58" s="67" t="str">
        <f>VLOOKUP($A58,MFMaster!$A$2:$C$300,2,FALSE)</f>
        <v>1-3 stories</v>
      </c>
      <c r="M58" s="67">
        <f>VLOOKUP($A58,MFMaster!$A$2:$CG$232,85,FALSE)</f>
        <v>266.90576171875</v>
      </c>
      <c r="P58"/>
      <c r="Q58"/>
    </row>
    <row r="59" spans="1:17">
      <c r="A59">
        <v>12783</v>
      </c>
      <c r="B59" t="s">
        <v>1938</v>
      </c>
      <c r="C59">
        <v>1</v>
      </c>
      <c r="D59" t="s">
        <v>257</v>
      </c>
      <c r="E59" t="s">
        <v>177</v>
      </c>
      <c r="F59" t="s">
        <v>1939</v>
      </c>
      <c r="G59">
        <v>97</v>
      </c>
      <c r="H59">
        <v>2768</v>
      </c>
      <c r="I59">
        <v>0.85000002384185802</v>
      </c>
      <c r="J59" t="s">
        <v>270</v>
      </c>
      <c r="K59" t="s">
        <v>270</v>
      </c>
      <c r="L59" s="67" t="str">
        <f>VLOOKUP($A59,MFMaster!$A$2:$C$300,2,FALSE)</f>
        <v>4-6 stories</v>
      </c>
      <c r="M59" s="67" t="str">
        <f>VLOOKUP($A59,MFMaster!$A$2:$CG$232,85,FALSE)</f>
        <v/>
      </c>
      <c r="P59"/>
      <c r="Q59"/>
    </row>
    <row r="60" spans="1:17">
      <c r="A60">
        <v>12932</v>
      </c>
      <c r="B60" t="s">
        <v>1941</v>
      </c>
      <c r="C60">
        <v>1</v>
      </c>
      <c r="D60" t="s">
        <v>257</v>
      </c>
      <c r="E60" t="s">
        <v>177</v>
      </c>
      <c r="F60" t="s">
        <v>1939</v>
      </c>
      <c r="G60">
        <v>100</v>
      </c>
      <c r="H60">
        <v>1783</v>
      </c>
      <c r="I60">
        <v>0.85000002384185802</v>
      </c>
      <c r="J60" t="s">
        <v>270</v>
      </c>
      <c r="K60" t="s">
        <v>270</v>
      </c>
      <c r="L60" s="67" t="str">
        <f>VLOOKUP($A60,MFMaster!$A$2:$C$300,2,FALSE)</f>
        <v>4-6 stories</v>
      </c>
      <c r="M60" s="67" t="str">
        <f>VLOOKUP($A60,MFMaster!$A$2:$CG$232,85,FALSE)</f>
        <v/>
      </c>
      <c r="P60"/>
      <c r="Q60"/>
    </row>
    <row r="61" spans="1:17">
      <c r="A61">
        <v>12932</v>
      </c>
      <c r="B61" t="s">
        <v>1942</v>
      </c>
      <c r="C61">
        <v>2</v>
      </c>
      <c r="D61" t="s">
        <v>1936</v>
      </c>
      <c r="E61" t="s">
        <v>177</v>
      </c>
      <c r="F61" t="s">
        <v>1939</v>
      </c>
      <c r="G61">
        <v>0</v>
      </c>
      <c r="H61">
        <v>658</v>
      </c>
      <c r="I61">
        <v>0.60000002384185802</v>
      </c>
      <c r="J61" t="s">
        <v>270</v>
      </c>
      <c r="K61" t="s">
        <v>270</v>
      </c>
      <c r="L61" s="67" t="str">
        <f>VLOOKUP($A61,MFMaster!$A$2:$C$300,2,FALSE)</f>
        <v>4-6 stories</v>
      </c>
      <c r="M61" s="67" t="str">
        <f>VLOOKUP($A61,MFMaster!$A$2:$CG$232,85,FALSE)</f>
        <v/>
      </c>
      <c r="P61"/>
      <c r="Q61"/>
    </row>
    <row r="62" spans="1:17">
      <c r="A62">
        <v>12932</v>
      </c>
      <c r="B62" t="s">
        <v>1943</v>
      </c>
      <c r="C62">
        <v>3</v>
      </c>
      <c r="D62" t="s">
        <v>1936</v>
      </c>
      <c r="E62" t="s">
        <v>184</v>
      </c>
      <c r="F62"/>
      <c r="G62">
        <v>0</v>
      </c>
      <c r="H62">
        <v>150</v>
      </c>
      <c r="I62">
        <v>0.94999998807907104</v>
      </c>
      <c r="J62" t="s">
        <v>270</v>
      </c>
      <c r="K62" t="s">
        <v>270</v>
      </c>
      <c r="L62" s="67" t="str">
        <f>VLOOKUP($A62,MFMaster!$A$2:$C$300,2,FALSE)</f>
        <v>4-6 stories</v>
      </c>
      <c r="M62" s="67" t="str">
        <f>VLOOKUP($A62,MFMaster!$A$2:$CG$232,85,FALSE)</f>
        <v/>
      </c>
      <c r="P62"/>
      <c r="Q62"/>
    </row>
    <row r="63" spans="1:17">
      <c r="A63">
        <v>12986</v>
      </c>
      <c r="B63" t="s">
        <v>1940</v>
      </c>
      <c r="C63">
        <v>1</v>
      </c>
      <c r="D63" t="s">
        <v>1936</v>
      </c>
      <c r="E63" t="s">
        <v>177</v>
      </c>
      <c r="F63" t="s">
        <v>1937</v>
      </c>
      <c r="G63">
        <v>100</v>
      </c>
      <c r="H63">
        <v>9684</v>
      </c>
      <c r="I63">
        <v>0.44999998807907099</v>
      </c>
      <c r="J63" t="s">
        <v>270</v>
      </c>
      <c r="K63" t="s">
        <v>273</v>
      </c>
      <c r="L63" s="67" t="str">
        <f>VLOOKUP($A63,MFMaster!$A$2:$C$300,2,FALSE)</f>
        <v>4-6 stories</v>
      </c>
      <c r="M63" s="67" t="str">
        <f>VLOOKUP($A63,MFMaster!$A$2:$CG$232,85,FALSE)</f>
        <v/>
      </c>
      <c r="P63"/>
      <c r="Q63"/>
    </row>
    <row r="64" spans="1:17">
      <c r="A64">
        <v>12986</v>
      </c>
      <c r="B64" t="s">
        <v>1941</v>
      </c>
      <c r="C64">
        <v>2</v>
      </c>
      <c r="D64" t="s">
        <v>257</v>
      </c>
      <c r="E64" t="s">
        <v>177</v>
      </c>
      <c r="F64" t="s">
        <v>1937</v>
      </c>
      <c r="G64">
        <v>8</v>
      </c>
      <c r="H64">
        <v>84</v>
      </c>
      <c r="I64">
        <v>0.75</v>
      </c>
      <c r="J64" t="s">
        <v>270</v>
      </c>
      <c r="K64" t="s">
        <v>273</v>
      </c>
      <c r="L64" s="67" t="str">
        <f>VLOOKUP($A64,MFMaster!$A$2:$C$300,2,FALSE)</f>
        <v>4-6 stories</v>
      </c>
      <c r="M64" s="67" t="str">
        <f>VLOOKUP($A64,MFMaster!$A$2:$CG$232,85,FALSE)</f>
        <v/>
      </c>
      <c r="P64"/>
      <c r="Q64"/>
    </row>
    <row r="65" spans="1:17">
      <c r="A65">
        <v>12998</v>
      </c>
      <c r="B65" t="s">
        <v>1938</v>
      </c>
      <c r="C65">
        <v>1</v>
      </c>
      <c r="D65" t="s">
        <v>257</v>
      </c>
      <c r="E65" t="s">
        <v>177</v>
      </c>
      <c r="F65" t="s">
        <v>1937</v>
      </c>
      <c r="G65">
        <v>95</v>
      </c>
      <c r="H65">
        <v>2030</v>
      </c>
      <c r="I65">
        <v>0.80000001192092896</v>
      </c>
      <c r="J65" t="s">
        <v>270</v>
      </c>
      <c r="K65" t="s">
        <v>270</v>
      </c>
      <c r="L65" s="67" t="str">
        <f>VLOOKUP($A65,MFMaster!$A$2:$C$300,2,FALSE)</f>
        <v>1-3 stories</v>
      </c>
      <c r="M65" s="67">
        <f>VLOOKUP($A65,MFMaster!$A$2:$CG$232,85,FALSE)</f>
        <v>34.226070404052699</v>
      </c>
      <c r="P65"/>
      <c r="Q65"/>
    </row>
    <row r="66" spans="1:17">
      <c r="A66">
        <v>12998</v>
      </c>
      <c r="B66" t="s">
        <v>1935</v>
      </c>
      <c r="C66">
        <v>2</v>
      </c>
      <c r="D66" t="s">
        <v>1936</v>
      </c>
      <c r="E66" t="s">
        <v>177</v>
      </c>
      <c r="F66" t="s">
        <v>1937</v>
      </c>
      <c r="G66">
        <v>95</v>
      </c>
      <c r="H66">
        <v>1354</v>
      </c>
      <c r="I66">
        <v>0.44999998807907099</v>
      </c>
      <c r="J66" t="s">
        <v>270</v>
      </c>
      <c r="K66" t="s">
        <v>273</v>
      </c>
      <c r="L66" s="67" t="str">
        <f>VLOOKUP($A66,MFMaster!$A$2:$C$300,2,FALSE)</f>
        <v>1-3 stories</v>
      </c>
      <c r="M66" s="67">
        <f>VLOOKUP($A66,MFMaster!$A$2:$CG$232,85,FALSE)</f>
        <v>34.226070404052699</v>
      </c>
      <c r="P66"/>
      <c r="Q66"/>
    </row>
    <row r="67" spans="1:17">
      <c r="A67">
        <v>13039</v>
      </c>
      <c r="B67" t="s">
        <v>1935</v>
      </c>
      <c r="C67">
        <v>1</v>
      </c>
      <c r="D67" t="s">
        <v>1936</v>
      </c>
      <c r="E67" t="s">
        <v>177</v>
      </c>
      <c r="F67" t="s">
        <v>1937</v>
      </c>
      <c r="G67">
        <v>51</v>
      </c>
      <c r="H67">
        <v>7042</v>
      </c>
      <c r="I67">
        <v>0.44999998807907099</v>
      </c>
      <c r="J67" t="s">
        <v>270</v>
      </c>
      <c r="K67" t="s">
        <v>273</v>
      </c>
      <c r="L67" s="67" t="str">
        <f>VLOOKUP($A67,MFMaster!$A$2:$C$300,2,FALSE)</f>
        <v>4-6 stories</v>
      </c>
      <c r="M67" s="67" t="str">
        <f>VLOOKUP($A67,MFMaster!$A$2:$CG$232,85,FALSE)</f>
        <v/>
      </c>
      <c r="P67"/>
      <c r="Q67"/>
    </row>
    <row r="68" spans="1:17">
      <c r="A68">
        <v>13039</v>
      </c>
      <c r="B68" t="s">
        <v>1940</v>
      </c>
      <c r="C68">
        <v>2</v>
      </c>
      <c r="D68" t="s">
        <v>257</v>
      </c>
      <c r="E68" t="s">
        <v>177</v>
      </c>
      <c r="F68" t="s">
        <v>1939</v>
      </c>
      <c r="G68">
        <v>90</v>
      </c>
      <c r="H68">
        <v>626</v>
      </c>
      <c r="I68">
        <v>0.75</v>
      </c>
      <c r="J68" t="s">
        <v>270</v>
      </c>
      <c r="K68" t="s">
        <v>273</v>
      </c>
      <c r="L68" s="67" t="str">
        <f>VLOOKUP($A68,MFMaster!$A$2:$C$300,2,FALSE)</f>
        <v>4-6 stories</v>
      </c>
      <c r="M68" s="67" t="str">
        <f>VLOOKUP($A68,MFMaster!$A$2:$CG$232,85,FALSE)</f>
        <v/>
      </c>
      <c r="P68"/>
      <c r="Q68"/>
    </row>
    <row r="69" spans="1:17">
      <c r="A69">
        <v>13039</v>
      </c>
      <c r="B69" t="s">
        <v>1941</v>
      </c>
      <c r="C69">
        <v>3</v>
      </c>
      <c r="D69" t="s">
        <v>1936</v>
      </c>
      <c r="E69" t="s">
        <v>184</v>
      </c>
      <c r="F69"/>
      <c r="G69">
        <v>100</v>
      </c>
      <c r="H69">
        <v>156</v>
      </c>
      <c r="I69">
        <v>0.94999998807907104</v>
      </c>
      <c r="J69" t="s">
        <v>270</v>
      </c>
      <c r="K69" t="s">
        <v>270</v>
      </c>
      <c r="L69" s="67" t="str">
        <f>VLOOKUP($A69,MFMaster!$A$2:$C$300,2,FALSE)</f>
        <v>4-6 stories</v>
      </c>
      <c r="M69" s="67" t="str">
        <f>VLOOKUP($A69,MFMaster!$A$2:$CG$232,85,FALSE)</f>
        <v/>
      </c>
      <c r="P69"/>
      <c r="Q69"/>
    </row>
    <row r="70" spans="1:17">
      <c r="A70">
        <v>13048</v>
      </c>
      <c r="B70" t="s">
        <v>1935</v>
      </c>
      <c r="C70">
        <v>1</v>
      </c>
      <c r="D70" t="s">
        <v>257</v>
      </c>
      <c r="E70" t="s">
        <v>177</v>
      </c>
      <c r="F70" t="s">
        <v>1937</v>
      </c>
      <c r="G70">
        <v>100</v>
      </c>
      <c r="H70">
        <v>1578</v>
      </c>
      <c r="I70">
        <v>0.80000001192092896</v>
      </c>
      <c r="J70" t="s">
        <v>270</v>
      </c>
      <c r="K70" t="s">
        <v>270</v>
      </c>
      <c r="L70" s="67" t="str">
        <f>VLOOKUP($A70,MFMaster!$A$2:$C$300,2,FALSE)</f>
        <v>1-3 stories</v>
      </c>
      <c r="M70" s="67">
        <f>VLOOKUP($A70,MFMaster!$A$2:$CG$232,85,FALSE)</f>
        <v>266.90576171875</v>
      </c>
      <c r="P70"/>
      <c r="Q70"/>
    </row>
    <row r="71" spans="1:17">
      <c r="A71">
        <v>13048</v>
      </c>
      <c r="B71" t="s">
        <v>1940</v>
      </c>
      <c r="C71">
        <v>2</v>
      </c>
      <c r="D71" t="s">
        <v>1936</v>
      </c>
      <c r="E71" t="s">
        <v>177</v>
      </c>
      <c r="F71" t="s">
        <v>1937</v>
      </c>
      <c r="G71">
        <v>100</v>
      </c>
      <c r="H71">
        <v>240</v>
      </c>
      <c r="I71">
        <v>0.55000001192092896</v>
      </c>
      <c r="J71" t="s">
        <v>270</v>
      </c>
      <c r="K71" t="s">
        <v>270</v>
      </c>
      <c r="L71" s="67" t="str">
        <f>VLOOKUP($A71,MFMaster!$A$2:$C$300,2,FALSE)</f>
        <v>1-3 stories</v>
      </c>
      <c r="M71" s="67">
        <f>VLOOKUP($A71,MFMaster!$A$2:$CG$232,85,FALSE)</f>
        <v>266.90576171875</v>
      </c>
      <c r="P71"/>
      <c r="Q71"/>
    </row>
    <row r="72" spans="1:17">
      <c r="A72">
        <v>13054</v>
      </c>
      <c r="B72" t="s">
        <v>1938</v>
      </c>
      <c r="C72">
        <v>1</v>
      </c>
      <c r="D72" t="s">
        <v>1936</v>
      </c>
      <c r="E72" t="s">
        <v>177</v>
      </c>
      <c r="F72" t="s">
        <v>1937</v>
      </c>
      <c r="G72">
        <v>100</v>
      </c>
      <c r="H72">
        <v>670</v>
      </c>
      <c r="I72">
        <v>0.44999998807907099</v>
      </c>
      <c r="J72" t="s">
        <v>270</v>
      </c>
      <c r="K72" t="s">
        <v>273</v>
      </c>
      <c r="L72" s="67" t="str">
        <f>VLOOKUP($A72,MFMaster!$A$2:$C$300,2,FALSE)</f>
        <v>1-3 stories</v>
      </c>
      <c r="M72" s="67">
        <f>VLOOKUP($A72,MFMaster!$A$2:$CG$232,85,FALSE)</f>
        <v>149.47552490234401</v>
      </c>
      <c r="P72"/>
      <c r="Q72"/>
    </row>
    <row r="73" spans="1:17">
      <c r="A73">
        <v>13054</v>
      </c>
      <c r="B73" t="s">
        <v>1935</v>
      </c>
      <c r="C73">
        <v>2</v>
      </c>
      <c r="D73" t="s">
        <v>1936</v>
      </c>
      <c r="E73" t="s">
        <v>177</v>
      </c>
      <c r="F73" t="s">
        <v>1939</v>
      </c>
      <c r="G73">
        <v>37</v>
      </c>
      <c r="H73">
        <v>384</v>
      </c>
      <c r="I73">
        <v>0.55000001192092896</v>
      </c>
      <c r="J73" t="s">
        <v>270</v>
      </c>
      <c r="K73" t="s">
        <v>273</v>
      </c>
      <c r="L73" s="67" t="str">
        <f>VLOOKUP($A73,MFMaster!$A$2:$C$300,2,FALSE)</f>
        <v>1-3 stories</v>
      </c>
      <c r="M73" s="67">
        <f>VLOOKUP($A73,MFMaster!$A$2:$CG$232,85,FALSE)</f>
        <v>149.47552490234401</v>
      </c>
      <c r="P73"/>
      <c r="Q73"/>
    </row>
    <row r="74" spans="1:17">
      <c r="A74">
        <v>13062</v>
      </c>
      <c r="B74" t="s">
        <v>1935</v>
      </c>
      <c r="C74">
        <v>1</v>
      </c>
      <c r="D74" t="s">
        <v>257</v>
      </c>
      <c r="E74" t="s">
        <v>177</v>
      </c>
      <c r="F74" t="s">
        <v>1937</v>
      </c>
      <c r="G74">
        <v>100</v>
      </c>
      <c r="H74">
        <v>1448</v>
      </c>
      <c r="I74">
        <v>0.80000001192092896</v>
      </c>
      <c r="J74" t="s">
        <v>270</v>
      </c>
      <c r="K74" t="s">
        <v>270</v>
      </c>
      <c r="L74" s="67" t="str">
        <f>VLOOKUP($A74,MFMaster!$A$2:$C$300,2,FALSE)</f>
        <v>1-3 stories</v>
      </c>
      <c r="M74" s="67">
        <f>VLOOKUP($A74,MFMaster!$A$2:$CG$232,85,FALSE)</f>
        <v>400.358642578125</v>
      </c>
      <c r="P74"/>
      <c r="Q74"/>
    </row>
    <row r="75" spans="1:17">
      <c r="A75">
        <v>13126</v>
      </c>
      <c r="B75" t="s">
        <v>1935</v>
      </c>
      <c r="C75">
        <v>1</v>
      </c>
      <c r="D75" t="s">
        <v>257</v>
      </c>
      <c r="E75" t="s">
        <v>184</v>
      </c>
      <c r="F75"/>
      <c r="G75">
        <v>80</v>
      </c>
      <c r="H75">
        <v>9930</v>
      </c>
      <c r="I75">
        <v>1.1000000238418599</v>
      </c>
      <c r="J75" t="s">
        <v>270</v>
      </c>
      <c r="K75" t="s">
        <v>270</v>
      </c>
      <c r="L75" s="67" t="str">
        <f>VLOOKUP($A75,MFMaster!$A$2:$C$300,2,FALSE)</f>
        <v>7+ stories</v>
      </c>
      <c r="M75" s="67" t="str">
        <f>VLOOKUP($A75,MFMaster!$A$2:$CG$232,85,FALSE)</f>
        <v/>
      </c>
      <c r="P75"/>
      <c r="Q75"/>
    </row>
    <row r="76" spans="1:17">
      <c r="A76">
        <v>13126</v>
      </c>
      <c r="B76" t="s">
        <v>1940</v>
      </c>
      <c r="C76">
        <v>2</v>
      </c>
      <c r="D76" t="s">
        <v>1936</v>
      </c>
      <c r="E76" t="s">
        <v>177</v>
      </c>
      <c r="F76" t="s">
        <v>1937</v>
      </c>
      <c r="G76">
        <v>0</v>
      </c>
      <c r="H76">
        <v>135</v>
      </c>
      <c r="I76">
        <v>0.44999998807907099</v>
      </c>
      <c r="J76" t="s">
        <v>270</v>
      </c>
      <c r="K76" t="s">
        <v>273</v>
      </c>
      <c r="L76" s="67" t="str">
        <f>VLOOKUP($A76,MFMaster!$A$2:$C$300,2,FALSE)</f>
        <v>7+ stories</v>
      </c>
      <c r="M76" s="67" t="str">
        <f>VLOOKUP($A76,MFMaster!$A$2:$CG$232,85,FALSE)</f>
        <v/>
      </c>
      <c r="P76"/>
      <c r="Q76"/>
    </row>
    <row r="77" spans="1:17">
      <c r="A77">
        <v>13202</v>
      </c>
      <c r="B77" t="s">
        <v>1938</v>
      </c>
      <c r="C77">
        <v>1</v>
      </c>
      <c r="D77" t="s">
        <v>1936</v>
      </c>
      <c r="E77" t="s">
        <v>177</v>
      </c>
      <c r="F77" t="s">
        <v>1939</v>
      </c>
      <c r="G77">
        <v>100</v>
      </c>
      <c r="H77">
        <v>1116</v>
      </c>
      <c r="I77">
        <v>0.60000002384185802</v>
      </c>
      <c r="J77" t="s">
        <v>270</v>
      </c>
      <c r="K77" t="s">
        <v>270</v>
      </c>
      <c r="L77" s="67" t="str">
        <f>VLOOKUP($A77,MFMaster!$A$2:$C$300,2,FALSE)</f>
        <v>1-3 stories</v>
      </c>
      <c r="M77" s="67">
        <f>VLOOKUP($A77,MFMaster!$A$2:$CG$232,85,FALSE)</f>
        <v>480.43035888671898</v>
      </c>
      <c r="P77"/>
      <c r="Q77"/>
    </row>
    <row r="78" spans="1:17">
      <c r="A78">
        <v>13218</v>
      </c>
      <c r="B78" t="s">
        <v>1938</v>
      </c>
      <c r="C78">
        <v>1</v>
      </c>
      <c r="D78" t="s">
        <v>257</v>
      </c>
      <c r="E78" t="s">
        <v>177</v>
      </c>
      <c r="F78" t="s">
        <v>1939</v>
      </c>
      <c r="G78">
        <v>100</v>
      </c>
      <c r="H78">
        <v>1261</v>
      </c>
      <c r="I78">
        <v>0.85000002384185802</v>
      </c>
      <c r="J78" t="s">
        <v>270</v>
      </c>
      <c r="K78" t="s">
        <v>270</v>
      </c>
      <c r="L78" s="67" t="str">
        <f>VLOOKUP($A78,MFMaster!$A$2:$C$300,2,FALSE)</f>
        <v>1-3 stories</v>
      </c>
      <c r="M78" s="67">
        <f>VLOOKUP($A78,MFMaster!$A$2:$CG$232,85,FALSE)</f>
        <v>128.79620361328099</v>
      </c>
      <c r="P78"/>
      <c r="Q78"/>
    </row>
    <row r="79" spans="1:17">
      <c r="A79">
        <v>13268</v>
      </c>
      <c r="B79" t="s">
        <v>1935</v>
      </c>
      <c r="C79">
        <v>1</v>
      </c>
      <c r="D79" t="s">
        <v>1936</v>
      </c>
      <c r="E79" t="s">
        <v>177</v>
      </c>
      <c r="F79" t="s">
        <v>1937</v>
      </c>
      <c r="G79">
        <v>100</v>
      </c>
      <c r="H79">
        <v>1176</v>
      </c>
      <c r="I79">
        <v>0.44999998807907099</v>
      </c>
      <c r="J79" t="s">
        <v>270</v>
      </c>
      <c r="K79" t="s">
        <v>273</v>
      </c>
      <c r="L79" s="67" t="str">
        <f>VLOOKUP($A79,MFMaster!$A$2:$C$300,2,FALSE)</f>
        <v>1-3 stories</v>
      </c>
      <c r="M79" s="67">
        <f>VLOOKUP($A79,MFMaster!$A$2:$CG$232,85,FALSE)</f>
        <v>171.72825622558599</v>
      </c>
      <c r="P79"/>
      <c r="Q79"/>
    </row>
    <row r="80" spans="1:17">
      <c r="A80">
        <v>13321</v>
      </c>
      <c r="B80" t="s">
        <v>1938</v>
      </c>
      <c r="C80">
        <v>1</v>
      </c>
      <c r="D80" t="s">
        <v>1936</v>
      </c>
      <c r="E80" t="s">
        <v>177</v>
      </c>
      <c r="F80" t="s">
        <v>1937</v>
      </c>
      <c r="G80">
        <v>100</v>
      </c>
      <c r="H80">
        <v>870</v>
      </c>
      <c r="I80">
        <v>0.55000001192092896</v>
      </c>
      <c r="J80" t="s">
        <v>270</v>
      </c>
      <c r="K80" t="s">
        <v>270</v>
      </c>
      <c r="L80" s="67" t="str">
        <f>VLOOKUP($A80,MFMaster!$A$2:$C$300,2,FALSE)</f>
        <v>1-3 stories</v>
      </c>
      <c r="M80" s="67">
        <f>VLOOKUP($A80,MFMaster!$A$2:$CG$232,85,FALSE)</f>
        <v>266.90576171875</v>
      </c>
      <c r="P80"/>
      <c r="Q80"/>
    </row>
    <row r="81" spans="1:17">
      <c r="A81">
        <v>13321</v>
      </c>
      <c r="B81" t="s">
        <v>1935</v>
      </c>
      <c r="C81">
        <v>2</v>
      </c>
      <c r="D81" t="s">
        <v>1936</v>
      </c>
      <c r="E81" t="s">
        <v>177</v>
      </c>
      <c r="F81" t="s">
        <v>1937</v>
      </c>
      <c r="G81">
        <v>100</v>
      </c>
      <c r="H81">
        <v>585</v>
      </c>
      <c r="I81">
        <v>0.44999998807907099</v>
      </c>
      <c r="J81" t="s">
        <v>270</v>
      </c>
      <c r="K81" t="s">
        <v>273</v>
      </c>
      <c r="L81" s="67" t="str">
        <f>VLOOKUP($A81,MFMaster!$A$2:$C$300,2,FALSE)</f>
        <v>1-3 stories</v>
      </c>
      <c r="M81" s="67">
        <f>VLOOKUP($A81,MFMaster!$A$2:$CG$232,85,FALSE)</f>
        <v>266.90576171875</v>
      </c>
      <c r="P81"/>
      <c r="Q81"/>
    </row>
    <row r="82" spans="1:17">
      <c r="A82">
        <v>13321</v>
      </c>
      <c r="B82" t="s">
        <v>1940</v>
      </c>
      <c r="C82">
        <v>3</v>
      </c>
      <c r="D82" t="s">
        <v>1936</v>
      </c>
      <c r="E82" t="s">
        <v>184</v>
      </c>
      <c r="F82"/>
      <c r="G82">
        <v>0</v>
      </c>
      <c r="H82">
        <v>81</v>
      </c>
      <c r="I82">
        <v>0.94999998807907104</v>
      </c>
      <c r="J82" t="s">
        <v>270</v>
      </c>
      <c r="K82" t="s">
        <v>270</v>
      </c>
      <c r="L82" s="67" t="str">
        <f>VLOOKUP($A82,MFMaster!$A$2:$C$300,2,FALSE)</f>
        <v>1-3 stories</v>
      </c>
      <c r="M82" s="67">
        <f>VLOOKUP($A82,MFMaster!$A$2:$CG$232,85,FALSE)</f>
        <v>266.90576171875</v>
      </c>
      <c r="P82"/>
      <c r="Q82"/>
    </row>
    <row r="83" spans="1:17">
      <c r="A83">
        <v>13360</v>
      </c>
      <c r="B83" t="s">
        <v>1938</v>
      </c>
      <c r="C83">
        <v>1</v>
      </c>
      <c r="D83" t="s">
        <v>257</v>
      </c>
      <c r="E83" t="s">
        <v>184</v>
      </c>
      <c r="F83"/>
      <c r="G83">
        <v>100</v>
      </c>
      <c r="H83">
        <v>800</v>
      </c>
      <c r="I83">
        <v>1.1000000238418599</v>
      </c>
      <c r="J83" t="s">
        <v>270</v>
      </c>
      <c r="K83" t="s">
        <v>270</v>
      </c>
      <c r="L83" s="67" t="str">
        <f>VLOOKUP($A83,MFMaster!$A$2:$C$300,2,FALSE)</f>
        <v>1-3 stories</v>
      </c>
      <c r="M83" s="67">
        <f>VLOOKUP($A83,MFMaster!$A$2:$CG$232,85,FALSE)</f>
        <v>343.16452026367199</v>
      </c>
      <c r="P83"/>
      <c r="Q83"/>
    </row>
    <row r="84" spans="1:17">
      <c r="A84">
        <v>13384</v>
      </c>
      <c r="B84" t="s">
        <v>1938</v>
      </c>
      <c r="C84">
        <v>1</v>
      </c>
      <c r="D84" t="s">
        <v>257</v>
      </c>
      <c r="E84" t="s">
        <v>177</v>
      </c>
      <c r="F84" t="s">
        <v>1937</v>
      </c>
      <c r="G84">
        <v>100</v>
      </c>
      <c r="H84">
        <v>615</v>
      </c>
      <c r="I84">
        <v>0.80000001192092896</v>
      </c>
      <c r="J84" t="s">
        <v>270</v>
      </c>
      <c r="K84" t="s">
        <v>270</v>
      </c>
      <c r="L84" s="67" t="str">
        <f>VLOOKUP($A84,MFMaster!$A$2:$C$300,2,FALSE)</f>
        <v>1-3 stories</v>
      </c>
      <c r="M84" s="67">
        <f>VLOOKUP($A84,MFMaster!$A$2:$CG$232,85,FALSE)</f>
        <v>343.45651245117199</v>
      </c>
      <c r="P84"/>
      <c r="Q84"/>
    </row>
    <row r="85" spans="1:17">
      <c r="A85">
        <v>13384</v>
      </c>
      <c r="B85" t="s">
        <v>1935</v>
      </c>
      <c r="C85">
        <v>2</v>
      </c>
      <c r="D85"/>
      <c r="E85"/>
      <c r="F85"/>
      <c r="G85">
        <v>100</v>
      </c>
      <c r="H85">
        <v>53</v>
      </c>
      <c r="I85"/>
      <c r="J85"/>
      <c r="K85"/>
      <c r="L85" s="67" t="str">
        <f>VLOOKUP($A85,MFMaster!$A$2:$C$300,2,FALSE)</f>
        <v>1-3 stories</v>
      </c>
      <c r="M85" s="67">
        <f>VLOOKUP($A85,MFMaster!$A$2:$CG$232,85,FALSE)</f>
        <v>343.45651245117199</v>
      </c>
      <c r="P85"/>
      <c r="Q85"/>
    </row>
    <row r="86" spans="1:17">
      <c r="A86">
        <v>13384</v>
      </c>
      <c r="B86" t="s">
        <v>1940</v>
      </c>
      <c r="C86">
        <v>3</v>
      </c>
      <c r="D86" t="s">
        <v>257</v>
      </c>
      <c r="E86" t="s">
        <v>184</v>
      </c>
      <c r="F86"/>
      <c r="G86">
        <v>0</v>
      </c>
      <c r="H86">
        <v>16</v>
      </c>
      <c r="I86">
        <v>1.1000000238418599</v>
      </c>
      <c r="J86" t="s">
        <v>270</v>
      </c>
      <c r="K86" t="s">
        <v>270</v>
      </c>
      <c r="L86" s="67" t="str">
        <f>VLOOKUP($A86,MFMaster!$A$2:$C$300,2,FALSE)</f>
        <v>1-3 stories</v>
      </c>
      <c r="M86" s="67">
        <f>VLOOKUP($A86,MFMaster!$A$2:$CG$232,85,FALSE)</f>
        <v>343.45651245117199</v>
      </c>
      <c r="P86"/>
      <c r="Q86"/>
    </row>
    <row r="87" spans="1:17">
      <c r="A87">
        <v>13520</v>
      </c>
      <c r="B87" t="s">
        <v>1935</v>
      </c>
      <c r="C87">
        <v>1</v>
      </c>
      <c r="D87" t="s">
        <v>257</v>
      </c>
      <c r="E87" t="s">
        <v>177</v>
      </c>
      <c r="F87" t="s">
        <v>1937</v>
      </c>
      <c r="G87">
        <v>100</v>
      </c>
      <c r="H87">
        <v>2134</v>
      </c>
      <c r="I87">
        <v>0.80000001192092896</v>
      </c>
      <c r="J87" t="s">
        <v>270</v>
      </c>
      <c r="K87" t="s">
        <v>270</v>
      </c>
      <c r="L87" s="67" t="str">
        <f>VLOOKUP($A87,MFMaster!$A$2:$C$300,2,FALSE)</f>
        <v>1-3 stories</v>
      </c>
      <c r="M87" s="67">
        <f>VLOOKUP($A87,MFMaster!$A$2:$CG$232,85,FALSE)</f>
        <v>114.48550415039099</v>
      </c>
      <c r="P87"/>
      <c r="Q87"/>
    </row>
    <row r="88" spans="1:17">
      <c r="A88">
        <v>13628</v>
      </c>
      <c r="B88" t="s">
        <v>1938</v>
      </c>
      <c r="C88">
        <v>1</v>
      </c>
      <c r="D88" t="s">
        <v>257</v>
      </c>
      <c r="E88" t="s">
        <v>177</v>
      </c>
      <c r="F88" t="s">
        <v>1939</v>
      </c>
      <c r="G88">
        <v>100</v>
      </c>
      <c r="H88">
        <v>419</v>
      </c>
      <c r="I88">
        <v>0.85000002384185802</v>
      </c>
      <c r="J88" t="s">
        <v>270</v>
      </c>
      <c r="K88" t="s">
        <v>270</v>
      </c>
      <c r="L88" s="67" t="str">
        <f>VLOOKUP($A88,MFMaster!$A$2:$C$300,2,FALSE)</f>
        <v>1-3 stories</v>
      </c>
      <c r="M88" s="67">
        <f>VLOOKUP($A88,MFMaster!$A$2:$CG$232,85,FALSE)</f>
        <v>343.45651245117199</v>
      </c>
      <c r="P88"/>
      <c r="Q88"/>
    </row>
    <row r="89" spans="1:17">
      <c r="A89">
        <v>13694</v>
      </c>
      <c r="B89" t="s">
        <v>1935</v>
      </c>
      <c r="C89">
        <v>1</v>
      </c>
      <c r="D89" t="s">
        <v>1936</v>
      </c>
      <c r="E89" t="s">
        <v>177</v>
      </c>
      <c r="F89" t="s">
        <v>1939</v>
      </c>
      <c r="G89">
        <v>100</v>
      </c>
      <c r="H89">
        <v>1626</v>
      </c>
      <c r="I89">
        <v>0.60000002384185802</v>
      </c>
      <c r="J89" t="s">
        <v>270</v>
      </c>
      <c r="K89" t="s">
        <v>270</v>
      </c>
      <c r="L89" s="67" t="str">
        <f>VLOOKUP($A89,MFMaster!$A$2:$C$300,2,FALSE)</f>
        <v>1-3 stories</v>
      </c>
      <c r="M89" s="67">
        <f>VLOOKUP($A89,MFMaster!$A$2:$CG$232,85,FALSE)</f>
        <v>266.90576171875</v>
      </c>
      <c r="P89"/>
      <c r="Q89"/>
    </row>
    <row r="90" spans="1:17">
      <c r="A90">
        <v>13712</v>
      </c>
      <c r="B90" t="s">
        <v>1938</v>
      </c>
      <c r="C90">
        <v>1</v>
      </c>
      <c r="D90" t="s">
        <v>1936</v>
      </c>
      <c r="E90" t="s">
        <v>177</v>
      </c>
      <c r="F90" t="s">
        <v>1937</v>
      </c>
      <c r="G90">
        <v>100</v>
      </c>
      <c r="H90">
        <v>604</v>
      </c>
      <c r="I90">
        <v>0.44999998807907099</v>
      </c>
      <c r="J90" t="s">
        <v>270</v>
      </c>
      <c r="K90" t="s">
        <v>273</v>
      </c>
      <c r="L90" s="67" t="str">
        <f>VLOOKUP($A90,MFMaster!$A$2:$C$300,2,FALSE)</f>
        <v>1-3 stories</v>
      </c>
      <c r="M90" s="67">
        <f>VLOOKUP($A90,MFMaster!$A$2:$CG$232,85,FALSE)</f>
        <v>136.90428161621099</v>
      </c>
      <c r="P90"/>
      <c r="Q90"/>
    </row>
    <row r="91" spans="1:17">
      <c r="A91">
        <v>13861</v>
      </c>
      <c r="B91" t="s">
        <v>1935</v>
      </c>
      <c r="C91">
        <v>1</v>
      </c>
      <c r="D91" t="s">
        <v>1936</v>
      </c>
      <c r="E91" t="s">
        <v>177</v>
      </c>
      <c r="F91" t="s">
        <v>1939</v>
      </c>
      <c r="G91">
        <v>99</v>
      </c>
      <c r="H91">
        <v>3953</v>
      </c>
      <c r="I91">
        <v>0.55000001192092896</v>
      </c>
      <c r="J91" t="s">
        <v>270</v>
      </c>
      <c r="K91" t="s">
        <v>273</v>
      </c>
      <c r="L91" s="67" t="str">
        <f>VLOOKUP($A91,MFMaster!$A$2:$C$300,2,FALSE)</f>
        <v>1-3 stories</v>
      </c>
      <c r="M91" s="67">
        <f>VLOOKUP($A91,MFMaster!$A$2:$CG$232,85,FALSE)</f>
        <v>18.253904342651399</v>
      </c>
      <c r="P91"/>
      <c r="Q91"/>
    </row>
    <row r="92" spans="1:17">
      <c r="A92">
        <v>13899</v>
      </c>
      <c r="B92" t="s">
        <v>1940</v>
      </c>
      <c r="C92">
        <v>1</v>
      </c>
      <c r="D92" t="s">
        <v>257</v>
      </c>
      <c r="E92" t="s">
        <v>177</v>
      </c>
      <c r="F92" t="s">
        <v>1937</v>
      </c>
      <c r="G92">
        <v>100</v>
      </c>
      <c r="H92">
        <v>1528</v>
      </c>
      <c r="I92">
        <v>0.80000001192092896</v>
      </c>
      <c r="J92" t="s">
        <v>270</v>
      </c>
      <c r="K92" t="s">
        <v>270</v>
      </c>
      <c r="L92" s="67" t="str">
        <f>VLOOKUP($A92,MFMaster!$A$2:$C$300,2,FALSE)</f>
        <v>1-3 stories</v>
      </c>
      <c r="M92" s="67">
        <f>VLOOKUP($A92,MFMaster!$A$2:$CG$232,85,FALSE)</f>
        <v>42.124393463134801</v>
      </c>
      <c r="P92"/>
      <c r="Q92"/>
    </row>
    <row r="93" spans="1:17">
      <c r="A93">
        <v>13988</v>
      </c>
      <c r="B93" t="s">
        <v>1938</v>
      </c>
      <c r="C93">
        <v>1</v>
      </c>
      <c r="D93" t="s">
        <v>257</v>
      </c>
      <c r="E93" t="s">
        <v>184</v>
      </c>
      <c r="F93"/>
      <c r="G93">
        <v>100</v>
      </c>
      <c r="H93">
        <v>754</v>
      </c>
      <c r="I93">
        <v>1.1000000238418599</v>
      </c>
      <c r="J93" t="s">
        <v>270</v>
      </c>
      <c r="K93" t="s">
        <v>270</v>
      </c>
      <c r="L93" s="67" t="str">
        <f>VLOOKUP($A93,MFMaster!$A$2:$C$300,2,FALSE)</f>
        <v>1-3 stories</v>
      </c>
      <c r="M93" s="67">
        <f>VLOOKUP($A93,MFMaster!$A$2:$CG$232,85,FALSE)</f>
        <v>114.48550415039099</v>
      </c>
      <c r="P93"/>
      <c r="Q93"/>
    </row>
    <row r="94" spans="1:17">
      <c r="A94">
        <v>13988</v>
      </c>
      <c r="B94" t="s">
        <v>1935</v>
      </c>
      <c r="C94">
        <v>2</v>
      </c>
      <c r="D94" t="s">
        <v>1936</v>
      </c>
      <c r="E94" t="s">
        <v>177</v>
      </c>
      <c r="F94" t="s">
        <v>1939</v>
      </c>
      <c r="G94">
        <v>100</v>
      </c>
      <c r="H94">
        <v>56</v>
      </c>
      <c r="I94">
        <v>0.60000002384185802</v>
      </c>
      <c r="J94" t="s">
        <v>270</v>
      </c>
      <c r="K94" t="s">
        <v>270</v>
      </c>
      <c r="L94" s="67" t="str">
        <f>VLOOKUP($A94,MFMaster!$A$2:$C$300,2,FALSE)</f>
        <v>1-3 stories</v>
      </c>
      <c r="M94" s="67">
        <f>VLOOKUP($A94,MFMaster!$A$2:$CG$232,85,FALSE)</f>
        <v>114.48550415039099</v>
      </c>
      <c r="P94"/>
      <c r="Q94"/>
    </row>
    <row r="95" spans="1:17">
      <c r="A95">
        <v>13988</v>
      </c>
      <c r="B95" t="s">
        <v>1940</v>
      </c>
      <c r="C95">
        <v>3</v>
      </c>
      <c r="D95" t="s">
        <v>257</v>
      </c>
      <c r="E95" t="s">
        <v>177</v>
      </c>
      <c r="F95" t="s">
        <v>1939</v>
      </c>
      <c r="G95">
        <v>8</v>
      </c>
      <c r="H95">
        <v>56</v>
      </c>
      <c r="I95">
        <v>0.85000002384185802</v>
      </c>
      <c r="J95" t="s">
        <v>270</v>
      </c>
      <c r="K95" t="s">
        <v>270</v>
      </c>
      <c r="L95" s="67" t="str">
        <f>VLOOKUP($A95,MFMaster!$A$2:$C$300,2,FALSE)</f>
        <v>1-3 stories</v>
      </c>
      <c r="M95" s="67">
        <f>VLOOKUP($A95,MFMaster!$A$2:$CG$232,85,FALSE)</f>
        <v>114.48550415039099</v>
      </c>
      <c r="P95"/>
      <c r="Q95"/>
    </row>
    <row r="96" spans="1:17">
      <c r="A96">
        <v>14014</v>
      </c>
      <c r="B96" t="s">
        <v>1938</v>
      </c>
      <c r="C96">
        <v>1</v>
      </c>
      <c r="D96" t="s">
        <v>1936</v>
      </c>
      <c r="E96" t="s">
        <v>177</v>
      </c>
      <c r="F96" t="s">
        <v>1937</v>
      </c>
      <c r="G96">
        <v>100</v>
      </c>
      <c r="H96">
        <v>1602</v>
      </c>
      <c r="I96">
        <v>0.44999998807907099</v>
      </c>
      <c r="J96" t="s">
        <v>270</v>
      </c>
      <c r="K96" t="s">
        <v>273</v>
      </c>
      <c r="L96" s="67" t="str">
        <f>VLOOKUP($A96,MFMaster!$A$2:$C$300,2,FALSE)</f>
        <v>1-3 stories</v>
      </c>
      <c r="M96" s="67">
        <f>VLOOKUP($A96,MFMaster!$A$2:$CG$232,85,FALSE)</f>
        <v>85.864128112792997</v>
      </c>
      <c r="P96"/>
      <c r="Q96"/>
    </row>
    <row r="97" spans="1:17">
      <c r="A97">
        <v>14020</v>
      </c>
      <c r="B97" t="s">
        <v>1935</v>
      </c>
      <c r="C97">
        <v>1</v>
      </c>
      <c r="D97" t="s">
        <v>257</v>
      </c>
      <c r="E97" t="s">
        <v>177</v>
      </c>
      <c r="F97" t="s">
        <v>1937</v>
      </c>
      <c r="G97">
        <v>97</v>
      </c>
      <c r="H97">
        <v>1156</v>
      </c>
      <c r="I97">
        <v>0.80000001192092896</v>
      </c>
      <c r="J97" t="s">
        <v>270</v>
      </c>
      <c r="K97" t="s">
        <v>270</v>
      </c>
      <c r="L97" s="67" t="str">
        <f>VLOOKUP($A97,MFMaster!$A$2:$C$300,2,FALSE)</f>
        <v>1-3 stories</v>
      </c>
      <c r="M97" s="67">
        <f>VLOOKUP($A97,MFMaster!$A$2:$CG$232,85,FALSE)</f>
        <v>171.72825622558599</v>
      </c>
      <c r="P97"/>
      <c r="Q97"/>
    </row>
    <row r="98" spans="1:17">
      <c r="A98">
        <v>14059</v>
      </c>
      <c r="B98" t="s">
        <v>1935</v>
      </c>
      <c r="C98">
        <v>1</v>
      </c>
      <c r="D98" t="s">
        <v>1936</v>
      </c>
      <c r="E98" t="s">
        <v>177</v>
      </c>
      <c r="F98" t="s">
        <v>1939</v>
      </c>
      <c r="G98">
        <v>100</v>
      </c>
      <c r="H98">
        <v>3022</v>
      </c>
      <c r="I98">
        <v>0.55000001192092896</v>
      </c>
      <c r="J98" t="s">
        <v>270</v>
      </c>
      <c r="K98" t="s">
        <v>273</v>
      </c>
      <c r="L98" s="67" t="str">
        <f>VLOOKUP($A98,MFMaster!$A$2:$C$300,2,FALSE)</f>
        <v>4-6 stories</v>
      </c>
      <c r="M98" s="67" t="str">
        <f>VLOOKUP($A98,MFMaster!$A$2:$CG$232,85,FALSE)</f>
        <v/>
      </c>
      <c r="P98"/>
      <c r="Q98"/>
    </row>
    <row r="99" spans="1:17">
      <c r="A99">
        <v>14059</v>
      </c>
      <c r="B99" t="s">
        <v>1940</v>
      </c>
      <c r="C99">
        <v>2</v>
      </c>
      <c r="D99" t="s">
        <v>257</v>
      </c>
      <c r="E99" t="s">
        <v>177</v>
      </c>
      <c r="F99" t="s">
        <v>1937</v>
      </c>
      <c r="G99">
        <v>0</v>
      </c>
      <c r="H99">
        <v>224</v>
      </c>
      <c r="I99">
        <v>0.75</v>
      </c>
      <c r="J99" t="s">
        <v>270</v>
      </c>
      <c r="K99" t="s">
        <v>273</v>
      </c>
      <c r="L99" s="67" t="str">
        <f>VLOOKUP($A99,MFMaster!$A$2:$C$300,2,FALSE)</f>
        <v>4-6 stories</v>
      </c>
      <c r="M99" s="67" t="str">
        <f>VLOOKUP($A99,MFMaster!$A$2:$CG$232,85,FALSE)</f>
        <v/>
      </c>
      <c r="P99"/>
      <c r="Q99"/>
    </row>
    <row r="100" spans="1:17">
      <c r="A100">
        <v>14059</v>
      </c>
      <c r="B100" t="s">
        <v>1941</v>
      </c>
      <c r="C100">
        <v>3</v>
      </c>
      <c r="D100" t="s">
        <v>1936</v>
      </c>
      <c r="E100" t="s">
        <v>177</v>
      </c>
      <c r="F100" t="s">
        <v>1939</v>
      </c>
      <c r="G100">
        <v>100</v>
      </c>
      <c r="H100">
        <v>20</v>
      </c>
      <c r="I100">
        <v>0.55000001192092896</v>
      </c>
      <c r="J100" t="s">
        <v>270</v>
      </c>
      <c r="K100" t="s">
        <v>273</v>
      </c>
      <c r="L100" s="67" t="str">
        <f>VLOOKUP($A100,MFMaster!$A$2:$C$300,2,FALSE)</f>
        <v>4-6 stories</v>
      </c>
      <c r="M100" s="67" t="str">
        <f>VLOOKUP($A100,MFMaster!$A$2:$CG$232,85,FALSE)</f>
        <v/>
      </c>
      <c r="P100"/>
      <c r="Q100"/>
    </row>
    <row r="101" spans="1:17">
      <c r="A101">
        <v>14163</v>
      </c>
      <c r="B101" t="s">
        <v>1938</v>
      </c>
      <c r="C101">
        <v>1</v>
      </c>
      <c r="D101" t="s">
        <v>257</v>
      </c>
      <c r="E101" t="s">
        <v>184</v>
      </c>
      <c r="F101"/>
      <c r="G101">
        <v>100</v>
      </c>
      <c r="H101">
        <v>5665</v>
      </c>
      <c r="I101">
        <v>1.1000000238418599</v>
      </c>
      <c r="J101" t="s">
        <v>270</v>
      </c>
      <c r="K101" t="s">
        <v>270</v>
      </c>
      <c r="L101" s="67" t="str">
        <f>VLOOKUP($A101,MFMaster!$A$2:$C$300,2,FALSE)</f>
        <v>4-6 stories</v>
      </c>
      <c r="M101" s="67" t="str">
        <f>VLOOKUP($A101,MFMaster!$A$2:$CG$232,85,FALSE)</f>
        <v/>
      </c>
      <c r="P101"/>
      <c r="Q101"/>
    </row>
    <row r="102" spans="1:17">
      <c r="A102">
        <v>14163</v>
      </c>
      <c r="B102" t="s">
        <v>1935</v>
      </c>
      <c r="C102">
        <v>2</v>
      </c>
      <c r="D102" t="s">
        <v>1936</v>
      </c>
      <c r="E102" t="s">
        <v>177</v>
      </c>
      <c r="F102" t="s">
        <v>1937</v>
      </c>
      <c r="G102">
        <v>4</v>
      </c>
      <c r="H102">
        <v>216</v>
      </c>
      <c r="I102">
        <v>0.55000001192092896</v>
      </c>
      <c r="J102" t="s">
        <v>270</v>
      </c>
      <c r="K102" t="s">
        <v>270</v>
      </c>
      <c r="L102" s="67" t="str">
        <f>VLOOKUP($A102,MFMaster!$A$2:$C$300,2,FALSE)</f>
        <v>4-6 stories</v>
      </c>
      <c r="M102" s="67" t="str">
        <f>VLOOKUP($A102,MFMaster!$A$2:$CG$232,85,FALSE)</f>
        <v/>
      </c>
      <c r="P102"/>
      <c r="Q102"/>
    </row>
    <row r="103" spans="1:17">
      <c r="A103">
        <v>14240</v>
      </c>
      <c r="B103" t="s">
        <v>1938</v>
      </c>
      <c r="C103">
        <v>1</v>
      </c>
      <c r="D103" t="s">
        <v>1936</v>
      </c>
      <c r="E103" t="s">
        <v>177</v>
      </c>
      <c r="F103" t="s">
        <v>1937</v>
      </c>
      <c r="G103">
        <v>86</v>
      </c>
      <c r="H103">
        <v>769</v>
      </c>
      <c r="I103">
        <v>0.44999998807907099</v>
      </c>
      <c r="J103" t="s">
        <v>270</v>
      </c>
      <c r="K103" t="s">
        <v>273</v>
      </c>
      <c r="L103" s="67" t="str">
        <f>VLOOKUP($A103,MFMaster!$A$2:$C$300,2,FALSE)</f>
        <v>1-3 stories</v>
      </c>
      <c r="M103" s="67" t="str">
        <f>VLOOKUP($A103,MFMaster!$A$2:$CG$232,85,FALSE)</f>
        <v/>
      </c>
      <c r="P103"/>
      <c r="Q103"/>
    </row>
    <row r="104" spans="1:17">
      <c r="A104">
        <v>14258</v>
      </c>
      <c r="B104" t="s">
        <v>1938</v>
      </c>
      <c r="C104">
        <v>1</v>
      </c>
      <c r="D104" t="s">
        <v>1936</v>
      </c>
      <c r="E104" t="s">
        <v>177</v>
      </c>
      <c r="F104" t="s">
        <v>1939</v>
      </c>
      <c r="G104">
        <v>100</v>
      </c>
      <c r="H104">
        <v>1439</v>
      </c>
      <c r="I104">
        <v>0.55000001192092896</v>
      </c>
      <c r="J104" t="s">
        <v>270</v>
      </c>
      <c r="K104" t="s">
        <v>273</v>
      </c>
      <c r="L104" s="67" t="str">
        <f>VLOOKUP($A104,MFMaster!$A$2:$C$300,2,FALSE)</f>
        <v>1-3 stories</v>
      </c>
      <c r="M104" s="67">
        <f>VLOOKUP($A104,MFMaster!$A$2:$CG$232,85,FALSE)</f>
        <v>436.75485229492199</v>
      </c>
      <c r="P104"/>
      <c r="Q104"/>
    </row>
    <row r="105" spans="1:17">
      <c r="A105">
        <v>14259</v>
      </c>
      <c r="B105" t="s">
        <v>1935</v>
      </c>
      <c r="C105">
        <v>1</v>
      </c>
      <c r="D105" t="s">
        <v>257</v>
      </c>
      <c r="E105" t="s">
        <v>177</v>
      </c>
      <c r="F105" t="s">
        <v>1937</v>
      </c>
      <c r="G105">
        <v>90</v>
      </c>
      <c r="H105">
        <v>6433</v>
      </c>
      <c r="I105">
        <v>0.80000001192092896</v>
      </c>
      <c r="J105" t="s">
        <v>270</v>
      </c>
      <c r="K105" t="s">
        <v>270</v>
      </c>
      <c r="L105" s="67" t="str">
        <f>VLOOKUP($A105,MFMaster!$A$2:$C$300,2,FALSE)</f>
        <v>4-6 stories</v>
      </c>
      <c r="M105" s="67" t="str">
        <f>VLOOKUP($A105,MFMaster!$A$2:$CG$232,85,FALSE)</f>
        <v/>
      </c>
      <c r="P105"/>
      <c r="Q105"/>
    </row>
    <row r="106" spans="1:17">
      <c r="A106">
        <v>14346</v>
      </c>
      <c r="B106" t="s">
        <v>1935</v>
      </c>
      <c r="C106">
        <v>1</v>
      </c>
      <c r="D106" t="s">
        <v>257</v>
      </c>
      <c r="E106" t="s">
        <v>177</v>
      </c>
      <c r="F106" t="s">
        <v>1937</v>
      </c>
      <c r="G106">
        <v>91</v>
      </c>
      <c r="H106">
        <v>4114</v>
      </c>
      <c r="I106">
        <v>0.75</v>
      </c>
      <c r="J106" t="s">
        <v>270</v>
      </c>
      <c r="K106" t="s">
        <v>273</v>
      </c>
      <c r="L106" s="67" t="str">
        <f>VLOOKUP($A106,MFMaster!$A$2:$C$300,2,FALSE)</f>
        <v>1-3 stories</v>
      </c>
      <c r="M106" s="67">
        <f>VLOOKUP($A106,MFMaster!$A$2:$CG$232,85,FALSE)</f>
        <v>171.58226013183599</v>
      </c>
      <c r="P106"/>
      <c r="Q106"/>
    </row>
    <row r="107" spans="1:17">
      <c r="A107">
        <v>14346</v>
      </c>
      <c r="B107" t="s">
        <v>1940</v>
      </c>
      <c r="C107">
        <v>2</v>
      </c>
      <c r="D107" t="s">
        <v>257</v>
      </c>
      <c r="E107" t="s">
        <v>184</v>
      </c>
      <c r="F107"/>
      <c r="G107">
        <v>24</v>
      </c>
      <c r="H107">
        <v>196</v>
      </c>
      <c r="I107">
        <v>1.1000000238418599</v>
      </c>
      <c r="J107" t="s">
        <v>270</v>
      </c>
      <c r="K107" t="s">
        <v>270</v>
      </c>
      <c r="L107" s="67" t="str">
        <f>VLOOKUP($A107,MFMaster!$A$2:$C$300,2,FALSE)</f>
        <v>1-3 stories</v>
      </c>
      <c r="M107" s="67">
        <f>VLOOKUP($A107,MFMaster!$A$2:$CG$232,85,FALSE)</f>
        <v>171.58226013183599</v>
      </c>
      <c r="P107"/>
      <c r="Q107"/>
    </row>
    <row r="108" spans="1:17">
      <c r="A108">
        <v>14507</v>
      </c>
      <c r="B108" t="s">
        <v>1935</v>
      </c>
      <c r="C108">
        <v>1</v>
      </c>
      <c r="D108" t="s">
        <v>257</v>
      </c>
      <c r="E108" t="s">
        <v>177</v>
      </c>
      <c r="F108" t="s">
        <v>1939</v>
      </c>
      <c r="G108">
        <v>100</v>
      </c>
      <c r="H108">
        <v>640</v>
      </c>
      <c r="I108">
        <v>0.85000002384185802</v>
      </c>
      <c r="J108" t="s">
        <v>270</v>
      </c>
      <c r="K108" t="s">
        <v>270</v>
      </c>
      <c r="L108" s="67" t="str">
        <f>VLOOKUP($A108,MFMaster!$A$2:$C$300,2,FALSE)</f>
        <v>1-3 stories</v>
      </c>
      <c r="M108" s="67">
        <f>VLOOKUP($A108,MFMaster!$A$2:$CG$232,85,FALSE)</f>
        <v>412.14782714843801</v>
      </c>
      <c r="P108"/>
      <c r="Q108"/>
    </row>
    <row r="109" spans="1:17">
      <c r="A109">
        <v>14507</v>
      </c>
      <c r="B109" t="s">
        <v>1940</v>
      </c>
      <c r="C109">
        <v>2</v>
      </c>
      <c r="D109" t="s">
        <v>1936</v>
      </c>
      <c r="E109" t="s">
        <v>184</v>
      </c>
      <c r="F109"/>
      <c r="G109">
        <v>0</v>
      </c>
      <c r="H109">
        <v>65</v>
      </c>
      <c r="I109">
        <v>0.94999998807907104</v>
      </c>
      <c r="J109" t="s">
        <v>270</v>
      </c>
      <c r="K109" t="s">
        <v>270</v>
      </c>
      <c r="L109" s="67" t="str">
        <f>VLOOKUP($A109,MFMaster!$A$2:$C$300,2,FALSE)</f>
        <v>1-3 stories</v>
      </c>
      <c r="M109" s="67">
        <f>VLOOKUP($A109,MFMaster!$A$2:$CG$232,85,FALSE)</f>
        <v>412.14782714843801</v>
      </c>
      <c r="P109"/>
      <c r="Q109"/>
    </row>
    <row r="110" spans="1:17">
      <c r="A110">
        <v>14613</v>
      </c>
      <c r="B110" t="s">
        <v>1938</v>
      </c>
      <c r="C110">
        <v>1</v>
      </c>
      <c r="D110" t="s">
        <v>1936</v>
      </c>
      <c r="E110" t="s">
        <v>177</v>
      </c>
      <c r="F110" t="s">
        <v>1937</v>
      </c>
      <c r="G110">
        <v>100</v>
      </c>
      <c r="H110">
        <v>1116</v>
      </c>
      <c r="I110">
        <v>0.44999998807907099</v>
      </c>
      <c r="J110" t="s">
        <v>270</v>
      </c>
      <c r="K110" t="s">
        <v>273</v>
      </c>
      <c r="L110" s="67" t="str">
        <f>VLOOKUP($A110,MFMaster!$A$2:$C$300,2,FALSE)</f>
        <v>1-3 stories</v>
      </c>
      <c r="M110" s="67">
        <f>VLOOKUP($A110,MFMaster!$A$2:$CG$232,85,FALSE)</f>
        <v>99.650344848632798</v>
      </c>
      <c r="P110"/>
      <c r="Q110"/>
    </row>
    <row r="111" spans="1:17">
      <c r="A111">
        <v>14613</v>
      </c>
      <c r="B111" t="s">
        <v>1935</v>
      </c>
      <c r="C111">
        <v>2</v>
      </c>
      <c r="D111" t="s">
        <v>257</v>
      </c>
      <c r="E111" t="s">
        <v>177</v>
      </c>
      <c r="F111" t="s">
        <v>1937</v>
      </c>
      <c r="G111">
        <v>100</v>
      </c>
      <c r="H111">
        <v>594</v>
      </c>
      <c r="I111">
        <v>0.75</v>
      </c>
      <c r="J111" t="s">
        <v>270</v>
      </c>
      <c r="K111" t="s">
        <v>273</v>
      </c>
      <c r="L111" s="67" t="str">
        <f>VLOOKUP($A111,MFMaster!$A$2:$C$300,2,FALSE)</f>
        <v>1-3 stories</v>
      </c>
      <c r="M111" s="67">
        <f>VLOOKUP($A111,MFMaster!$A$2:$CG$232,85,FALSE)</f>
        <v>99.650344848632798</v>
      </c>
      <c r="P111"/>
      <c r="Q111"/>
    </row>
    <row r="112" spans="1:17">
      <c r="A112">
        <v>14614</v>
      </c>
      <c r="B112" t="s">
        <v>1940</v>
      </c>
      <c r="C112">
        <v>1</v>
      </c>
      <c r="D112" t="s">
        <v>1936</v>
      </c>
      <c r="E112" t="s">
        <v>177</v>
      </c>
      <c r="F112" t="s">
        <v>1937</v>
      </c>
      <c r="G112">
        <v>100</v>
      </c>
      <c r="H112">
        <v>731</v>
      </c>
      <c r="I112">
        <v>0.44999998807907099</v>
      </c>
      <c r="J112" t="s">
        <v>270</v>
      </c>
      <c r="K112" t="s">
        <v>273</v>
      </c>
      <c r="L112" s="67" t="str">
        <f>VLOOKUP($A112,MFMaster!$A$2:$C$300,2,FALSE)</f>
        <v>1-3 stories</v>
      </c>
      <c r="M112" s="67">
        <f>VLOOKUP($A112,MFMaster!$A$2:$CG$232,85,FALSE)</f>
        <v>320.28689575195301</v>
      </c>
      <c r="P112"/>
      <c r="Q112"/>
    </row>
    <row r="113" spans="1:17">
      <c r="A113">
        <v>20021</v>
      </c>
      <c r="B113" t="s">
        <v>1935</v>
      </c>
      <c r="C113">
        <v>1</v>
      </c>
      <c r="D113" t="s">
        <v>257</v>
      </c>
      <c r="E113" t="s">
        <v>177</v>
      </c>
      <c r="F113" t="s">
        <v>1937</v>
      </c>
      <c r="G113">
        <v>100</v>
      </c>
      <c r="H113">
        <v>12347</v>
      </c>
      <c r="I113">
        <v>0.80000001192092896</v>
      </c>
      <c r="J113" t="s">
        <v>270</v>
      </c>
      <c r="K113" t="s">
        <v>270</v>
      </c>
      <c r="L113" s="67" t="str">
        <f>VLOOKUP($A113,MFMaster!$A$2:$C$300,2,FALSE)</f>
        <v>7+ stories</v>
      </c>
      <c r="M113" s="67" t="str">
        <f>VLOOKUP($A113,MFMaster!$A$2:$CG$232,85,FALSE)</f>
        <v/>
      </c>
      <c r="P113"/>
      <c r="Q113"/>
    </row>
    <row r="114" spans="1:17">
      <c r="A114">
        <v>20021</v>
      </c>
      <c r="B114" t="s">
        <v>1940</v>
      </c>
      <c r="C114">
        <v>2</v>
      </c>
      <c r="D114" t="s">
        <v>257</v>
      </c>
      <c r="E114" t="s">
        <v>177</v>
      </c>
      <c r="F114" t="s">
        <v>1937</v>
      </c>
      <c r="G114">
        <v>0</v>
      </c>
      <c r="H114">
        <v>556</v>
      </c>
      <c r="I114">
        <v>0.75</v>
      </c>
      <c r="J114" t="s">
        <v>270</v>
      </c>
      <c r="K114" t="s">
        <v>273</v>
      </c>
      <c r="L114" s="67" t="str">
        <f>VLOOKUP($A114,MFMaster!$A$2:$C$300,2,FALSE)</f>
        <v>7+ stories</v>
      </c>
      <c r="M114" s="67" t="str">
        <f>VLOOKUP($A114,MFMaster!$A$2:$CG$232,85,FALSE)</f>
        <v/>
      </c>
      <c r="P114"/>
      <c r="Q114"/>
    </row>
    <row r="115" spans="1:17">
      <c r="A115">
        <v>20101</v>
      </c>
      <c r="B115" t="s">
        <v>1942</v>
      </c>
      <c r="C115">
        <v>1</v>
      </c>
      <c r="D115" t="s">
        <v>1936</v>
      </c>
      <c r="E115" t="s">
        <v>184</v>
      </c>
      <c r="F115"/>
      <c r="G115">
        <v>69</v>
      </c>
      <c r="H115">
        <v>654</v>
      </c>
      <c r="I115">
        <v>0.89999997615814198</v>
      </c>
      <c r="J115" t="s">
        <v>270</v>
      </c>
      <c r="K115" t="s">
        <v>273</v>
      </c>
      <c r="L115" s="67" t="str">
        <f>VLOOKUP($A115,MFMaster!$A$2:$C$300,2,FALSE)</f>
        <v>1-3 stories</v>
      </c>
      <c r="M115" s="67">
        <f>VLOOKUP($A115,MFMaster!$A$2:$CG$232,85,FALSE)</f>
        <v>167.65873718261699</v>
      </c>
      <c r="P115"/>
      <c r="Q115"/>
    </row>
    <row r="116" spans="1:17">
      <c r="A116">
        <v>20101</v>
      </c>
      <c r="B116" t="s">
        <v>1943</v>
      </c>
      <c r="C116">
        <v>2</v>
      </c>
      <c r="D116" t="s">
        <v>257</v>
      </c>
      <c r="E116" t="s">
        <v>184</v>
      </c>
      <c r="F116"/>
      <c r="G116">
        <v>53</v>
      </c>
      <c r="H116">
        <v>732</v>
      </c>
      <c r="I116">
        <v>0.94999998807907104</v>
      </c>
      <c r="J116" t="s">
        <v>270</v>
      </c>
      <c r="K116" t="s">
        <v>273</v>
      </c>
      <c r="L116" s="67" t="str">
        <f>VLOOKUP($A116,MFMaster!$A$2:$C$300,2,FALSE)</f>
        <v>1-3 stories</v>
      </c>
      <c r="M116" s="67">
        <f>VLOOKUP($A116,MFMaster!$A$2:$CG$232,85,FALSE)</f>
        <v>167.65873718261699</v>
      </c>
      <c r="P116"/>
      <c r="Q116"/>
    </row>
    <row r="117" spans="1:17">
      <c r="A117">
        <v>20101</v>
      </c>
      <c r="B117" t="s">
        <v>1944</v>
      </c>
      <c r="C117">
        <v>3</v>
      </c>
      <c r="D117" t="s">
        <v>257</v>
      </c>
      <c r="E117" t="s">
        <v>184</v>
      </c>
      <c r="F117"/>
      <c r="G117"/>
      <c r="H117">
        <v>3206</v>
      </c>
      <c r="I117">
        <v>0.94999998807907104</v>
      </c>
      <c r="J117" t="s">
        <v>270</v>
      </c>
      <c r="K117" t="s">
        <v>273</v>
      </c>
      <c r="L117" s="67" t="str">
        <f>VLOOKUP($A117,MFMaster!$A$2:$C$300,2,FALSE)</f>
        <v>1-3 stories</v>
      </c>
      <c r="M117" s="67">
        <f>VLOOKUP($A117,MFMaster!$A$2:$CG$232,85,FALSE)</f>
        <v>167.65873718261699</v>
      </c>
      <c r="P117"/>
      <c r="Q117"/>
    </row>
    <row r="118" spans="1:17">
      <c r="A118">
        <v>20119</v>
      </c>
      <c r="B118" t="s">
        <v>1940</v>
      </c>
      <c r="C118">
        <v>1</v>
      </c>
      <c r="D118" t="s">
        <v>1936</v>
      </c>
      <c r="E118" t="s">
        <v>177</v>
      </c>
      <c r="F118" t="s">
        <v>1937</v>
      </c>
      <c r="G118">
        <v>100</v>
      </c>
      <c r="H118">
        <v>4068</v>
      </c>
      <c r="I118">
        <v>0.44999998807907099</v>
      </c>
      <c r="J118" t="s">
        <v>270</v>
      </c>
      <c r="K118" t="s">
        <v>273</v>
      </c>
      <c r="L118" s="67" t="str">
        <f>VLOOKUP($A118,MFMaster!$A$2:$C$300,2,FALSE)</f>
        <v>1-3 stories</v>
      </c>
      <c r="M118" s="67">
        <f>VLOOKUP($A118,MFMaster!$A$2:$CG$232,85,FALSE)</f>
        <v>116.07144165039099</v>
      </c>
      <c r="P118"/>
      <c r="Q118"/>
    </row>
    <row r="119" spans="1:17">
      <c r="A119">
        <v>20119</v>
      </c>
      <c r="B119" t="s">
        <v>1941</v>
      </c>
      <c r="C119">
        <v>2</v>
      </c>
      <c r="D119" t="s">
        <v>257</v>
      </c>
      <c r="E119" t="s">
        <v>177</v>
      </c>
      <c r="F119" t="s">
        <v>1937</v>
      </c>
      <c r="G119">
        <v>0</v>
      </c>
      <c r="H119">
        <v>89</v>
      </c>
      <c r="I119">
        <v>0.75</v>
      </c>
      <c r="J119" t="s">
        <v>270</v>
      </c>
      <c r="K119" t="s">
        <v>273</v>
      </c>
      <c r="L119" s="67" t="str">
        <f>VLOOKUP($A119,MFMaster!$A$2:$C$300,2,FALSE)</f>
        <v>1-3 stories</v>
      </c>
      <c r="M119" s="67">
        <f>VLOOKUP($A119,MFMaster!$A$2:$CG$232,85,FALSE)</f>
        <v>116.07144165039099</v>
      </c>
      <c r="P119"/>
      <c r="Q119"/>
    </row>
    <row r="120" spans="1:17">
      <c r="A120">
        <v>20119</v>
      </c>
      <c r="B120" t="s">
        <v>1942</v>
      </c>
      <c r="C120">
        <v>3</v>
      </c>
      <c r="D120" t="s">
        <v>1936</v>
      </c>
      <c r="E120" t="s">
        <v>177</v>
      </c>
      <c r="F120" t="s">
        <v>1937</v>
      </c>
      <c r="G120">
        <v>0</v>
      </c>
      <c r="H120">
        <v>168</v>
      </c>
      <c r="I120">
        <v>0.44999998807907099</v>
      </c>
      <c r="J120" t="s">
        <v>270</v>
      </c>
      <c r="K120" t="s">
        <v>273</v>
      </c>
      <c r="L120" s="67" t="str">
        <f>VLOOKUP($A120,MFMaster!$A$2:$C$300,2,FALSE)</f>
        <v>1-3 stories</v>
      </c>
      <c r="M120" s="67">
        <f>VLOOKUP($A120,MFMaster!$A$2:$CG$232,85,FALSE)</f>
        <v>116.07144165039099</v>
      </c>
      <c r="P120"/>
      <c r="Q120"/>
    </row>
    <row r="121" spans="1:17">
      <c r="A121">
        <v>20165</v>
      </c>
      <c r="B121" t="s">
        <v>1938</v>
      </c>
      <c r="C121">
        <v>1</v>
      </c>
      <c r="D121" t="s">
        <v>1936</v>
      </c>
      <c r="E121" t="s">
        <v>177</v>
      </c>
      <c r="F121" t="s">
        <v>1937</v>
      </c>
      <c r="G121">
        <v>100</v>
      </c>
      <c r="H121">
        <v>576</v>
      </c>
      <c r="I121">
        <v>0.44999998807907099</v>
      </c>
      <c r="J121" t="s">
        <v>270</v>
      </c>
      <c r="K121" t="s">
        <v>273</v>
      </c>
      <c r="L121" s="67" t="str">
        <f>VLOOKUP($A121,MFMaster!$A$2:$C$300,2,FALSE)</f>
        <v>1-3 stories</v>
      </c>
      <c r="M121" s="67">
        <f>VLOOKUP($A121,MFMaster!$A$2:$CG$232,85,FALSE)</f>
        <v>628.72027587890602</v>
      </c>
      <c r="P121"/>
      <c r="Q121"/>
    </row>
    <row r="122" spans="1:17">
      <c r="A122">
        <v>20165</v>
      </c>
      <c r="B122" t="s">
        <v>1935</v>
      </c>
      <c r="C122">
        <v>2</v>
      </c>
      <c r="D122" t="s">
        <v>1936</v>
      </c>
      <c r="E122" t="s">
        <v>177</v>
      </c>
      <c r="F122" t="s">
        <v>1937</v>
      </c>
      <c r="G122">
        <v>35</v>
      </c>
      <c r="H122">
        <v>312</v>
      </c>
      <c r="I122">
        <v>0.44999998807907099</v>
      </c>
      <c r="J122" t="s">
        <v>270</v>
      </c>
      <c r="K122" t="s">
        <v>273</v>
      </c>
      <c r="L122" s="67" t="str">
        <f>VLOOKUP($A122,MFMaster!$A$2:$C$300,2,FALSE)</f>
        <v>1-3 stories</v>
      </c>
      <c r="M122" s="67">
        <f>VLOOKUP($A122,MFMaster!$A$2:$CG$232,85,FALSE)</f>
        <v>628.72027587890602</v>
      </c>
      <c r="P122"/>
      <c r="Q122"/>
    </row>
    <row r="123" spans="1:17">
      <c r="A123">
        <v>20193</v>
      </c>
      <c r="B123" t="s">
        <v>1938</v>
      </c>
      <c r="C123">
        <v>1</v>
      </c>
      <c r="D123" t="s">
        <v>257</v>
      </c>
      <c r="E123" t="s">
        <v>184</v>
      </c>
      <c r="F123"/>
      <c r="G123">
        <v>100</v>
      </c>
      <c r="H123">
        <v>1310</v>
      </c>
      <c r="I123">
        <v>1.1000000238418599</v>
      </c>
      <c r="J123" t="s">
        <v>270</v>
      </c>
      <c r="K123" t="s">
        <v>270</v>
      </c>
      <c r="L123" s="67" t="str">
        <f>VLOOKUP($A123,MFMaster!$A$2:$C$300,2,FALSE)</f>
        <v>1-3 stories</v>
      </c>
      <c r="M123" s="67">
        <f>VLOOKUP($A123,MFMaster!$A$2:$CG$232,85,FALSE)</f>
        <v>538.903076171875</v>
      </c>
      <c r="P123"/>
      <c r="Q123"/>
    </row>
    <row r="124" spans="1:17">
      <c r="A124">
        <v>20193</v>
      </c>
      <c r="B124" t="s">
        <v>1935</v>
      </c>
      <c r="C124">
        <v>2</v>
      </c>
      <c r="D124" t="s">
        <v>257</v>
      </c>
      <c r="E124" t="s">
        <v>184</v>
      </c>
      <c r="F124"/>
      <c r="G124">
        <v>0</v>
      </c>
      <c r="H124">
        <v>260</v>
      </c>
      <c r="I124">
        <v>1.1000000238418599</v>
      </c>
      <c r="J124" t="s">
        <v>270</v>
      </c>
      <c r="K124" t="s">
        <v>270</v>
      </c>
      <c r="L124" s="67" t="str">
        <f>VLOOKUP($A124,MFMaster!$A$2:$C$300,2,FALSE)</f>
        <v>1-3 stories</v>
      </c>
      <c r="M124" s="67">
        <f>VLOOKUP($A124,MFMaster!$A$2:$CG$232,85,FALSE)</f>
        <v>538.903076171875</v>
      </c>
      <c r="P124"/>
      <c r="Q124"/>
    </row>
    <row r="125" spans="1:17">
      <c r="A125">
        <v>20195</v>
      </c>
      <c r="B125" t="s">
        <v>1945</v>
      </c>
      <c r="C125">
        <v>3</v>
      </c>
      <c r="D125" t="s">
        <v>257</v>
      </c>
      <c r="E125" t="s">
        <v>177</v>
      </c>
      <c r="F125" t="s">
        <v>1939</v>
      </c>
      <c r="G125">
        <v>0</v>
      </c>
      <c r="H125">
        <v>576</v>
      </c>
      <c r="I125">
        <v>0.85000002384185802</v>
      </c>
      <c r="J125" t="s">
        <v>270</v>
      </c>
      <c r="K125" t="s">
        <v>270</v>
      </c>
      <c r="L125" s="67" t="str">
        <f>VLOOKUP($A125,MFMaster!$A$2:$C$300,2,FALSE)</f>
        <v>4-6 stories</v>
      </c>
      <c r="M125" s="67" t="str">
        <f>VLOOKUP($A125,MFMaster!$A$2:$CG$232,85,FALSE)</f>
        <v/>
      </c>
      <c r="P125"/>
      <c r="Q125"/>
    </row>
    <row r="126" spans="1:17">
      <c r="A126">
        <v>20195</v>
      </c>
      <c r="B126" t="s">
        <v>1943</v>
      </c>
      <c r="C126">
        <v>1</v>
      </c>
      <c r="D126" t="s">
        <v>1936</v>
      </c>
      <c r="E126" t="s">
        <v>177</v>
      </c>
      <c r="F126" t="s">
        <v>1937</v>
      </c>
      <c r="G126">
        <v>50</v>
      </c>
      <c r="H126">
        <v>984</v>
      </c>
      <c r="I126">
        <v>0.44999998807907099</v>
      </c>
      <c r="J126" t="s">
        <v>270</v>
      </c>
      <c r="K126" t="s">
        <v>273</v>
      </c>
      <c r="L126" s="67" t="str">
        <f>VLOOKUP($A126,MFMaster!$A$2:$C$300,2,FALSE)</f>
        <v>4-6 stories</v>
      </c>
      <c r="M126" s="67" t="str">
        <f>VLOOKUP($A126,MFMaster!$A$2:$CG$232,85,FALSE)</f>
        <v/>
      </c>
      <c r="P126"/>
      <c r="Q126"/>
    </row>
    <row r="127" spans="1:17">
      <c r="A127">
        <v>20195</v>
      </c>
      <c r="B127" t="s">
        <v>1944</v>
      </c>
      <c r="C127">
        <v>2</v>
      </c>
      <c r="D127" t="s">
        <v>257</v>
      </c>
      <c r="E127" t="s">
        <v>184</v>
      </c>
      <c r="F127"/>
      <c r="G127">
        <v>20</v>
      </c>
      <c r="H127">
        <v>690</v>
      </c>
      <c r="I127">
        <v>1.1000000238418599</v>
      </c>
      <c r="J127" t="s">
        <v>270</v>
      </c>
      <c r="K127" t="s">
        <v>270</v>
      </c>
      <c r="L127" s="67" t="str">
        <f>VLOOKUP($A127,MFMaster!$A$2:$C$300,2,FALSE)</f>
        <v>4-6 stories</v>
      </c>
      <c r="M127" s="67" t="str">
        <f>VLOOKUP($A127,MFMaster!$A$2:$CG$232,85,FALSE)</f>
        <v/>
      </c>
      <c r="P127"/>
      <c r="Q127"/>
    </row>
    <row r="128" spans="1:17">
      <c r="A128">
        <v>20241</v>
      </c>
      <c r="B128" t="s">
        <v>1940</v>
      </c>
      <c r="C128">
        <v>1</v>
      </c>
      <c r="D128" t="s">
        <v>257</v>
      </c>
      <c r="E128" t="s">
        <v>184</v>
      </c>
      <c r="F128"/>
      <c r="G128">
        <v>52</v>
      </c>
      <c r="H128">
        <v>463</v>
      </c>
      <c r="I128">
        <v>1.1000000238418599</v>
      </c>
      <c r="J128" t="s">
        <v>270</v>
      </c>
      <c r="K128" t="s">
        <v>270</v>
      </c>
      <c r="L128" s="67" t="str">
        <f>VLOOKUP($A128,MFMaster!$A$2:$C$300,2,FALSE)</f>
        <v>1-3 stories</v>
      </c>
      <c r="M128" s="67">
        <f>VLOOKUP($A128,MFMaster!$A$2:$CG$232,85,FALSE)</f>
        <v>1257.44055175781</v>
      </c>
      <c r="P128"/>
      <c r="Q128"/>
    </row>
    <row r="129" spans="1:17">
      <c r="A129">
        <v>20241</v>
      </c>
      <c r="B129" t="s">
        <v>1941</v>
      </c>
      <c r="C129">
        <v>2</v>
      </c>
      <c r="D129" t="s">
        <v>257</v>
      </c>
      <c r="E129" t="s">
        <v>184</v>
      </c>
      <c r="F129"/>
      <c r="G129">
        <v>100</v>
      </c>
      <c r="H129">
        <v>26</v>
      </c>
      <c r="I129">
        <v>1.1000000238418599</v>
      </c>
      <c r="J129" t="s">
        <v>270</v>
      </c>
      <c r="K129" t="s">
        <v>270</v>
      </c>
      <c r="L129" s="67" t="str">
        <f>VLOOKUP($A129,MFMaster!$A$2:$C$300,2,FALSE)</f>
        <v>1-3 stories</v>
      </c>
      <c r="M129" s="67">
        <f>VLOOKUP($A129,MFMaster!$A$2:$CG$232,85,FALSE)</f>
        <v>1257.44055175781</v>
      </c>
      <c r="P129"/>
      <c r="Q129"/>
    </row>
    <row r="130" spans="1:17">
      <c r="A130">
        <v>20241</v>
      </c>
      <c r="B130" t="s">
        <v>1942</v>
      </c>
      <c r="C130">
        <v>3</v>
      </c>
      <c r="D130" t="s">
        <v>257</v>
      </c>
      <c r="E130" t="s">
        <v>177</v>
      </c>
      <c r="F130" t="s">
        <v>1939</v>
      </c>
      <c r="G130">
        <v>100</v>
      </c>
      <c r="H130">
        <v>84</v>
      </c>
      <c r="I130">
        <v>0.85000002384185802</v>
      </c>
      <c r="J130" t="s">
        <v>270</v>
      </c>
      <c r="K130" t="s">
        <v>270</v>
      </c>
      <c r="L130" s="67" t="str">
        <f>VLOOKUP($A130,MFMaster!$A$2:$C$300,2,FALSE)</f>
        <v>1-3 stories</v>
      </c>
      <c r="M130" s="67">
        <f>VLOOKUP($A130,MFMaster!$A$2:$CG$232,85,FALSE)</f>
        <v>1257.44055175781</v>
      </c>
      <c r="P130"/>
      <c r="Q130"/>
    </row>
    <row r="131" spans="1:17">
      <c r="A131">
        <v>20289</v>
      </c>
      <c r="B131" t="s">
        <v>1938</v>
      </c>
      <c r="C131">
        <v>1</v>
      </c>
      <c r="D131" t="s">
        <v>257</v>
      </c>
      <c r="E131" t="s">
        <v>177</v>
      </c>
      <c r="F131" t="s">
        <v>1939</v>
      </c>
      <c r="G131">
        <v>100</v>
      </c>
      <c r="H131">
        <v>544</v>
      </c>
      <c r="I131">
        <v>0.75</v>
      </c>
      <c r="J131" t="s">
        <v>270</v>
      </c>
      <c r="K131" t="s">
        <v>273</v>
      </c>
      <c r="L131" s="67" t="str">
        <f>VLOOKUP($A131,MFMaster!$A$2:$C$300,2,FALSE)</f>
        <v>1-3 stories</v>
      </c>
      <c r="M131" s="67">
        <f>VLOOKUP($A131,MFMaster!$A$2:$CG$232,85,FALSE)</f>
        <v>943.08038330078102</v>
      </c>
      <c r="P131"/>
      <c r="Q131"/>
    </row>
    <row r="132" spans="1:17">
      <c r="A132">
        <v>20532</v>
      </c>
      <c r="B132" t="s">
        <v>1935</v>
      </c>
      <c r="C132">
        <v>1</v>
      </c>
      <c r="D132" t="s">
        <v>257</v>
      </c>
      <c r="E132" t="s">
        <v>184</v>
      </c>
      <c r="F132"/>
      <c r="G132">
        <v>100</v>
      </c>
      <c r="H132">
        <v>729</v>
      </c>
      <c r="I132">
        <v>1.1000000238418599</v>
      </c>
      <c r="J132" t="s">
        <v>270</v>
      </c>
      <c r="K132" t="s">
        <v>270</v>
      </c>
      <c r="L132" s="67" t="str">
        <f>VLOOKUP($A132,MFMaster!$A$2:$C$300,2,FALSE)</f>
        <v>1-3 stories</v>
      </c>
      <c r="M132" s="67">
        <f>VLOOKUP($A132,MFMaster!$A$2:$CG$232,85,FALSE)</f>
        <v>502.97622680664102</v>
      </c>
      <c r="P132"/>
      <c r="Q132"/>
    </row>
    <row r="133" spans="1:17">
      <c r="A133">
        <v>20532</v>
      </c>
      <c r="B133" t="s">
        <v>1940</v>
      </c>
      <c r="C133">
        <v>2</v>
      </c>
      <c r="D133" t="s">
        <v>1936</v>
      </c>
      <c r="E133" t="s">
        <v>177</v>
      </c>
      <c r="F133" t="s">
        <v>1939</v>
      </c>
      <c r="G133">
        <v>100</v>
      </c>
      <c r="H133">
        <v>58</v>
      </c>
      <c r="I133">
        <v>0.60000002384185802</v>
      </c>
      <c r="J133" t="s">
        <v>270</v>
      </c>
      <c r="K133" t="s">
        <v>270</v>
      </c>
      <c r="L133" s="67" t="str">
        <f>VLOOKUP($A133,MFMaster!$A$2:$C$300,2,FALSE)</f>
        <v>1-3 stories</v>
      </c>
      <c r="M133" s="67">
        <f>VLOOKUP($A133,MFMaster!$A$2:$CG$232,85,FALSE)</f>
        <v>502.97622680664102</v>
      </c>
      <c r="P133"/>
      <c r="Q133"/>
    </row>
    <row r="134" spans="1:17">
      <c r="A134">
        <v>20566</v>
      </c>
      <c r="B134" t="s">
        <v>1938</v>
      </c>
      <c r="C134">
        <v>1</v>
      </c>
      <c r="D134" t="s">
        <v>257</v>
      </c>
      <c r="E134" t="s">
        <v>184</v>
      </c>
      <c r="F134"/>
      <c r="G134">
        <v>100</v>
      </c>
      <c r="H134">
        <v>880</v>
      </c>
      <c r="I134">
        <v>1.1000000238418599</v>
      </c>
      <c r="J134" t="s">
        <v>270</v>
      </c>
      <c r="K134" t="s">
        <v>270</v>
      </c>
      <c r="L134" s="67" t="str">
        <f>VLOOKUP($A134,MFMaster!$A$2:$C$300,2,FALSE)</f>
        <v>1-3 stories</v>
      </c>
      <c r="M134" s="67">
        <f>VLOOKUP($A134,MFMaster!$A$2:$CG$232,85,FALSE)</f>
        <v>754.46429443359398</v>
      </c>
      <c r="P134"/>
      <c r="Q134"/>
    </row>
    <row r="135" spans="1:17">
      <c r="A135">
        <v>20581</v>
      </c>
      <c r="B135" t="s">
        <v>1938</v>
      </c>
      <c r="C135">
        <v>1</v>
      </c>
      <c r="D135" t="s">
        <v>257</v>
      </c>
      <c r="E135" t="s">
        <v>177</v>
      </c>
      <c r="F135" t="s">
        <v>1939</v>
      </c>
      <c r="G135">
        <v>100</v>
      </c>
      <c r="H135">
        <v>596</v>
      </c>
      <c r="I135">
        <v>0.75</v>
      </c>
      <c r="J135" t="s">
        <v>270</v>
      </c>
      <c r="K135" t="s">
        <v>273</v>
      </c>
      <c r="L135" s="67" t="str">
        <f>VLOOKUP($A135,MFMaster!$A$2:$C$300,2,FALSE)</f>
        <v>1-3 stories</v>
      </c>
      <c r="M135" s="67">
        <f>VLOOKUP($A135,MFMaster!$A$2:$CG$232,85,FALSE)</f>
        <v>1257.44055175781</v>
      </c>
      <c r="P135"/>
      <c r="Q135"/>
    </row>
    <row r="136" spans="1:17">
      <c r="A136">
        <v>20665</v>
      </c>
      <c r="B136" t="s">
        <v>1938</v>
      </c>
      <c r="C136">
        <v>1</v>
      </c>
      <c r="D136" t="s">
        <v>1936</v>
      </c>
      <c r="E136" t="s">
        <v>177</v>
      </c>
      <c r="F136" t="s">
        <v>1939</v>
      </c>
      <c r="G136">
        <v>100</v>
      </c>
      <c r="H136">
        <v>471</v>
      </c>
      <c r="I136">
        <v>0.55000001192092896</v>
      </c>
      <c r="J136" t="s">
        <v>270</v>
      </c>
      <c r="K136" t="s">
        <v>273</v>
      </c>
      <c r="L136" s="67" t="str">
        <f>VLOOKUP($A136,MFMaster!$A$2:$C$300,2,FALSE)</f>
        <v>1-3 stories</v>
      </c>
      <c r="M136" s="67">
        <f>VLOOKUP($A136,MFMaster!$A$2:$CG$232,85,FALSE)</f>
        <v>685.87664794921898</v>
      </c>
      <c r="P136"/>
      <c r="Q136"/>
    </row>
    <row r="137" spans="1:17">
      <c r="A137">
        <v>20665</v>
      </c>
      <c r="B137" t="s">
        <v>1935</v>
      </c>
      <c r="C137">
        <v>2</v>
      </c>
      <c r="D137" t="s">
        <v>257</v>
      </c>
      <c r="E137" t="s">
        <v>177</v>
      </c>
      <c r="F137" t="s">
        <v>1939</v>
      </c>
      <c r="G137">
        <v>80</v>
      </c>
      <c r="H137">
        <v>1257</v>
      </c>
      <c r="I137">
        <v>0.75</v>
      </c>
      <c r="J137" t="s">
        <v>270</v>
      </c>
      <c r="K137" t="s">
        <v>273</v>
      </c>
      <c r="L137" s="67" t="str">
        <f>VLOOKUP($A137,MFMaster!$A$2:$C$300,2,FALSE)</f>
        <v>1-3 stories</v>
      </c>
      <c r="M137" s="67">
        <f>VLOOKUP($A137,MFMaster!$A$2:$CG$232,85,FALSE)</f>
        <v>685.87664794921898</v>
      </c>
      <c r="P137"/>
      <c r="Q137"/>
    </row>
    <row r="138" spans="1:17">
      <c r="A138">
        <v>20705</v>
      </c>
      <c r="B138" t="s">
        <v>1938</v>
      </c>
      <c r="C138">
        <v>1</v>
      </c>
      <c r="D138" t="s">
        <v>1936</v>
      </c>
      <c r="E138" t="s">
        <v>177</v>
      </c>
      <c r="F138" t="s">
        <v>1937</v>
      </c>
      <c r="G138">
        <v>100</v>
      </c>
      <c r="H138">
        <v>426</v>
      </c>
      <c r="I138">
        <v>0.44999998807907099</v>
      </c>
      <c r="J138" t="s">
        <v>270</v>
      </c>
      <c r="K138" t="s">
        <v>273</v>
      </c>
      <c r="L138" s="67" t="str">
        <f>VLOOKUP($A138,MFMaster!$A$2:$C$300,2,FALSE)</f>
        <v>1-3 stories</v>
      </c>
      <c r="M138" s="67">
        <f>VLOOKUP($A138,MFMaster!$A$2:$CG$232,85,FALSE)</f>
        <v>1257.44055175781</v>
      </c>
      <c r="P138"/>
      <c r="Q138"/>
    </row>
    <row r="139" spans="1:17">
      <c r="A139">
        <v>20803</v>
      </c>
      <c r="B139" t="s">
        <v>1938</v>
      </c>
      <c r="C139">
        <v>1</v>
      </c>
      <c r="D139" t="s">
        <v>1936</v>
      </c>
      <c r="E139" t="s">
        <v>177</v>
      </c>
      <c r="F139" t="s">
        <v>1937</v>
      </c>
      <c r="G139">
        <v>100</v>
      </c>
      <c r="H139">
        <v>438</v>
      </c>
      <c r="I139">
        <v>0.44999998807907099</v>
      </c>
      <c r="J139" t="s">
        <v>270</v>
      </c>
      <c r="K139" t="s">
        <v>273</v>
      </c>
      <c r="L139" s="67" t="str">
        <f>VLOOKUP($A139,MFMaster!$A$2:$C$300,2,FALSE)</f>
        <v>1-3 stories</v>
      </c>
      <c r="M139" s="67">
        <f>VLOOKUP($A139,MFMaster!$A$2:$CG$232,85,FALSE)</f>
        <v>838.293701171875</v>
      </c>
      <c r="P139"/>
      <c r="Q139"/>
    </row>
    <row r="140" spans="1:17">
      <c r="A140">
        <v>21000</v>
      </c>
      <c r="B140" t="s">
        <v>1940</v>
      </c>
      <c r="C140">
        <v>1</v>
      </c>
      <c r="D140" t="s">
        <v>257</v>
      </c>
      <c r="E140" t="s">
        <v>177</v>
      </c>
      <c r="F140" t="s">
        <v>1939</v>
      </c>
      <c r="G140">
        <v>75</v>
      </c>
      <c r="H140">
        <v>1528</v>
      </c>
      <c r="I140">
        <v>0.75</v>
      </c>
      <c r="J140" t="s">
        <v>270</v>
      </c>
      <c r="K140" t="s">
        <v>273</v>
      </c>
      <c r="L140" s="67" t="str">
        <f>VLOOKUP($A140,MFMaster!$A$2:$C$300,2,FALSE)</f>
        <v>1-3 stories</v>
      </c>
      <c r="M140" s="67">
        <f>VLOOKUP($A140,MFMaster!$A$2:$CG$232,85,FALSE)</f>
        <v>251.48811340332</v>
      </c>
      <c r="P140"/>
      <c r="Q140"/>
    </row>
    <row r="141" spans="1:17">
      <c r="A141">
        <v>21000</v>
      </c>
      <c r="B141" t="s">
        <v>1941</v>
      </c>
      <c r="C141">
        <v>2</v>
      </c>
      <c r="D141" t="s">
        <v>257</v>
      </c>
      <c r="E141" t="s">
        <v>177</v>
      </c>
      <c r="F141" t="s">
        <v>1937</v>
      </c>
      <c r="G141">
        <v>47</v>
      </c>
      <c r="H141">
        <v>77</v>
      </c>
      <c r="I141">
        <v>0.75</v>
      </c>
      <c r="J141" t="s">
        <v>270</v>
      </c>
      <c r="K141" t="s">
        <v>273</v>
      </c>
      <c r="L141" s="67" t="str">
        <f>VLOOKUP($A141,MFMaster!$A$2:$C$300,2,FALSE)</f>
        <v>1-3 stories</v>
      </c>
      <c r="M141" s="67">
        <f>VLOOKUP($A141,MFMaster!$A$2:$CG$232,85,FALSE)</f>
        <v>251.48811340332</v>
      </c>
      <c r="P141"/>
      <c r="Q141"/>
    </row>
    <row r="142" spans="1:17">
      <c r="A142">
        <v>21000</v>
      </c>
      <c r="B142" t="s">
        <v>1942</v>
      </c>
      <c r="C142">
        <v>3</v>
      </c>
      <c r="D142"/>
      <c r="E142"/>
      <c r="F142"/>
      <c r="G142"/>
      <c r="H142">
        <v>36</v>
      </c>
      <c r="I142"/>
      <c r="J142"/>
      <c r="K142"/>
      <c r="L142" s="67" t="str">
        <f>VLOOKUP($A142,MFMaster!$A$2:$C$300,2,FALSE)</f>
        <v>1-3 stories</v>
      </c>
      <c r="M142" s="67">
        <f>VLOOKUP($A142,MFMaster!$A$2:$CG$232,85,FALSE)</f>
        <v>251.48811340332</v>
      </c>
      <c r="P142"/>
      <c r="Q142"/>
    </row>
    <row r="143" spans="1:17">
      <c r="A143">
        <v>21268</v>
      </c>
      <c r="B143" t="s">
        <v>1938</v>
      </c>
      <c r="C143">
        <v>1</v>
      </c>
      <c r="D143" t="s">
        <v>257</v>
      </c>
      <c r="E143" t="s">
        <v>184</v>
      </c>
      <c r="F143"/>
      <c r="G143">
        <v>100</v>
      </c>
      <c r="H143">
        <v>600</v>
      </c>
      <c r="I143">
        <v>1.1000000238418599</v>
      </c>
      <c r="J143" t="s">
        <v>270</v>
      </c>
      <c r="K143" t="s">
        <v>270</v>
      </c>
      <c r="L143" s="67" t="str">
        <f>VLOOKUP($A143,MFMaster!$A$2:$C$300,2,FALSE)</f>
        <v>1-3 stories</v>
      </c>
      <c r="M143" s="67">
        <f>VLOOKUP($A143,MFMaster!$A$2:$CG$232,85,FALSE)</f>
        <v>1257.44055175781</v>
      </c>
      <c r="P143"/>
      <c r="Q143"/>
    </row>
    <row r="144" spans="1:17">
      <c r="A144">
        <v>21346</v>
      </c>
      <c r="B144" t="s">
        <v>1946</v>
      </c>
      <c r="C144">
        <v>1</v>
      </c>
      <c r="D144" t="s">
        <v>1936</v>
      </c>
      <c r="E144" t="s">
        <v>177</v>
      </c>
      <c r="F144" t="s">
        <v>1939</v>
      </c>
      <c r="G144">
        <v>80</v>
      </c>
      <c r="H144">
        <v>766</v>
      </c>
      <c r="I144">
        <v>0.55000001192092896</v>
      </c>
      <c r="J144" t="s">
        <v>270</v>
      </c>
      <c r="K144" t="s">
        <v>273</v>
      </c>
      <c r="L144" s="67" t="str">
        <f>VLOOKUP($A144,MFMaster!$A$2:$C$300,2,FALSE)</f>
        <v>1-3 stories</v>
      </c>
      <c r="M144" s="67" t="str">
        <f>VLOOKUP($A144,MFMaster!$A$2:$CG$232,85,FALSE)</f>
        <v/>
      </c>
      <c r="P144"/>
      <c r="Q144"/>
    </row>
    <row r="145" spans="1:17">
      <c r="A145">
        <v>21424</v>
      </c>
      <c r="B145" t="s">
        <v>1935</v>
      </c>
      <c r="C145">
        <v>1</v>
      </c>
      <c r="D145" t="s">
        <v>257</v>
      </c>
      <c r="E145" t="s">
        <v>184</v>
      </c>
      <c r="F145"/>
      <c r="G145">
        <v>100</v>
      </c>
      <c r="H145">
        <v>1220</v>
      </c>
      <c r="I145">
        <v>0.94999998807907104</v>
      </c>
      <c r="J145" t="s">
        <v>270</v>
      </c>
      <c r="K145" t="s">
        <v>273</v>
      </c>
      <c r="L145" s="67" t="str">
        <f>VLOOKUP($A145,MFMaster!$A$2:$C$300,2,FALSE)</f>
        <v>1-3 stories</v>
      </c>
      <c r="M145" s="67" t="str">
        <f>VLOOKUP($A145,MFMaster!$A$2:$CG$232,85,FALSE)</f>
        <v/>
      </c>
      <c r="P145"/>
      <c r="Q145"/>
    </row>
    <row r="146" spans="1:17">
      <c r="A146">
        <v>21424</v>
      </c>
      <c r="B146" t="s">
        <v>1940</v>
      </c>
      <c r="C146">
        <v>2</v>
      </c>
      <c r="D146" t="s">
        <v>257</v>
      </c>
      <c r="E146" t="s">
        <v>184</v>
      </c>
      <c r="F146"/>
      <c r="G146">
        <v>43</v>
      </c>
      <c r="H146">
        <v>812</v>
      </c>
      <c r="I146">
        <v>0.94999998807907104</v>
      </c>
      <c r="J146" t="s">
        <v>270</v>
      </c>
      <c r="K146" t="s">
        <v>273</v>
      </c>
      <c r="L146" s="67" t="str">
        <f>VLOOKUP($A146,MFMaster!$A$2:$C$300,2,FALSE)</f>
        <v>1-3 stories</v>
      </c>
      <c r="M146" s="67" t="str">
        <f>VLOOKUP($A146,MFMaster!$A$2:$CG$232,85,FALSE)</f>
        <v/>
      </c>
      <c r="P146"/>
      <c r="Q146"/>
    </row>
    <row r="147" spans="1:17">
      <c r="A147">
        <v>21424</v>
      </c>
      <c r="B147" t="s">
        <v>1941</v>
      </c>
      <c r="C147">
        <v>3</v>
      </c>
      <c r="D147" t="s">
        <v>257</v>
      </c>
      <c r="E147" t="s">
        <v>184</v>
      </c>
      <c r="F147"/>
      <c r="G147">
        <v>100</v>
      </c>
      <c r="H147">
        <v>96</v>
      </c>
      <c r="I147">
        <v>1.1000000238418599</v>
      </c>
      <c r="J147" t="s">
        <v>270</v>
      </c>
      <c r="K147" t="s">
        <v>270</v>
      </c>
      <c r="L147" s="67" t="str">
        <f>VLOOKUP($A147,MFMaster!$A$2:$C$300,2,FALSE)</f>
        <v>1-3 stories</v>
      </c>
      <c r="M147" s="67" t="str">
        <f>VLOOKUP($A147,MFMaster!$A$2:$CG$232,85,FALSE)</f>
        <v/>
      </c>
      <c r="P147"/>
      <c r="Q147"/>
    </row>
    <row r="148" spans="1:17">
      <c r="A148">
        <v>21488</v>
      </c>
      <c r="B148" t="s">
        <v>1938</v>
      </c>
      <c r="C148">
        <v>1</v>
      </c>
      <c r="D148" t="s">
        <v>1936</v>
      </c>
      <c r="E148" t="s">
        <v>177</v>
      </c>
      <c r="F148" t="s">
        <v>1937</v>
      </c>
      <c r="G148">
        <v>100</v>
      </c>
      <c r="H148">
        <v>656</v>
      </c>
      <c r="I148">
        <v>0.44999998807907099</v>
      </c>
      <c r="J148" t="s">
        <v>270</v>
      </c>
      <c r="K148" t="s">
        <v>273</v>
      </c>
      <c r="L148" s="67" t="str">
        <f>VLOOKUP($A148,MFMaster!$A$2:$C$300,2,FALSE)</f>
        <v>1-3 stories</v>
      </c>
      <c r="M148" s="67">
        <f>VLOOKUP($A148,MFMaster!$A$2:$CG$232,85,FALSE)</f>
        <v>943.08038330078102</v>
      </c>
      <c r="P148"/>
      <c r="Q148"/>
    </row>
    <row r="149" spans="1:17">
      <c r="A149">
        <v>21505</v>
      </c>
      <c r="B149" t="s">
        <v>1938</v>
      </c>
      <c r="C149">
        <v>1</v>
      </c>
      <c r="D149" t="s">
        <v>257</v>
      </c>
      <c r="E149" t="s">
        <v>184</v>
      </c>
      <c r="F149"/>
      <c r="G149">
        <v>50</v>
      </c>
      <c r="H149">
        <v>1400</v>
      </c>
      <c r="I149">
        <v>1.1000000238418599</v>
      </c>
      <c r="J149" t="s">
        <v>270</v>
      </c>
      <c r="K149" t="s">
        <v>270</v>
      </c>
      <c r="L149" s="67" t="str">
        <f>VLOOKUP($A149,MFMaster!$A$2:$C$300,2,FALSE)</f>
        <v>1-3 stories</v>
      </c>
      <c r="M149" s="67">
        <f>VLOOKUP($A149,MFMaster!$A$2:$CG$232,85,FALSE)</f>
        <v>628.72027587890602</v>
      </c>
      <c r="P149"/>
      <c r="Q149"/>
    </row>
    <row r="150" spans="1:17">
      <c r="A150">
        <v>21564</v>
      </c>
      <c r="B150" t="s">
        <v>1935</v>
      </c>
      <c r="C150">
        <v>1</v>
      </c>
      <c r="D150" t="s">
        <v>257</v>
      </c>
      <c r="E150" t="s">
        <v>177</v>
      </c>
      <c r="F150" t="s">
        <v>1939</v>
      </c>
      <c r="G150">
        <v>99</v>
      </c>
      <c r="H150">
        <v>1973</v>
      </c>
      <c r="I150">
        <v>0.75</v>
      </c>
      <c r="J150" t="s">
        <v>270</v>
      </c>
      <c r="K150" t="s">
        <v>273</v>
      </c>
      <c r="L150" s="67" t="str">
        <f>VLOOKUP($A150,MFMaster!$A$2:$C$300,2,FALSE)</f>
        <v>1-3 stories</v>
      </c>
      <c r="M150" s="67">
        <f>VLOOKUP($A150,MFMaster!$A$2:$CG$232,85,FALSE)</f>
        <v>328.02795410156301</v>
      </c>
      <c r="P150"/>
      <c r="Q150"/>
    </row>
    <row r="151" spans="1:17">
      <c r="A151">
        <v>21564</v>
      </c>
      <c r="B151" t="s">
        <v>1940</v>
      </c>
      <c r="C151">
        <v>2</v>
      </c>
      <c r="D151" t="s">
        <v>257</v>
      </c>
      <c r="E151" t="s">
        <v>184</v>
      </c>
      <c r="F151"/>
      <c r="G151">
        <v>100</v>
      </c>
      <c r="H151">
        <v>64</v>
      </c>
      <c r="I151">
        <v>1.1000000238418599</v>
      </c>
      <c r="J151" t="s">
        <v>270</v>
      </c>
      <c r="K151" t="s">
        <v>270</v>
      </c>
      <c r="L151" s="67" t="str">
        <f>VLOOKUP($A151,MFMaster!$A$2:$C$300,2,FALSE)</f>
        <v>1-3 stories</v>
      </c>
      <c r="M151" s="67">
        <f>VLOOKUP($A151,MFMaster!$A$2:$CG$232,85,FALSE)</f>
        <v>328.02795410156301</v>
      </c>
      <c r="P151"/>
      <c r="Q151"/>
    </row>
    <row r="152" spans="1:17">
      <c r="A152">
        <v>21576</v>
      </c>
      <c r="B152" t="s">
        <v>1938</v>
      </c>
      <c r="C152">
        <v>1</v>
      </c>
      <c r="D152" t="s">
        <v>257</v>
      </c>
      <c r="E152" t="s">
        <v>184</v>
      </c>
      <c r="F152"/>
      <c r="G152">
        <v>100</v>
      </c>
      <c r="H152">
        <v>2688</v>
      </c>
      <c r="I152">
        <v>1.1000000238418599</v>
      </c>
      <c r="J152" t="s">
        <v>270</v>
      </c>
      <c r="K152" t="s">
        <v>270</v>
      </c>
      <c r="L152" s="67" t="str">
        <f>VLOOKUP($A152,MFMaster!$A$2:$C$300,2,FALSE)</f>
        <v>1-3 stories</v>
      </c>
      <c r="M152" s="67">
        <f>VLOOKUP($A152,MFMaster!$A$2:$CG$232,85,FALSE)</f>
        <v>314.36013793945301</v>
      </c>
      <c r="P152"/>
      <c r="Q152"/>
    </row>
    <row r="153" spans="1:17">
      <c r="A153">
        <v>21576</v>
      </c>
      <c r="B153" t="s">
        <v>1935</v>
      </c>
      <c r="C153">
        <v>2</v>
      </c>
      <c r="D153"/>
      <c r="E153"/>
      <c r="F153"/>
      <c r="G153"/>
      <c r="H153">
        <v>180</v>
      </c>
      <c r="I153"/>
      <c r="J153" t="s">
        <v>270</v>
      </c>
      <c r="K153" t="s">
        <v>270</v>
      </c>
      <c r="L153" s="67" t="str">
        <f>VLOOKUP($A153,MFMaster!$A$2:$C$300,2,FALSE)</f>
        <v>1-3 stories</v>
      </c>
      <c r="M153" s="67">
        <f>VLOOKUP($A153,MFMaster!$A$2:$CG$232,85,FALSE)</f>
        <v>314.36013793945301</v>
      </c>
      <c r="P153"/>
      <c r="Q153"/>
    </row>
    <row r="154" spans="1:17">
      <c r="A154">
        <v>21627</v>
      </c>
      <c r="B154" t="s">
        <v>1935</v>
      </c>
      <c r="C154">
        <v>1</v>
      </c>
      <c r="D154" t="s">
        <v>1936</v>
      </c>
      <c r="E154" t="s">
        <v>177</v>
      </c>
      <c r="F154" t="s">
        <v>1939</v>
      </c>
      <c r="G154">
        <v>50</v>
      </c>
      <c r="H154">
        <v>1992</v>
      </c>
      <c r="I154">
        <v>0.60000002384185802</v>
      </c>
      <c r="J154" t="s">
        <v>270</v>
      </c>
      <c r="K154" t="s">
        <v>270</v>
      </c>
      <c r="L154" s="67" t="str">
        <f>VLOOKUP($A154,MFMaster!$A$2:$C$300,2,FALSE)</f>
        <v>1-3 stories</v>
      </c>
      <c r="M154" s="67" t="str">
        <f>VLOOKUP($A154,MFMaster!$A$2:$CG$232,85,FALSE)</f>
        <v/>
      </c>
      <c r="P154"/>
      <c r="Q154"/>
    </row>
    <row r="155" spans="1:17">
      <c r="A155">
        <v>21642</v>
      </c>
      <c r="B155" t="s">
        <v>1938</v>
      </c>
      <c r="C155">
        <v>1</v>
      </c>
      <c r="D155" t="s">
        <v>1936</v>
      </c>
      <c r="E155" t="s">
        <v>177</v>
      </c>
      <c r="F155" t="s">
        <v>1939</v>
      </c>
      <c r="G155">
        <v>22</v>
      </c>
      <c r="H155">
        <v>724</v>
      </c>
      <c r="I155">
        <v>0.55000001192092896</v>
      </c>
      <c r="J155" t="s">
        <v>270</v>
      </c>
      <c r="K155" t="s">
        <v>273</v>
      </c>
      <c r="L155" s="67" t="str">
        <f>VLOOKUP($A155,MFMaster!$A$2:$C$300,2,FALSE)</f>
        <v>1-3 stories</v>
      </c>
      <c r="M155" s="67">
        <f>VLOOKUP($A155,MFMaster!$A$2:$CG$232,85,FALSE)</f>
        <v>943.08038330078102</v>
      </c>
      <c r="P155"/>
      <c r="Q155"/>
    </row>
    <row r="156" spans="1:17">
      <c r="A156">
        <v>21691</v>
      </c>
      <c r="B156" t="s">
        <v>1935</v>
      </c>
      <c r="C156">
        <v>1</v>
      </c>
      <c r="D156" t="s">
        <v>1936</v>
      </c>
      <c r="E156" t="s">
        <v>177</v>
      </c>
      <c r="F156" t="s">
        <v>1937</v>
      </c>
      <c r="G156">
        <v>75</v>
      </c>
      <c r="H156">
        <v>200</v>
      </c>
      <c r="I156">
        <v>0.44999998807907099</v>
      </c>
      <c r="J156" t="s">
        <v>270</v>
      </c>
      <c r="K156" t="s">
        <v>273</v>
      </c>
      <c r="L156" s="67" t="str">
        <f>VLOOKUP($A156,MFMaster!$A$2:$C$300,2,FALSE)</f>
        <v>1-3 stories</v>
      </c>
      <c r="M156" s="67">
        <f>VLOOKUP($A156,MFMaster!$A$2:$CG$232,85,FALSE)</f>
        <v>943.08038330078102</v>
      </c>
      <c r="P156"/>
      <c r="Q156"/>
    </row>
    <row r="157" spans="1:17">
      <c r="A157">
        <v>21691</v>
      </c>
      <c r="B157" t="s">
        <v>1940</v>
      </c>
      <c r="C157">
        <v>2</v>
      </c>
      <c r="D157" t="s">
        <v>1936</v>
      </c>
      <c r="E157" t="s">
        <v>177</v>
      </c>
      <c r="F157" t="s">
        <v>1939</v>
      </c>
      <c r="G157">
        <v>100</v>
      </c>
      <c r="H157">
        <v>15</v>
      </c>
      <c r="I157">
        <v>0.55000001192092896</v>
      </c>
      <c r="J157" t="s">
        <v>270</v>
      </c>
      <c r="K157" t="s">
        <v>273</v>
      </c>
      <c r="L157" s="67" t="str">
        <f>VLOOKUP($A157,MFMaster!$A$2:$C$300,2,FALSE)</f>
        <v>1-3 stories</v>
      </c>
      <c r="M157" s="67">
        <f>VLOOKUP($A157,MFMaster!$A$2:$CG$232,85,FALSE)</f>
        <v>943.08038330078102</v>
      </c>
      <c r="P157"/>
      <c r="Q157"/>
    </row>
    <row r="158" spans="1:17">
      <c r="A158">
        <v>21757</v>
      </c>
      <c r="B158" t="s">
        <v>1938</v>
      </c>
      <c r="C158">
        <v>1</v>
      </c>
      <c r="D158" t="s">
        <v>1936</v>
      </c>
      <c r="E158" t="s">
        <v>177</v>
      </c>
      <c r="F158" t="s">
        <v>1937</v>
      </c>
      <c r="G158">
        <v>100</v>
      </c>
      <c r="H158">
        <v>672</v>
      </c>
      <c r="I158">
        <v>0.44999998807907099</v>
      </c>
      <c r="J158" t="s">
        <v>270</v>
      </c>
      <c r="K158" t="s">
        <v>273</v>
      </c>
      <c r="L158" s="67" t="str">
        <f>VLOOKUP($A158,MFMaster!$A$2:$C$300,2,FALSE)</f>
        <v>1-3 stories</v>
      </c>
      <c r="M158" s="67">
        <f>VLOOKUP($A158,MFMaster!$A$2:$CG$232,85,FALSE)</f>
        <v>1257.44055175781</v>
      </c>
      <c r="P158"/>
      <c r="Q158"/>
    </row>
    <row r="159" spans="1:17">
      <c r="A159">
        <v>21839</v>
      </c>
      <c r="B159" t="s">
        <v>1938</v>
      </c>
      <c r="C159">
        <v>1</v>
      </c>
      <c r="D159" t="s">
        <v>1936</v>
      </c>
      <c r="E159" t="s">
        <v>177</v>
      </c>
      <c r="F159" t="s">
        <v>1937</v>
      </c>
      <c r="G159">
        <v>100</v>
      </c>
      <c r="H159">
        <v>2424</v>
      </c>
      <c r="I159">
        <v>0.44999998807907099</v>
      </c>
      <c r="J159" t="s">
        <v>270</v>
      </c>
      <c r="K159" t="s">
        <v>273</v>
      </c>
      <c r="L159" s="67" t="str">
        <f>VLOOKUP($A159,MFMaster!$A$2:$C$300,2,FALSE)</f>
        <v>4-6 stories</v>
      </c>
      <c r="M159" s="67" t="str">
        <f>VLOOKUP($A159,MFMaster!$A$2:$CG$232,85,FALSE)</f>
        <v/>
      </c>
      <c r="P159"/>
      <c r="Q159"/>
    </row>
    <row r="160" spans="1:17">
      <c r="A160">
        <v>21844</v>
      </c>
      <c r="B160" t="s">
        <v>1935</v>
      </c>
      <c r="C160">
        <v>1</v>
      </c>
      <c r="D160" t="s">
        <v>1936</v>
      </c>
      <c r="E160" t="s">
        <v>177</v>
      </c>
      <c r="F160" t="s">
        <v>1939</v>
      </c>
      <c r="G160">
        <v>100</v>
      </c>
      <c r="H160">
        <v>885</v>
      </c>
      <c r="I160">
        <v>0.55000001192092896</v>
      </c>
      <c r="J160" t="s">
        <v>270</v>
      </c>
      <c r="K160" t="s">
        <v>273</v>
      </c>
      <c r="L160" s="67" t="str">
        <f>VLOOKUP($A160,MFMaster!$A$2:$C$300,2,FALSE)</f>
        <v>1-3 stories</v>
      </c>
      <c r="M160" s="67">
        <f>VLOOKUP($A160,MFMaster!$A$2:$CG$232,85,FALSE)</f>
        <v>628.72027587890602</v>
      </c>
      <c r="P160"/>
      <c r="Q160"/>
    </row>
    <row r="161" spans="1:17">
      <c r="A161">
        <v>21844</v>
      </c>
      <c r="B161" t="s">
        <v>1940</v>
      </c>
      <c r="C161">
        <v>2</v>
      </c>
      <c r="D161" t="s">
        <v>1936</v>
      </c>
      <c r="E161" t="s">
        <v>177</v>
      </c>
      <c r="F161" t="s">
        <v>1939</v>
      </c>
      <c r="G161">
        <v>0</v>
      </c>
      <c r="H161">
        <v>132</v>
      </c>
      <c r="I161">
        <v>0.55000001192092896</v>
      </c>
      <c r="J161" t="s">
        <v>270</v>
      </c>
      <c r="K161" t="s">
        <v>273</v>
      </c>
      <c r="L161" s="67" t="str">
        <f>VLOOKUP($A161,MFMaster!$A$2:$C$300,2,FALSE)</f>
        <v>1-3 stories</v>
      </c>
      <c r="M161" s="67">
        <f>VLOOKUP($A161,MFMaster!$A$2:$CG$232,85,FALSE)</f>
        <v>628.72027587890602</v>
      </c>
      <c r="P161"/>
      <c r="Q161"/>
    </row>
    <row r="162" spans="1:17">
      <c r="A162">
        <v>21910</v>
      </c>
      <c r="B162" t="s">
        <v>1935</v>
      </c>
      <c r="C162">
        <v>1</v>
      </c>
      <c r="D162" t="s">
        <v>1936</v>
      </c>
      <c r="E162" t="s">
        <v>177</v>
      </c>
      <c r="F162" t="s">
        <v>1937</v>
      </c>
      <c r="G162">
        <v>50</v>
      </c>
      <c r="H162">
        <v>1008</v>
      </c>
      <c r="I162">
        <v>0.44999998807907099</v>
      </c>
      <c r="J162" t="s">
        <v>270</v>
      </c>
      <c r="K162" t="s">
        <v>273</v>
      </c>
      <c r="L162" s="67" t="str">
        <f>VLOOKUP($A162,MFMaster!$A$2:$C$300,2,FALSE)</f>
        <v>1-3 stories</v>
      </c>
      <c r="M162" s="67">
        <f>VLOOKUP($A162,MFMaster!$A$2:$CG$232,85,FALSE)</f>
        <v>184.01568603515599</v>
      </c>
      <c r="P162"/>
      <c r="Q162"/>
    </row>
    <row r="163" spans="1:17">
      <c r="A163">
        <v>21910</v>
      </c>
      <c r="B163" t="s">
        <v>1940</v>
      </c>
      <c r="C163">
        <v>2</v>
      </c>
      <c r="D163" t="s">
        <v>1936</v>
      </c>
      <c r="E163" t="s">
        <v>177</v>
      </c>
      <c r="F163" t="s">
        <v>1937</v>
      </c>
      <c r="G163">
        <v>50</v>
      </c>
      <c r="H163">
        <v>1008</v>
      </c>
      <c r="I163">
        <v>0.44999998807907099</v>
      </c>
      <c r="J163" t="s">
        <v>270</v>
      </c>
      <c r="K163" t="s">
        <v>273</v>
      </c>
      <c r="L163" s="67" t="str">
        <f>VLOOKUP($A163,MFMaster!$A$2:$C$300,2,FALSE)</f>
        <v>1-3 stories</v>
      </c>
      <c r="M163" s="67">
        <f>VLOOKUP($A163,MFMaster!$A$2:$CG$232,85,FALSE)</f>
        <v>184.01568603515599</v>
      </c>
      <c r="P163"/>
      <c r="Q163"/>
    </row>
    <row r="164" spans="1:17">
      <c r="A164">
        <v>21952</v>
      </c>
      <c r="B164" t="s">
        <v>1938</v>
      </c>
      <c r="C164">
        <v>1</v>
      </c>
      <c r="D164" t="s">
        <v>257</v>
      </c>
      <c r="E164" t="s">
        <v>184</v>
      </c>
      <c r="F164"/>
      <c r="G164">
        <v>100</v>
      </c>
      <c r="H164">
        <v>1626</v>
      </c>
      <c r="I164">
        <v>0.94999998807907104</v>
      </c>
      <c r="J164" t="s">
        <v>270</v>
      </c>
      <c r="K164" t="s">
        <v>273</v>
      </c>
      <c r="L164" s="67" t="str">
        <f>VLOOKUP($A164,MFMaster!$A$2:$C$300,2,FALSE)</f>
        <v>1-3 stories</v>
      </c>
      <c r="M164" s="67">
        <f>VLOOKUP($A164,MFMaster!$A$2:$CG$232,85,FALSE)</f>
        <v>419.14685058593801</v>
      </c>
      <c r="P164"/>
      <c r="Q164"/>
    </row>
    <row r="165" spans="1:17">
      <c r="A165">
        <v>21985</v>
      </c>
      <c r="B165" t="s">
        <v>1938</v>
      </c>
      <c r="C165">
        <v>1</v>
      </c>
      <c r="D165" t="s">
        <v>1936</v>
      </c>
      <c r="E165" t="s">
        <v>177</v>
      </c>
      <c r="F165" t="s">
        <v>1939</v>
      </c>
      <c r="G165">
        <v>0</v>
      </c>
      <c r="H165">
        <v>33</v>
      </c>
      <c r="I165">
        <v>0.55000001192092896</v>
      </c>
      <c r="J165" t="s">
        <v>270</v>
      </c>
      <c r="K165" t="s">
        <v>273</v>
      </c>
      <c r="L165" s="67" t="str">
        <f>VLOOKUP($A165,MFMaster!$A$2:$C$300,2,FALSE)</f>
        <v>1-3 stories</v>
      </c>
      <c r="M165" s="67">
        <f>VLOOKUP($A165,MFMaster!$A$2:$CG$232,85,FALSE)</f>
        <v>754.46429443359398</v>
      </c>
      <c r="P165"/>
      <c r="Q165"/>
    </row>
    <row r="166" spans="1:17">
      <c r="A166">
        <v>21985</v>
      </c>
      <c r="B166" t="s">
        <v>1935</v>
      </c>
      <c r="C166">
        <v>2</v>
      </c>
      <c r="D166" t="s">
        <v>1936</v>
      </c>
      <c r="E166" t="s">
        <v>177</v>
      </c>
      <c r="F166" t="s">
        <v>1939</v>
      </c>
      <c r="G166">
        <v>97</v>
      </c>
      <c r="H166">
        <v>1032</v>
      </c>
      <c r="I166">
        <v>0.55000001192092896</v>
      </c>
      <c r="J166" t="s">
        <v>270</v>
      </c>
      <c r="K166" t="s">
        <v>273</v>
      </c>
      <c r="L166" s="67" t="str">
        <f>VLOOKUP($A166,MFMaster!$A$2:$C$300,2,FALSE)</f>
        <v>1-3 stories</v>
      </c>
      <c r="M166" s="67">
        <f>VLOOKUP($A166,MFMaster!$A$2:$CG$232,85,FALSE)</f>
        <v>754.46429443359398</v>
      </c>
      <c r="P166"/>
      <c r="Q166"/>
    </row>
    <row r="167" spans="1:17">
      <c r="A167">
        <v>21998</v>
      </c>
      <c r="B167" t="s">
        <v>1941</v>
      </c>
      <c r="C167">
        <v>1</v>
      </c>
      <c r="D167" t="s">
        <v>1936</v>
      </c>
      <c r="E167" t="s">
        <v>177</v>
      </c>
      <c r="F167" t="s">
        <v>1939</v>
      </c>
      <c r="G167">
        <v>75</v>
      </c>
      <c r="H167">
        <v>549</v>
      </c>
      <c r="I167">
        <v>0.55000001192092896</v>
      </c>
      <c r="J167" t="s">
        <v>270</v>
      </c>
      <c r="K167" t="s">
        <v>273</v>
      </c>
      <c r="L167" s="67" t="str">
        <f>VLOOKUP($A167,MFMaster!$A$2:$C$300,2,FALSE)</f>
        <v>1-3 stories</v>
      </c>
      <c r="M167" s="67" t="str">
        <f>VLOOKUP($A167,MFMaster!$A$2:$CG$232,85,FALSE)</f>
        <v/>
      </c>
      <c r="P167"/>
      <c r="Q167"/>
    </row>
    <row r="168" spans="1:17">
      <c r="A168">
        <v>22058</v>
      </c>
      <c r="B168" t="s">
        <v>1938</v>
      </c>
      <c r="C168">
        <v>1</v>
      </c>
      <c r="D168" t="s">
        <v>1936</v>
      </c>
      <c r="E168" t="s">
        <v>177</v>
      </c>
      <c r="F168" t="s">
        <v>1937</v>
      </c>
      <c r="G168">
        <v>88</v>
      </c>
      <c r="H168">
        <v>2143</v>
      </c>
      <c r="I168">
        <v>0.55000001192092896</v>
      </c>
      <c r="J168" t="s">
        <v>270</v>
      </c>
      <c r="K168" t="s">
        <v>270</v>
      </c>
      <c r="L168" s="67" t="str">
        <f>VLOOKUP($A168,MFMaster!$A$2:$C$300,2,FALSE)</f>
        <v>1-3 stories</v>
      </c>
      <c r="M168" s="67">
        <f>VLOOKUP($A168,MFMaster!$A$2:$CG$232,85,FALSE)</f>
        <v>251.48811340332</v>
      </c>
      <c r="P168"/>
      <c r="Q168"/>
    </row>
    <row r="169" spans="1:17">
      <c r="A169">
        <v>22058</v>
      </c>
      <c r="B169" t="s">
        <v>1935</v>
      </c>
      <c r="C169">
        <v>2</v>
      </c>
      <c r="D169" t="s">
        <v>1936</v>
      </c>
      <c r="E169" t="s">
        <v>177</v>
      </c>
      <c r="F169" t="s">
        <v>1937</v>
      </c>
      <c r="G169">
        <v>100</v>
      </c>
      <c r="H169">
        <v>640</v>
      </c>
      <c r="I169">
        <v>0.55000001192092896</v>
      </c>
      <c r="J169" t="s">
        <v>270</v>
      </c>
      <c r="K169" t="s">
        <v>270</v>
      </c>
      <c r="L169" s="67" t="str">
        <f>VLOOKUP($A169,MFMaster!$A$2:$C$300,2,FALSE)</f>
        <v>1-3 stories</v>
      </c>
      <c r="M169" s="67">
        <f>VLOOKUP($A169,MFMaster!$A$2:$CG$232,85,FALSE)</f>
        <v>251.48811340332</v>
      </c>
      <c r="P169"/>
      <c r="Q169"/>
    </row>
    <row r="170" spans="1:17">
      <c r="A170">
        <v>22106</v>
      </c>
      <c r="B170" t="s">
        <v>1938</v>
      </c>
      <c r="C170">
        <v>1</v>
      </c>
      <c r="D170" t="s">
        <v>1936</v>
      </c>
      <c r="E170" t="s">
        <v>177</v>
      </c>
      <c r="F170" t="s">
        <v>1937</v>
      </c>
      <c r="G170">
        <v>100</v>
      </c>
      <c r="H170">
        <v>1620</v>
      </c>
      <c r="I170">
        <v>0.44999998807907099</v>
      </c>
      <c r="J170" t="s">
        <v>270</v>
      </c>
      <c r="K170" t="s">
        <v>273</v>
      </c>
      <c r="L170" s="67" t="str">
        <f>VLOOKUP($A170,MFMaster!$A$2:$C$300,2,FALSE)</f>
        <v>1-3 stories</v>
      </c>
      <c r="M170" s="67">
        <f>VLOOKUP($A170,MFMaster!$A$2:$CG$232,85,FALSE)</f>
        <v>235.770095825195</v>
      </c>
      <c r="P170"/>
      <c r="Q170"/>
    </row>
    <row r="171" spans="1:17">
      <c r="A171">
        <v>22262</v>
      </c>
      <c r="B171" t="s">
        <v>1938</v>
      </c>
      <c r="C171">
        <v>1</v>
      </c>
      <c r="D171" t="s">
        <v>1936</v>
      </c>
      <c r="E171" t="s">
        <v>177</v>
      </c>
      <c r="F171" t="s">
        <v>1939</v>
      </c>
      <c r="G171">
        <v>9</v>
      </c>
      <c r="H171">
        <v>720</v>
      </c>
      <c r="I171">
        <v>0.60000002384185802</v>
      </c>
      <c r="J171" t="s">
        <v>270</v>
      </c>
      <c r="K171" t="s">
        <v>270</v>
      </c>
      <c r="L171" s="67" t="str">
        <f>VLOOKUP($A171,MFMaster!$A$2:$C$300,2,FALSE)</f>
        <v>1-3 stories</v>
      </c>
      <c r="M171" s="67">
        <f>VLOOKUP($A171,MFMaster!$A$2:$CG$232,85,FALSE)</f>
        <v>943.08038330078102</v>
      </c>
      <c r="P171"/>
      <c r="Q171"/>
    </row>
    <row r="172" spans="1:17">
      <c r="A172">
        <v>22262</v>
      </c>
      <c r="B172" t="s">
        <v>1935</v>
      </c>
      <c r="C172">
        <v>2</v>
      </c>
      <c r="D172" t="s">
        <v>257</v>
      </c>
      <c r="E172" t="s">
        <v>177</v>
      </c>
      <c r="F172" t="s">
        <v>1937</v>
      </c>
      <c r="G172">
        <v>40</v>
      </c>
      <c r="H172">
        <v>288</v>
      </c>
      <c r="I172">
        <v>0.80000001192092896</v>
      </c>
      <c r="J172" t="s">
        <v>270</v>
      </c>
      <c r="K172" t="s">
        <v>270</v>
      </c>
      <c r="L172" s="67" t="str">
        <f>VLOOKUP($A172,MFMaster!$A$2:$C$300,2,FALSE)</f>
        <v>1-3 stories</v>
      </c>
      <c r="M172" s="67">
        <f>VLOOKUP($A172,MFMaster!$A$2:$CG$232,85,FALSE)</f>
        <v>943.08038330078102</v>
      </c>
      <c r="P172"/>
      <c r="Q172"/>
    </row>
    <row r="173" spans="1:17">
      <c r="A173">
        <v>22371</v>
      </c>
      <c r="B173" t="s">
        <v>1938</v>
      </c>
      <c r="C173">
        <v>1</v>
      </c>
      <c r="D173" t="s">
        <v>1936</v>
      </c>
      <c r="E173" t="s">
        <v>177</v>
      </c>
      <c r="F173" t="s">
        <v>1939</v>
      </c>
      <c r="G173">
        <v>100</v>
      </c>
      <c r="H173">
        <v>630</v>
      </c>
      <c r="I173">
        <v>0.60000002384185802</v>
      </c>
      <c r="J173" t="s">
        <v>270</v>
      </c>
      <c r="K173" t="s">
        <v>270</v>
      </c>
      <c r="L173" s="67" t="str">
        <f>VLOOKUP($A173,MFMaster!$A$2:$C$300,2,FALSE)</f>
        <v>1-3 stories</v>
      </c>
      <c r="M173" s="67">
        <f>VLOOKUP($A173,MFMaster!$A$2:$CG$232,85,FALSE)</f>
        <v>1257.44055175781</v>
      </c>
      <c r="P173"/>
      <c r="Q173"/>
    </row>
    <row r="174" spans="1:17">
      <c r="A174">
        <v>22450</v>
      </c>
      <c r="B174" t="s">
        <v>1938</v>
      </c>
      <c r="C174">
        <v>1</v>
      </c>
      <c r="D174" t="s">
        <v>257</v>
      </c>
      <c r="E174" t="s">
        <v>177</v>
      </c>
      <c r="F174" t="s">
        <v>1939</v>
      </c>
      <c r="G174">
        <v>100</v>
      </c>
      <c r="H174">
        <v>1150</v>
      </c>
      <c r="I174">
        <v>0.85000002384185802</v>
      </c>
      <c r="J174" t="s">
        <v>270</v>
      </c>
      <c r="K174" t="s">
        <v>270</v>
      </c>
      <c r="L174" s="67" t="str">
        <f>VLOOKUP($A174,MFMaster!$A$2:$C$300,2,FALSE)</f>
        <v>1-3 stories</v>
      </c>
      <c r="M174" s="67">
        <f>VLOOKUP($A174,MFMaster!$A$2:$CG$232,85,FALSE)</f>
        <v>538.903076171875</v>
      </c>
      <c r="P174"/>
      <c r="Q174"/>
    </row>
    <row r="175" spans="1:17">
      <c r="A175">
        <v>22536</v>
      </c>
      <c r="B175" t="s">
        <v>1938</v>
      </c>
      <c r="C175">
        <v>1</v>
      </c>
      <c r="D175" t="s">
        <v>257</v>
      </c>
      <c r="E175" t="s">
        <v>184</v>
      </c>
      <c r="F175"/>
      <c r="G175">
        <v>99</v>
      </c>
      <c r="H175">
        <v>3279</v>
      </c>
      <c r="I175">
        <v>1.1000000238418599</v>
      </c>
      <c r="J175" t="s">
        <v>270</v>
      </c>
      <c r="K175" t="s">
        <v>270</v>
      </c>
      <c r="L175" s="67" t="str">
        <f>VLOOKUP($A175,MFMaster!$A$2:$C$300,2,FALSE)</f>
        <v>1-3 stories</v>
      </c>
      <c r="M175" s="67">
        <f>VLOOKUP($A175,MFMaster!$A$2:$CG$232,85,FALSE)</f>
        <v>100.59523773193401</v>
      </c>
      <c r="P175"/>
      <c r="Q175"/>
    </row>
    <row r="176" spans="1:17">
      <c r="A176">
        <v>22536</v>
      </c>
      <c r="B176" t="s">
        <v>1935</v>
      </c>
      <c r="C176">
        <v>2</v>
      </c>
      <c r="D176" t="s">
        <v>1936</v>
      </c>
      <c r="E176" t="s">
        <v>177</v>
      </c>
      <c r="F176" t="s">
        <v>1937</v>
      </c>
      <c r="G176">
        <v>99</v>
      </c>
      <c r="H176">
        <v>1232</v>
      </c>
      <c r="I176">
        <v>0.55000001192092896</v>
      </c>
      <c r="J176" t="s">
        <v>270</v>
      </c>
      <c r="K176" t="s">
        <v>270</v>
      </c>
      <c r="L176" s="67" t="str">
        <f>VLOOKUP($A176,MFMaster!$A$2:$C$300,2,FALSE)</f>
        <v>1-3 stories</v>
      </c>
      <c r="M176" s="67">
        <f>VLOOKUP($A176,MFMaster!$A$2:$CG$232,85,FALSE)</f>
        <v>100.59523773193401</v>
      </c>
      <c r="P176"/>
      <c r="Q176"/>
    </row>
    <row r="177" spans="1:17">
      <c r="A177">
        <v>22536</v>
      </c>
      <c r="B177" t="s">
        <v>1940</v>
      </c>
      <c r="C177">
        <v>3</v>
      </c>
      <c r="D177" t="s">
        <v>257</v>
      </c>
      <c r="E177" t="s">
        <v>184</v>
      </c>
      <c r="F177"/>
      <c r="G177">
        <v>100</v>
      </c>
      <c r="H177">
        <v>2100</v>
      </c>
      <c r="I177">
        <v>1.1000000238418599</v>
      </c>
      <c r="J177" t="s">
        <v>270</v>
      </c>
      <c r="K177" t="s">
        <v>270</v>
      </c>
      <c r="L177" s="67" t="str">
        <f>VLOOKUP($A177,MFMaster!$A$2:$C$300,2,FALSE)</f>
        <v>1-3 stories</v>
      </c>
      <c r="M177" s="67">
        <f>VLOOKUP($A177,MFMaster!$A$2:$CG$232,85,FALSE)</f>
        <v>100.59523773193401</v>
      </c>
      <c r="P177"/>
      <c r="Q177"/>
    </row>
    <row r="178" spans="1:17">
      <c r="A178">
        <v>22870</v>
      </c>
      <c r="B178" t="s">
        <v>1938</v>
      </c>
      <c r="C178">
        <v>1</v>
      </c>
      <c r="D178" t="s">
        <v>1936</v>
      </c>
      <c r="E178" t="s">
        <v>177</v>
      </c>
      <c r="F178" t="s">
        <v>1937</v>
      </c>
      <c r="G178">
        <v>100</v>
      </c>
      <c r="H178">
        <v>1228</v>
      </c>
      <c r="I178">
        <v>0.44999998807907099</v>
      </c>
      <c r="J178" t="s">
        <v>270</v>
      </c>
      <c r="K178" t="s">
        <v>273</v>
      </c>
      <c r="L178" s="67" t="str">
        <f>VLOOKUP($A178,MFMaster!$A$2:$C$300,2,FALSE)</f>
        <v>1-3 stories</v>
      </c>
      <c r="M178" s="67">
        <f>VLOOKUP($A178,MFMaster!$A$2:$CG$232,85,FALSE)</f>
        <v>471.54019165039102</v>
      </c>
      <c r="P178"/>
      <c r="Q178"/>
    </row>
    <row r="179" spans="1:17">
      <c r="A179">
        <v>22870</v>
      </c>
      <c r="B179" t="s">
        <v>1935</v>
      </c>
      <c r="C179">
        <v>2</v>
      </c>
      <c r="D179" t="s">
        <v>1936</v>
      </c>
      <c r="E179" t="s">
        <v>177</v>
      </c>
      <c r="F179" t="s">
        <v>1937</v>
      </c>
      <c r="G179">
        <v>100</v>
      </c>
      <c r="H179">
        <v>208</v>
      </c>
      <c r="I179">
        <v>0.44999998807907099</v>
      </c>
      <c r="J179" t="s">
        <v>270</v>
      </c>
      <c r="K179" t="s">
        <v>273</v>
      </c>
      <c r="L179" s="67" t="str">
        <f>VLOOKUP($A179,MFMaster!$A$2:$C$300,2,FALSE)</f>
        <v>1-3 stories</v>
      </c>
      <c r="M179" s="67">
        <f>VLOOKUP($A179,MFMaster!$A$2:$CG$232,85,FALSE)</f>
        <v>471.54019165039102</v>
      </c>
      <c r="P179"/>
      <c r="Q179"/>
    </row>
    <row r="180" spans="1:17">
      <c r="A180">
        <v>22870</v>
      </c>
      <c r="B180" t="s">
        <v>1940</v>
      </c>
      <c r="C180">
        <v>3</v>
      </c>
      <c r="D180" t="s">
        <v>257</v>
      </c>
      <c r="E180" t="s">
        <v>184</v>
      </c>
      <c r="F180"/>
      <c r="G180">
        <v>0</v>
      </c>
      <c r="H180">
        <v>60</v>
      </c>
      <c r="I180">
        <v>1.1000000238418599</v>
      </c>
      <c r="J180" t="s">
        <v>270</v>
      </c>
      <c r="K180" t="s">
        <v>270</v>
      </c>
      <c r="L180" s="67" t="str">
        <f>VLOOKUP($A180,MFMaster!$A$2:$C$300,2,FALSE)</f>
        <v>1-3 stories</v>
      </c>
      <c r="M180" s="67">
        <f>VLOOKUP($A180,MFMaster!$A$2:$CG$232,85,FALSE)</f>
        <v>471.54019165039102</v>
      </c>
      <c r="P180"/>
      <c r="Q180"/>
    </row>
    <row r="181" spans="1:17">
      <c r="A181">
        <v>22906</v>
      </c>
      <c r="B181" t="s">
        <v>1938</v>
      </c>
      <c r="C181">
        <v>1</v>
      </c>
      <c r="D181" t="s">
        <v>1936</v>
      </c>
      <c r="E181" t="s">
        <v>177</v>
      </c>
      <c r="F181" t="s">
        <v>1937</v>
      </c>
      <c r="G181">
        <v>100</v>
      </c>
      <c r="H181">
        <v>1279</v>
      </c>
      <c r="I181">
        <v>0.44999998807907099</v>
      </c>
      <c r="J181" t="s">
        <v>270</v>
      </c>
      <c r="K181" t="s">
        <v>273</v>
      </c>
      <c r="L181" s="67" t="str">
        <f>VLOOKUP($A181,MFMaster!$A$2:$C$300,2,FALSE)</f>
        <v>1-3 stories</v>
      </c>
      <c r="M181" s="67">
        <f>VLOOKUP($A181,MFMaster!$A$2:$CG$232,85,FALSE)</f>
        <v>628.72027587890602</v>
      </c>
      <c r="P181"/>
      <c r="Q181"/>
    </row>
    <row r="182" spans="1:17">
      <c r="A182">
        <v>23106</v>
      </c>
      <c r="B182" t="s">
        <v>1940</v>
      </c>
      <c r="C182">
        <v>1</v>
      </c>
      <c r="D182" t="s">
        <v>257</v>
      </c>
      <c r="E182" t="s">
        <v>177</v>
      </c>
      <c r="F182" t="s">
        <v>1939</v>
      </c>
      <c r="G182">
        <v>10</v>
      </c>
      <c r="H182">
        <v>12939</v>
      </c>
      <c r="I182">
        <v>0.75</v>
      </c>
      <c r="J182" t="s">
        <v>270</v>
      </c>
      <c r="K182" t="s">
        <v>273</v>
      </c>
      <c r="L182" s="67" t="str">
        <f>VLOOKUP($A182,MFMaster!$A$2:$C$300,2,FALSE)</f>
        <v>7+ stories</v>
      </c>
      <c r="M182" s="67" t="str">
        <f>VLOOKUP($A182,MFMaster!$A$2:$CG$232,85,FALSE)</f>
        <v/>
      </c>
      <c r="P182"/>
      <c r="Q182"/>
    </row>
    <row r="183" spans="1:17">
      <c r="A183">
        <v>23425</v>
      </c>
      <c r="B183" t="s">
        <v>1938</v>
      </c>
      <c r="C183">
        <v>1</v>
      </c>
      <c r="D183" t="s">
        <v>257</v>
      </c>
      <c r="E183" t="s">
        <v>184</v>
      </c>
      <c r="F183"/>
      <c r="G183">
        <v>100</v>
      </c>
      <c r="H183">
        <v>596</v>
      </c>
      <c r="I183">
        <v>1.1000000238418599</v>
      </c>
      <c r="J183" t="s">
        <v>270</v>
      </c>
      <c r="K183" t="s">
        <v>270</v>
      </c>
      <c r="L183" s="67" t="str">
        <f>VLOOKUP($A183,MFMaster!$A$2:$C$300,2,FALSE)</f>
        <v>1-3 stories</v>
      </c>
      <c r="M183" s="67">
        <f>VLOOKUP($A183,MFMaster!$A$2:$CG$232,85,FALSE)</f>
        <v>754.46429443359398</v>
      </c>
      <c r="P183"/>
      <c r="Q183"/>
    </row>
    <row r="184" spans="1:17">
      <c r="A184">
        <v>23531</v>
      </c>
      <c r="B184" t="s">
        <v>1938</v>
      </c>
      <c r="C184">
        <v>1</v>
      </c>
      <c r="D184" t="s">
        <v>1936</v>
      </c>
      <c r="E184" t="s">
        <v>177</v>
      </c>
      <c r="F184" t="s">
        <v>1937</v>
      </c>
      <c r="G184">
        <v>100</v>
      </c>
      <c r="H184">
        <v>774</v>
      </c>
      <c r="I184">
        <v>0.44999998807907099</v>
      </c>
      <c r="J184" t="s">
        <v>270</v>
      </c>
      <c r="K184" t="s">
        <v>273</v>
      </c>
      <c r="L184" s="67" t="str">
        <f>VLOOKUP($A184,MFMaster!$A$2:$C$300,2,FALSE)</f>
        <v>1-3 stories</v>
      </c>
      <c r="M184" s="67">
        <f>VLOOKUP($A184,MFMaster!$A$2:$CG$232,85,FALSE)</f>
        <v>419.14685058593801</v>
      </c>
      <c r="P184"/>
      <c r="Q184"/>
    </row>
    <row r="185" spans="1:17">
      <c r="A185">
        <v>23531</v>
      </c>
      <c r="B185" t="s">
        <v>1935</v>
      </c>
      <c r="C185">
        <v>2</v>
      </c>
      <c r="D185" t="s">
        <v>257</v>
      </c>
      <c r="E185" t="s">
        <v>177</v>
      </c>
      <c r="F185" t="s">
        <v>1937</v>
      </c>
      <c r="G185">
        <v>41</v>
      </c>
      <c r="H185">
        <v>540</v>
      </c>
      <c r="I185">
        <v>0.75</v>
      </c>
      <c r="J185" t="s">
        <v>270</v>
      </c>
      <c r="K185" t="s">
        <v>273</v>
      </c>
      <c r="L185" s="67" t="str">
        <f>VLOOKUP($A185,MFMaster!$A$2:$C$300,2,FALSE)</f>
        <v>1-3 stories</v>
      </c>
      <c r="M185" s="67">
        <f>VLOOKUP($A185,MFMaster!$A$2:$CG$232,85,FALSE)</f>
        <v>419.14685058593801</v>
      </c>
      <c r="P185"/>
      <c r="Q185"/>
    </row>
    <row r="186" spans="1:17">
      <c r="A186">
        <v>23623</v>
      </c>
      <c r="B186" t="s">
        <v>1938</v>
      </c>
      <c r="C186">
        <v>1</v>
      </c>
      <c r="D186" t="s">
        <v>257</v>
      </c>
      <c r="E186" t="s">
        <v>184</v>
      </c>
      <c r="F186"/>
      <c r="G186">
        <v>100</v>
      </c>
      <c r="H186">
        <v>576</v>
      </c>
      <c r="I186">
        <v>0.85000002384185802</v>
      </c>
      <c r="J186" t="s">
        <v>273</v>
      </c>
      <c r="K186" t="s">
        <v>270</v>
      </c>
      <c r="L186" s="67" t="str">
        <f>VLOOKUP($A186,MFMaster!$A$2:$C$300,2,FALSE)</f>
        <v>1-3 stories</v>
      </c>
      <c r="M186" s="67">
        <f>VLOOKUP($A186,MFMaster!$A$2:$CG$232,85,FALSE)</f>
        <v>314.36013793945301</v>
      </c>
      <c r="P186"/>
      <c r="Q186"/>
    </row>
    <row r="187" spans="1:17">
      <c r="A187">
        <v>23623</v>
      </c>
      <c r="B187" t="s">
        <v>1935</v>
      </c>
      <c r="C187">
        <v>2</v>
      </c>
      <c r="D187" t="s">
        <v>1936</v>
      </c>
      <c r="E187" t="s">
        <v>177</v>
      </c>
      <c r="F187" t="s">
        <v>1939</v>
      </c>
      <c r="G187">
        <v>43</v>
      </c>
      <c r="H187">
        <v>432</v>
      </c>
      <c r="I187">
        <v>0.55000001192092896</v>
      </c>
      <c r="J187" t="s">
        <v>270</v>
      </c>
      <c r="K187" t="s">
        <v>273</v>
      </c>
      <c r="L187" s="67" t="str">
        <f>VLOOKUP($A187,MFMaster!$A$2:$C$300,2,FALSE)</f>
        <v>1-3 stories</v>
      </c>
      <c r="M187" s="67">
        <f>VLOOKUP($A187,MFMaster!$A$2:$CG$232,85,FALSE)</f>
        <v>314.36013793945301</v>
      </c>
      <c r="P187"/>
      <c r="Q187"/>
    </row>
    <row r="188" spans="1:17">
      <c r="A188">
        <v>23681</v>
      </c>
      <c r="B188" t="s">
        <v>1938</v>
      </c>
      <c r="C188">
        <v>1</v>
      </c>
      <c r="D188" t="s">
        <v>1936</v>
      </c>
      <c r="E188" t="s">
        <v>177</v>
      </c>
      <c r="F188" t="s">
        <v>1937</v>
      </c>
      <c r="G188">
        <v>100</v>
      </c>
      <c r="H188">
        <v>1240</v>
      </c>
      <c r="I188">
        <v>0.44999998807907099</v>
      </c>
      <c r="J188" t="s">
        <v>270</v>
      </c>
      <c r="K188" t="s">
        <v>273</v>
      </c>
      <c r="L188" s="67" t="str">
        <f>VLOOKUP($A188,MFMaster!$A$2:$C$300,2,FALSE)</f>
        <v>1-3 stories</v>
      </c>
      <c r="M188" s="67">
        <f>VLOOKUP($A188,MFMaster!$A$2:$CG$232,85,FALSE)</f>
        <v>943.08038330078102</v>
      </c>
      <c r="P188"/>
      <c r="Q188"/>
    </row>
    <row r="189" spans="1:17">
      <c r="A189">
        <v>23681</v>
      </c>
      <c r="B189" t="s">
        <v>1935</v>
      </c>
      <c r="C189">
        <v>2</v>
      </c>
      <c r="D189" t="s">
        <v>1936</v>
      </c>
      <c r="E189" t="s">
        <v>177</v>
      </c>
      <c r="F189" t="s">
        <v>1937</v>
      </c>
      <c r="G189">
        <v>0</v>
      </c>
      <c r="H189">
        <v>80</v>
      </c>
      <c r="I189">
        <v>0.44999998807907099</v>
      </c>
      <c r="J189" t="s">
        <v>270</v>
      </c>
      <c r="K189" t="s">
        <v>273</v>
      </c>
      <c r="L189" s="67" t="str">
        <f>VLOOKUP($A189,MFMaster!$A$2:$C$300,2,FALSE)</f>
        <v>1-3 stories</v>
      </c>
      <c r="M189" s="67">
        <f>VLOOKUP($A189,MFMaster!$A$2:$CG$232,85,FALSE)</f>
        <v>943.08038330078102</v>
      </c>
      <c r="P189"/>
      <c r="Q189"/>
    </row>
    <row r="190" spans="1:17">
      <c r="A190">
        <v>23685</v>
      </c>
      <c r="B190" t="s">
        <v>1938</v>
      </c>
      <c r="C190">
        <v>1</v>
      </c>
      <c r="D190" t="s">
        <v>1936</v>
      </c>
      <c r="E190" t="s">
        <v>177</v>
      </c>
      <c r="F190" t="s">
        <v>1937</v>
      </c>
      <c r="G190">
        <v>100</v>
      </c>
      <c r="H190">
        <v>597</v>
      </c>
      <c r="I190">
        <v>0.44999998807907099</v>
      </c>
      <c r="J190" t="s">
        <v>270</v>
      </c>
      <c r="K190" t="s">
        <v>273</v>
      </c>
      <c r="L190" s="67" t="str">
        <f>VLOOKUP($A190,MFMaster!$A$2:$C$300,2,FALSE)</f>
        <v>1-3 stories</v>
      </c>
      <c r="M190" s="67">
        <f>VLOOKUP($A190,MFMaster!$A$2:$CG$232,85,FALSE)</f>
        <v>754.46429443359398</v>
      </c>
      <c r="P190"/>
      <c r="Q190"/>
    </row>
    <row r="191" spans="1:17">
      <c r="A191">
        <v>23685</v>
      </c>
      <c r="B191" t="s">
        <v>1935</v>
      </c>
      <c r="C191">
        <v>2</v>
      </c>
      <c r="D191" t="s">
        <v>257</v>
      </c>
      <c r="E191" t="s">
        <v>177</v>
      </c>
      <c r="F191" t="s">
        <v>1937</v>
      </c>
      <c r="G191">
        <v>100</v>
      </c>
      <c r="H191">
        <v>380</v>
      </c>
      <c r="I191">
        <v>0.75</v>
      </c>
      <c r="J191" t="s">
        <v>270</v>
      </c>
      <c r="K191" t="s">
        <v>273</v>
      </c>
      <c r="L191" s="67" t="str">
        <f>VLOOKUP($A191,MFMaster!$A$2:$C$300,2,FALSE)</f>
        <v>1-3 stories</v>
      </c>
      <c r="M191" s="67">
        <f>VLOOKUP($A191,MFMaster!$A$2:$CG$232,85,FALSE)</f>
        <v>754.46429443359398</v>
      </c>
      <c r="P191"/>
      <c r="Q191"/>
    </row>
    <row r="192" spans="1:17">
      <c r="A192">
        <v>23800</v>
      </c>
      <c r="B192" t="s">
        <v>1941</v>
      </c>
      <c r="C192">
        <v>1</v>
      </c>
      <c r="D192" t="s">
        <v>1936</v>
      </c>
      <c r="E192" t="s">
        <v>177</v>
      </c>
      <c r="F192" t="s">
        <v>1937</v>
      </c>
      <c r="G192">
        <v>50</v>
      </c>
      <c r="H192">
        <v>1413</v>
      </c>
      <c r="I192">
        <v>0.55000001192092896</v>
      </c>
      <c r="J192" t="s">
        <v>270</v>
      </c>
      <c r="K192" t="s">
        <v>270</v>
      </c>
      <c r="L192" s="67" t="str">
        <f>VLOOKUP($A192,MFMaster!$A$2:$C$300,2,FALSE)</f>
        <v>1-3 stories</v>
      </c>
      <c r="M192" s="67" t="str">
        <f>VLOOKUP($A192,MFMaster!$A$2:$CG$232,85,FALSE)</f>
        <v/>
      </c>
      <c r="P192"/>
      <c r="Q192"/>
    </row>
    <row r="193" spans="1:17">
      <c r="A193">
        <v>23899</v>
      </c>
      <c r="B193" t="s">
        <v>1935</v>
      </c>
      <c r="C193">
        <v>1</v>
      </c>
      <c r="D193" t="s">
        <v>1936</v>
      </c>
      <c r="E193" t="s">
        <v>177</v>
      </c>
      <c r="F193" t="s">
        <v>1937</v>
      </c>
      <c r="G193">
        <v>100</v>
      </c>
      <c r="H193">
        <v>2745</v>
      </c>
      <c r="I193">
        <v>0.44999998807907099</v>
      </c>
      <c r="J193" t="s">
        <v>270</v>
      </c>
      <c r="K193" t="s">
        <v>273</v>
      </c>
      <c r="L193" s="67" t="str">
        <f>VLOOKUP($A193,MFMaster!$A$2:$C$300,2,FALSE)</f>
        <v>1-3 stories</v>
      </c>
      <c r="M193" s="67">
        <f>VLOOKUP($A193,MFMaster!$A$2:$CG$232,85,FALSE)</f>
        <v>167.65873718261699</v>
      </c>
      <c r="P193"/>
      <c r="Q193"/>
    </row>
    <row r="194" spans="1:17">
      <c r="A194">
        <v>23899</v>
      </c>
      <c r="B194" t="s">
        <v>1940</v>
      </c>
      <c r="C194">
        <v>2</v>
      </c>
      <c r="D194" t="s">
        <v>1936</v>
      </c>
      <c r="E194" t="s">
        <v>177</v>
      </c>
      <c r="F194" t="s">
        <v>1937</v>
      </c>
      <c r="G194">
        <v>0</v>
      </c>
      <c r="H194">
        <v>280</v>
      </c>
      <c r="I194">
        <v>0.44999998807907099</v>
      </c>
      <c r="J194" t="s">
        <v>270</v>
      </c>
      <c r="K194" t="s">
        <v>273</v>
      </c>
      <c r="L194" s="67" t="str">
        <f>VLOOKUP($A194,MFMaster!$A$2:$C$300,2,FALSE)</f>
        <v>1-3 stories</v>
      </c>
      <c r="M194" s="67">
        <f>VLOOKUP($A194,MFMaster!$A$2:$CG$232,85,FALSE)</f>
        <v>167.65873718261699</v>
      </c>
      <c r="P194"/>
      <c r="Q194"/>
    </row>
    <row r="195" spans="1:17">
      <c r="A195">
        <v>23996</v>
      </c>
      <c r="B195" t="s">
        <v>1938</v>
      </c>
      <c r="C195">
        <v>1</v>
      </c>
      <c r="D195" t="s">
        <v>257</v>
      </c>
      <c r="E195" t="s">
        <v>177</v>
      </c>
      <c r="F195" t="s">
        <v>1939</v>
      </c>
      <c r="G195">
        <v>84</v>
      </c>
      <c r="H195">
        <v>9808</v>
      </c>
      <c r="I195">
        <v>0.75</v>
      </c>
      <c r="J195" t="s">
        <v>270</v>
      </c>
      <c r="K195" t="s">
        <v>273</v>
      </c>
      <c r="L195" s="67" t="str">
        <f>VLOOKUP($A195,MFMaster!$A$2:$C$300,2,FALSE)</f>
        <v>7+ stories</v>
      </c>
      <c r="M195" s="67" t="str">
        <f>VLOOKUP($A195,MFMaster!$A$2:$CG$232,85,FALSE)</f>
        <v/>
      </c>
      <c r="P195"/>
      <c r="Q195"/>
    </row>
    <row r="196" spans="1:17">
      <c r="A196">
        <v>23996</v>
      </c>
      <c r="B196" t="s">
        <v>1935</v>
      </c>
      <c r="C196">
        <v>2</v>
      </c>
      <c r="D196"/>
      <c r="E196"/>
      <c r="F196"/>
      <c r="G196">
        <v>100</v>
      </c>
      <c r="H196">
        <v>105</v>
      </c>
      <c r="I196"/>
      <c r="J196" t="s">
        <v>270</v>
      </c>
      <c r="K196"/>
      <c r="L196" s="67" t="str">
        <f>VLOOKUP($A196,MFMaster!$A$2:$C$300,2,FALSE)</f>
        <v>7+ stories</v>
      </c>
      <c r="M196" s="67" t="str">
        <f>VLOOKUP($A196,MFMaster!$A$2:$CG$232,85,FALSE)</f>
        <v/>
      </c>
      <c r="P196"/>
      <c r="Q196"/>
    </row>
    <row r="197" spans="1:17">
      <c r="A197">
        <v>24009</v>
      </c>
      <c r="B197" t="s">
        <v>1938</v>
      </c>
      <c r="C197">
        <v>1</v>
      </c>
      <c r="D197" t="s">
        <v>1936</v>
      </c>
      <c r="E197" t="s">
        <v>177</v>
      </c>
      <c r="F197" t="s">
        <v>1939</v>
      </c>
      <c r="G197">
        <v>100</v>
      </c>
      <c r="H197">
        <v>752</v>
      </c>
      <c r="I197">
        <v>0.55000001192092896</v>
      </c>
      <c r="J197" t="s">
        <v>270</v>
      </c>
      <c r="K197" t="s">
        <v>273</v>
      </c>
      <c r="L197" s="67" t="str">
        <f>VLOOKUP($A197,MFMaster!$A$2:$C$300,2,FALSE)</f>
        <v>1-3 stories</v>
      </c>
      <c r="M197" s="67" t="str">
        <f>VLOOKUP($A197,MFMaster!$A$2:$CG$232,85,FALSE)</f>
        <v/>
      </c>
      <c r="P197"/>
      <c r="Q197"/>
    </row>
    <row r="198" spans="1:17">
      <c r="A198">
        <v>24123</v>
      </c>
      <c r="B198" t="s">
        <v>1940</v>
      </c>
      <c r="C198">
        <v>1</v>
      </c>
      <c r="D198" t="s">
        <v>1936</v>
      </c>
      <c r="E198" t="s">
        <v>184</v>
      </c>
      <c r="F198"/>
      <c r="G198">
        <v>100</v>
      </c>
      <c r="H198">
        <v>286</v>
      </c>
      <c r="I198">
        <v>0.94999998807907104</v>
      </c>
      <c r="J198" t="s">
        <v>270</v>
      </c>
      <c r="K198" t="s">
        <v>270</v>
      </c>
      <c r="L198" s="67" t="str">
        <f>VLOOKUP($A198,MFMaster!$A$2:$C$300,2,FALSE)</f>
        <v>1-3 stories</v>
      </c>
      <c r="M198" s="67" t="str">
        <f>VLOOKUP($A198,MFMaster!$A$2:$CG$232,85,FALSE)</f>
        <v/>
      </c>
      <c r="P198"/>
      <c r="Q198"/>
    </row>
    <row r="199" spans="1:17">
      <c r="A199">
        <v>24123</v>
      </c>
      <c r="B199" t="s">
        <v>1941</v>
      </c>
      <c r="C199">
        <v>2</v>
      </c>
      <c r="D199" t="s">
        <v>1936</v>
      </c>
      <c r="E199" t="s">
        <v>184</v>
      </c>
      <c r="F199"/>
      <c r="G199">
        <v>0</v>
      </c>
      <c r="H199">
        <v>62</v>
      </c>
      <c r="I199">
        <v>0.75</v>
      </c>
      <c r="J199" t="s">
        <v>273</v>
      </c>
      <c r="K199" t="s">
        <v>270</v>
      </c>
      <c r="L199" s="67" t="str">
        <f>VLOOKUP($A199,MFMaster!$A$2:$C$300,2,FALSE)</f>
        <v>1-3 stories</v>
      </c>
      <c r="M199" s="67" t="str">
        <f>VLOOKUP($A199,MFMaster!$A$2:$CG$232,85,FALSE)</f>
        <v/>
      </c>
      <c r="P199"/>
      <c r="Q199"/>
    </row>
    <row r="200" spans="1:17">
      <c r="A200">
        <v>24123</v>
      </c>
      <c r="B200" t="s">
        <v>1942</v>
      </c>
      <c r="C200">
        <v>3</v>
      </c>
      <c r="D200" t="s">
        <v>1936</v>
      </c>
      <c r="E200" t="s">
        <v>177</v>
      </c>
      <c r="F200" t="s">
        <v>1937</v>
      </c>
      <c r="G200">
        <v>100</v>
      </c>
      <c r="H200">
        <v>10</v>
      </c>
      <c r="I200">
        <v>0.55000001192092896</v>
      </c>
      <c r="J200" t="s">
        <v>270</v>
      </c>
      <c r="K200" t="s">
        <v>270</v>
      </c>
      <c r="L200" s="67" t="str">
        <f>VLOOKUP($A200,MFMaster!$A$2:$C$300,2,FALSE)</f>
        <v>1-3 stories</v>
      </c>
      <c r="M200" s="67" t="str">
        <f>VLOOKUP($A200,MFMaster!$A$2:$CG$232,85,FALSE)</f>
        <v/>
      </c>
      <c r="P200"/>
      <c r="Q200"/>
    </row>
    <row r="201" spans="1:17">
      <c r="A201">
        <v>24139</v>
      </c>
      <c r="B201" t="s">
        <v>1938</v>
      </c>
      <c r="C201">
        <v>1</v>
      </c>
      <c r="D201" t="s">
        <v>257</v>
      </c>
      <c r="E201" t="s">
        <v>177</v>
      </c>
      <c r="F201" t="s">
        <v>1937</v>
      </c>
      <c r="G201">
        <v>100</v>
      </c>
      <c r="H201">
        <v>1152</v>
      </c>
      <c r="I201">
        <v>0.75</v>
      </c>
      <c r="J201" t="s">
        <v>270</v>
      </c>
      <c r="K201" t="s">
        <v>273</v>
      </c>
      <c r="L201" s="67" t="str">
        <f>VLOOKUP($A201,MFMaster!$A$2:$C$300,2,FALSE)</f>
        <v>1-3 stories</v>
      </c>
      <c r="M201" s="67">
        <f>VLOOKUP($A201,MFMaster!$A$2:$CG$232,85,FALSE)</f>
        <v>471.54019165039102</v>
      </c>
      <c r="P201"/>
      <c r="Q201"/>
    </row>
    <row r="202" spans="1:17">
      <c r="A202">
        <v>24637</v>
      </c>
      <c r="B202" t="s">
        <v>1938</v>
      </c>
      <c r="C202">
        <v>1</v>
      </c>
      <c r="D202" t="s">
        <v>257</v>
      </c>
      <c r="E202" t="s">
        <v>177</v>
      </c>
      <c r="F202" t="s">
        <v>1939</v>
      </c>
      <c r="G202">
        <v>100</v>
      </c>
      <c r="H202">
        <v>3313</v>
      </c>
      <c r="I202">
        <v>0.85000002384185802</v>
      </c>
      <c r="J202" t="s">
        <v>270</v>
      </c>
      <c r="K202" t="s">
        <v>270</v>
      </c>
      <c r="L202" s="67" t="str">
        <f>VLOOKUP($A202,MFMaster!$A$2:$C$300,2,FALSE)</f>
        <v>1-3 stories</v>
      </c>
      <c r="M202" s="67">
        <f>VLOOKUP($A202,MFMaster!$A$2:$CG$232,85,FALSE)</f>
        <v>209.57342529296901</v>
      </c>
      <c r="P202"/>
      <c r="Q202"/>
    </row>
    <row r="203" spans="1:17">
      <c r="A203">
        <v>24802</v>
      </c>
      <c r="B203" t="s">
        <v>1938</v>
      </c>
      <c r="C203">
        <v>1</v>
      </c>
      <c r="D203" t="s">
        <v>1936</v>
      </c>
      <c r="E203" t="s">
        <v>177</v>
      </c>
      <c r="F203" t="s">
        <v>1939</v>
      </c>
      <c r="G203">
        <v>100</v>
      </c>
      <c r="H203">
        <v>2300</v>
      </c>
      <c r="I203">
        <v>0.55000001192092896</v>
      </c>
      <c r="J203" t="s">
        <v>270</v>
      </c>
      <c r="K203" t="s">
        <v>273</v>
      </c>
      <c r="L203" s="67" t="str">
        <f>VLOOKUP($A203,MFMaster!$A$2:$C$300,2,FALSE)</f>
        <v>1-3 stories</v>
      </c>
      <c r="M203" s="67">
        <f>VLOOKUP($A203,MFMaster!$A$2:$CG$232,85,FALSE)</f>
        <v>314.36013793945301</v>
      </c>
      <c r="P203"/>
      <c r="Q203"/>
    </row>
    <row r="204" spans="1:17">
      <c r="A204">
        <v>29940</v>
      </c>
      <c r="B204" t="s">
        <v>1938</v>
      </c>
      <c r="C204">
        <v>1</v>
      </c>
      <c r="D204" t="s">
        <v>1936</v>
      </c>
      <c r="E204" t="s">
        <v>177</v>
      </c>
      <c r="F204" t="s">
        <v>1937</v>
      </c>
      <c r="G204">
        <v>52</v>
      </c>
      <c r="H204">
        <v>7854</v>
      </c>
      <c r="I204">
        <v>0.44999998807907099</v>
      </c>
      <c r="J204" t="s">
        <v>270</v>
      </c>
      <c r="K204" t="s">
        <v>273</v>
      </c>
      <c r="L204" s="67" t="str">
        <f>VLOOKUP($A204,MFMaster!$A$2:$C$300,2,FALSE)</f>
        <v>4-6 stories</v>
      </c>
      <c r="M204" s="67" t="str">
        <f>VLOOKUP($A204,MFMaster!$A$2:$CG$232,85,FALSE)</f>
        <v/>
      </c>
      <c r="P204"/>
      <c r="Q204"/>
    </row>
    <row r="205" spans="1:17">
      <c r="A205">
        <v>60022</v>
      </c>
      <c r="B205" t="s">
        <v>1938</v>
      </c>
      <c r="C205">
        <v>1</v>
      </c>
      <c r="D205" t="s">
        <v>1936</v>
      </c>
      <c r="E205" t="s">
        <v>177</v>
      </c>
      <c r="F205" t="s">
        <v>1937</v>
      </c>
      <c r="G205">
        <v>100</v>
      </c>
      <c r="H205">
        <v>636</v>
      </c>
      <c r="I205">
        <v>0.44999998807907099</v>
      </c>
      <c r="J205" t="s">
        <v>270</v>
      </c>
      <c r="K205" t="s">
        <v>273</v>
      </c>
      <c r="L205" s="67" t="str">
        <f>VLOOKUP($A205,MFMaster!$A$2:$C$300,2,FALSE)</f>
        <v>1-3 stories</v>
      </c>
      <c r="M205" s="67">
        <f>VLOOKUP($A205,MFMaster!$A$2:$CG$232,85,FALSE)</f>
        <v>600.53796386718795</v>
      </c>
      <c r="P205"/>
      <c r="Q205"/>
    </row>
    <row r="206" spans="1:17">
      <c r="A206">
        <v>60051</v>
      </c>
      <c r="B206" t="s">
        <v>1938</v>
      </c>
      <c r="C206">
        <v>1</v>
      </c>
      <c r="D206" t="s">
        <v>1936</v>
      </c>
      <c r="E206" t="s">
        <v>177</v>
      </c>
      <c r="F206" t="s">
        <v>1937</v>
      </c>
      <c r="G206">
        <v>86</v>
      </c>
      <c r="H206">
        <v>647</v>
      </c>
      <c r="I206">
        <v>0.44999998807907099</v>
      </c>
      <c r="J206" t="s">
        <v>270</v>
      </c>
      <c r="K206" t="s">
        <v>273</v>
      </c>
      <c r="L206" s="67" t="str">
        <f>VLOOKUP($A206,MFMaster!$A$2:$C$300,2,FALSE)</f>
        <v>1-3 stories</v>
      </c>
      <c r="M206" s="67">
        <f>VLOOKUP($A206,MFMaster!$A$2:$CG$232,85,FALSE)</f>
        <v>960.86071777343795</v>
      </c>
      <c r="P206"/>
      <c r="Q206"/>
    </row>
    <row r="207" spans="1:17">
      <c r="A207">
        <v>60051</v>
      </c>
      <c r="B207" t="s">
        <v>1935</v>
      </c>
      <c r="C207">
        <v>2</v>
      </c>
      <c r="D207" t="s">
        <v>257</v>
      </c>
      <c r="E207" t="s">
        <v>177</v>
      </c>
      <c r="F207" t="s">
        <v>1937</v>
      </c>
      <c r="G207">
        <v>100</v>
      </c>
      <c r="H207">
        <v>255</v>
      </c>
      <c r="I207">
        <v>0.75</v>
      </c>
      <c r="J207" t="s">
        <v>270</v>
      </c>
      <c r="K207" t="s">
        <v>273</v>
      </c>
      <c r="L207" s="67" t="str">
        <f>VLOOKUP($A207,MFMaster!$A$2:$C$300,2,FALSE)</f>
        <v>1-3 stories</v>
      </c>
      <c r="M207" s="67">
        <f>VLOOKUP($A207,MFMaster!$A$2:$CG$232,85,FALSE)</f>
        <v>960.86071777343795</v>
      </c>
      <c r="P207"/>
      <c r="Q207"/>
    </row>
    <row r="208" spans="1:17">
      <c r="A208">
        <v>60071</v>
      </c>
      <c r="B208" t="s">
        <v>1940</v>
      </c>
      <c r="C208">
        <v>1</v>
      </c>
      <c r="D208" t="s">
        <v>1936</v>
      </c>
      <c r="E208" t="s">
        <v>177</v>
      </c>
      <c r="F208" t="s">
        <v>1937</v>
      </c>
      <c r="G208">
        <v>97</v>
      </c>
      <c r="H208">
        <v>2802</v>
      </c>
      <c r="I208">
        <v>0.55000001192092896</v>
      </c>
      <c r="J208" t="s">
        <v>270</v>
      </c>
      <c r="K208" t="s">
        <v>270</v>
      </c>
      <c r="L208" s="67" t="str">
        <f>VLOOKUP($A208,MFMaster!$A$2:$C$300,2,FALSE)</f>
        <v>4-6 stories</v>
      </c>
      <c r="M208" s="67" t="str">
        <f>VLOOKUP($A208,MFMaster!$A$2:$CG$232,85,FALSE)</f>
        <v/>
      </c>
      <c r="P208"/>
      <c r="Q208"/>
    </row>
    <row r="209" spans="1:17">
      <c r="A209">
        <v>60071</v>
      </c>
      <c r="B209" t="s">
        <v>1941</v>
      </c>
      <c r="C209">
        <v>2</v>
      </c>
      <c r="D209" t="s">
        <v>1936</v>
      </c>
      <c r="E209" t="s">
        <v>177</v>
      </c>
      <c r="F209" t="s">
        <v>1937</v>
      </c>
      <c r="G209">
        <v>100</v>
      </c>
      <c r="H209">
        <v>442</v>
      </c>
      <c r="I209">
        <v>0.44999998807907099</v>
      </c>
      <c r="J209" t="s">
        <v>270</v>
      </c>
      <c r="K209" t="s">
        <v>273</v>
      </c>
      <c r="L209" s="67" t="str">
        <f>VLOOKUP($A209,MFMaster!$A$2:$C$300,2,FALSE)</f>
        <v>4-6 stories</v>
      </c>
      <c r="M209" s="67" t="str">
        <f>VLOOKUP($A209,MFMaster!$A$2:$CG$232,85,FALSE)</f>
        <v/>
      </c>
      <c r="P209"/>
      <c r="Q209"/>
    </row>
    <row r="210" spans="1:17">
      <c r="A210">
        <v>60099</v>
      </c>
      <c r="B210" t="s">
        <v>1938</v>
      </c>
      <c r="C210">
        <v>1</v>
      </c>
      <c r="D210" t="s">
        <v>257</v>
      </c>
      <c r="E210" t="s">
        <v>177</v>
      </c>
      <c r="F210" t="s">
        <v>1939</v>
      </c>
      <c r="G210">
        <v>100</v>
      </c>
      <c r="H210">
        <v>1036</v>
      </c>
      <c r="I210">
        <v>0.85000002384185802</v>
      </c>
      <c r="J210" t="s">
        <v>270</v>
      </c>
      <c r="K210" t="s">
        <v>270</v>
      </c>
      <c r="L210" s="67" t="str">
        <f>VLOOKUP($A210,MFMaster!$A$2:$C$300,2,FALSE)</f>
        <v>1-3 stories</v>
      </c>
      <c r="M210" s="67">
        <f>VLOOKUP($A210,MFMaster!$A$2:$CG$232,85,FALSE)</f>
        <v>300.26898193359398</v>
      </c>
      <c r="P210"/>
      <c r="Q210"/>
    </row>
    <row r="211" spans="1:17">
      <c r="A211">
        <v>71001</v>
      </c>
      <c r="B211" t="s">
        <v>1938</v>
      </c>
      <c r="C211">
        <v>1</v>
      </c>
      <c r="D211" t="s">
        <v>1936</v>
      </c>
      <c r="E211" t="s">
        <v>177</v>
      </c>
      <c r="F211" t="s">
        <v>1939</v>
      </c>
      <c r="G211">
        <v>100</v>
      </c>
      <c r="H211">
        <v>540</v>
      </c>
      <c r="I211">
        <v>0.55000001192092896</v>
      </c>
      <c r="J211" t="s">
        <v>270</v>
      </c>
      <c r="K211" t="s">
        <v>273</v>
      </c>
      <c r="L211" s="67" t="str">
        <f>VLOOKUP($A211,MFMaster!$A$2:$C$300,2,FALSE)</f>
        <v>1-3 stories</v>
      </c>
      <c r="M211" s="67">
        <f>VLOOKUP($A211,MFMaster!$A$2:$CG$232,85,FALSE)</f>
        <v>136.90428161621099</v>
      </c>
      <c r="P211"/>
      <c r="Q211"/>
    </row>
    <row r="212" spans="1:17">
      <c r="A212">
        <v>71001</v>
      </c>
      <c r="B212" t="s">
        <v>1935</v>
      </c>
      <c r="C212">
        <v>2</v>
      </c>
      <c r="D212" t="s">
        <v>257</v>
      </c>
      <c r="E212" t="s">
        <v>184</v>
      </c>
      <c r="F212"/>
      <c r="G212">
        <v>0</v>
      </c>
      <c r="H212">
        <v>9</v>
      </c>
      <c r="I212">
        <v>1.1000000238418599</v>
      </c>
      <c r="J212" t="s">
        <v>270</v>
      </c>
      <c r="K212" t="s">
        <v>270</v>
      </c>
      <c r="L212" s="67" t="str">
        <f>VLOOKUP($A212,MFMaster!$A$2:$C$300,2,FALSE)</f>
        <v>1-3 stories</v>
      </c>
      <c r="M212" s="67">
        <f>VLOOKUP($A212,MFMaster!$A$2:$CG$232,85,FALSE)</f>
        <v>136.90428161621099</v>
      </c>
      <c r="P212"/>
      <c r="Q212"/>
    </row>
    <row r="213" spans="1:17">
      <c r="A213">
        <v>71002</v>
      </c>
      <c r="B213" t="s">
        <v>1938</v>
      </c>
      <c r="C213">
        <v>1</v>
      </c>
      <c r="D213" t="s">
        <v>1936</v>
      </c>
      <c r="E213" t="s">
        <v>177</v>
      </c>
      <c r="F213" t="s">
        <v>1937</v>
      </c>
      <c r="G213">
        <v>100</v>
      </c>
      <c r="H213">
        <v>1366</v>
      </c>
      <c r="I213">
        <v>0.44999998807907099</v>
      </c>
      <c r="J213" t="s">
        <v>270</v>
      </c>
      <c r="K213" t="s">
        <v>273</v>
      </c>
      <c r="L213" s="67" t="str">
        <f>VLOOKUP($A213,MFMaster!$A$2:$C$300,2,FALSE)</f>
        <v>4-6 stories</v>
      </c>
      <c r="M213" s="67" t="str">
        <f>VLOOKUP($A213,MFMaster!$A$2:$CG$232,85,FALSE)</f>
        <v/>
      </c>
      <c r="P213"/>
      <c r="Q213"/>
    </row>
    <row r="214" spans="1:17">
      <c r="A214">
        <v>71002</v>
      </c>
      <c r="B214" t="s">
        <v>1935</v>
      </c>
      <c r="C214">
        <v>2</v>
      </c>
      <c r="D214" t="s">
        <v>1936</v>
      </c>
      <c r="E214" t="s">
        <v>177</v>
      </c>
      <c r="F214" t="s">
        <v>1939</v>
      </c>
      <c r="G214">
        <v>100</v>
      </c>
      <c r="H214">
        <v>14</v>
      </c>
      <c r="I214">
        <v>0.55000001192092896</v>
      </c>
      <c r="J214" t="s">
        <v>270</v>
      </c>
      <c r="K214" t="s">
        <v>273</v>
      </c>
      <c r="L214" s="67" t="str">
        <f>VLOOKUP($A214,MFMaster!$A$2:$C$300,2,FALSE)</f>
        <v>4-6 stories</v>
      </c>
      <c r="M214" s="67" t="str">
        <f>VLOOKUP($A214,MFMaster!$A$2:$CG$232,85,FALSE)</f>
        <v/>
      </c>
      <c r="P214"/>
      <c r="Q214"/>
    </row>
    <row r="215" spans="1:17">
      <c r="A215">
        <v>71002</v>
      </c>
      <c r="B215" t="s">
        <v>1940</v>
      </c>
      <c r="C215">
        <v>3</v>
      </c>
      <c r="D215" t="s">
        <v>1936</v>
      </c>
      <c r="E215" t="s">
        <v>177</v>
      </c>
      <c r="F215" t="s">
        <v>1937</v>
      </c>
      <c r="G215">
        <v>0</v>
      </c>
      <c r="H215">
        <v>13</v>
      </c>
      <c r="I215">
        <v>0.55000001192092896</v>
      </c>
      <c r="J215" t="s">
        <v>270</v>
      </c>
      <c r="K215" t="s">
        <v>270</v>
      </c>
      <c r="L215" s="67" t="str">
        <f>VLOOKUP($A215,MFMaster!$A$2:$C$300,2,FALSE)</f>
        <v>4-6 stories</v>
      </c>
      <c r="M215" s="67" t="str">
        <f>VLOOKUP($A215,MFMaster!$A$2:$CG$232,85,FALSE)</f>
        <v/>
      </c>
      <c r="P215"/>
      <c r="Q215"/>
    </row>
    <row r="216" spans="1:17">
      <c r="A216">
        <v>71003</v>
      </c>
      <c r="B216" t="s">
        <v>1938</v>
      </c>
      <c r="C216">
        <v>1</v>
      </c>
      <c r="D216" t="s">
        <v>257</v>
      </c>
      <c r="E216" t="s">
        <v>177</v>
      </c>
      <c r="F216" t="s">
        <v>1937</v>
      </c>
      <c r="G216">
        <v>100</v>
      </c>
      <c r="H216">
        <v>413</v>
      </c>
      <c r="I216">
        <v>0.80000001192092896</v>
      </c>
      <c r="J216" t="s">
        <v>270</v>
      </c>
      <c r="K216" t="s">
        <v>270</v>
      </c>
      <c r="L216" s="67" t="str">
        <f>VLOOKUP($A216,MFMaster!$A$2:$C$300,2,FALSE)</f>
        <v>1-3 stories</v>
      </c>
      <c r="M216" s="67">
        <f>VLOOKUP($A216,MFMaster!$A$2:$CG$232,85,FALSE)</f>
        <v>182.53904724121099</v>
      </c>
      <c r="P216"/>
      <c r="Q216"/>
    </row>
    <row r="217" spans="1:17">
      <c r="A217">
        <v>71003</v>
      </c>
      <c r="B217" t="s">
        <v>1935</v>
      </c>
      <c r="C217">
        <v>2</v>
      </c>
      <c r="D217" t="s">
        <v>1936</v>
      </c>
      <c r="E217" t="s">
        <v>177</v>
      </c>
      <c r="F217" t="s">
        <v>1937</v>
      </c>
      <c r="G217">
        <v>10</v>
      </c>
      <c r="H217">
        <v>24</v>
      </c>
      <c r="I217">
        <v>0.44999998807907099</v>
      </c>
      <c r="J217" t="s">
        <v>270</v>
      </c>
      <c r="K217" t="s">
        <v>273</v>
      </c>
      <c r="L217" s="67" t="str">
        <f>VLOOKUP($A217,MFMaster!$A$2:$C$300,2,FALSE)</f>
        <v>1-3 stories</v>
      </c>
      <c r="M217" s="67">
        <f>VLOOKUP($A217,MFMaster!$A$2:$CG$232,85,FALSE)</f>
        <v>182.53904724121099</v>
      </c>
      <c r="P217"/>
      <c r="Q217"/>
    </row>
    <row r="218" spans="1:17">
      <c r="A218">
        <v>71004</v>
      </c>
      <c r="B218" t="s">
        <v>1938</v>
      </c>
      <c r="C218">
        <v>1</v>
      </c>
      <c r="D218" t="s">
        <v>257</v>
      </c>
      <c r="E218" t="s">
        <v>177</v>
      </c>
      <c r="F218" t="s">
        <v>1939</v>
      </c>
      <c r="G218">
        <v>98</v>
      </c>
      <c r="H218">
        <v>790</v>
      </c>
      <c r="I218">
        <v>0.85000002384185802</v>
      </c>
      <c r="J218" t="s">
        <v>270</v>
      </c>
      <c r="K218" t="s">
        <v>270</v>
      </c>
      <c r="L218" s="67" t="str">
        <f>VLOOKUP($A218,MFMaster!$A$2:$C$300,2,FALSE)</f>
        <v>1-3 stories</v>
      </c>
      <c r="M218" s="67">
        <f>VLOOKUP($A218,MFMaster!$A$2:$CG$232,85,FALSE)</f>
        <v>136.90428161621099</v>
      </c>
      <c r="P218"/>
      <c r="Q218"/>
    </row>
    <row r="219" spans="1:17">
      <c r="A219">
        <v>71005</v>
      </c>
      <c r="B219" t="s">
        <v>1935</v>
      </c>
      <c r="C219">
        <v>1</v>
      </c>
      <c r="D219" t="s">
        <v>257</v>
      </c>
      <c r="E219" t="s">
        <v>184</v>
      </c>
      <c r="F219"/>
      <c r="G219">
        <v>100</v>
      </c>
      <c r="H219">
        <v>1026</v>
      </c>
      <c r="I219">
        <v>1.1000000238418599</v>
      </c>
      <c r="J219" t="s">
        <v>270</v>
      </c>
      <c r="K219" t="s">
        <v>270</v>
      </c>
      <c r="L219" s="67" t="str">
        <f>VLOOKUP($A219,MFMaster!$A$2:$C$300,2,FALSE)</f>
        <v>1-3 stories</v>
      </c>
      <c r="M219" s="67">
        <f>VLOOKUP($A219,MFMaster!$A$2:$CG$232,85,FALSE)</f>
        <v>121.69268798828099</v>
      </c>
      <c r="P219"/>
      <c r="Q219"/>
    </row>
    <row r="220" spans="1:17">
      <c r="A220">
        <v>71005</v>
      </c>
      <c r="B220" t="s">
        <v>1940</v>
      </c>
      <c r="C220">
        <v>2</v>
      </c>
      <c r="D220" t="s">
        <v>1936</v>
      </c>
      <c r="E220" t="s">
        <v>177</v>
      </c>
      <c r="F220" t="s">
        <v>1937</v>
      </c>
      <c r="G220">
        <v>100</v>
      </c>
      <c r="H220">
        <v>51</v>
      </c>
      <c r="I220">
        <v>0.44999998807907099</v>
      </c>
      <c r="J220" t="s">
        <v>270</v>
      </c>
      <c r="K220" t="s">
        <v>273</v>
      </c>
      <c r="L220" s="67" t="str">
        <f>VLOOKUP($A220,MFMaster!$A$2:$C$300,2,FALSE)</f>
        <v>1-3 stories</v>
      </c>
      <c r="M220" s="67">
        <f>VLOOKUP($A220,MFMaster!$A$2:$CG$232,85,FALSE)</f>
        <v>121.69268798828099</v>
      </c>
      <c r="P220"/>
      <c r="Q220"/>
    </row>
    <row r="221" spans="1:17">
      <c r="A221">
        <v>71006</v>
      </c>
      <c r="B221" t="s">
        <v>1935</v>
      </c>
      <c r="C221">
        <v>1</v>
      </c>
      <c r="D221" t="s">
        <v>1936</v>
      </c>
      <c r="E221" t="s">
        <v>177</v>
      </c>
      <c r="F221" t="s">
        <v>1937</v>
      </c>
      <c r="G221">
        <v>100</v>
      </c>
      <c r="H221">
        <v>361</v>
      </c>
      <c r="I221">
        <v>0.44999998807907099</v>
      </c>
      <c r="J221" t="s">
        <v>270</v>
      </c>
      <c r="K221" t="s">
        <v>273</v>
      </c>
      <c r="L221" s="67" t="str">
        <f>VLOOKUP($A221,MFMaster!$A$2:$C$300,2,FALSE)</f>
        <v>1-3 stories</v>
      </c>
      <c r="M221" s="67">
        <f>VLOOKUP($A221,MFMaster!$A$2:$CG$232,85,FALSE)</f>
        <v>219.04685974121099</v>
      </c>
      <c r="P221"/>
      <c r="Q221"/>
    </row>
    <row r="222" spans="1:17">
      <c r="A222">
        <v>71007</v>
      </c>
      <c r="B222" t="s">
        <v>1938</v>
      </c>
      <c r="C222">
        <v>1</v>
      </c>
      <c r="D222" t="s">
        <v>257</v>
      </c>
      <c r="E222" t="s">
        <v>184</v>
      </c>
      <c r="F222" t="s">
        <v>1937</v>
      </c>
      <c r="G222">
        <v>97</v>
      </c>
      <c r="H222">
        <v>794</v>
      </c>
      <c r="I222">
        <v>1.1000000238418599</v>
      </c>
      <c r="J222" t="s">
        <v>270</v>
      </c>
      <c r="K222" t="s">
        <v>270</v>
      </c>
      <c r="L222" s="67" t="str">
        <f>VLOOKUP($A222,MFMaster!$A$2:$C$300,2,FALSE)</f>
        <v>1-3 stories</v>
      </c>
      <c r="M222" s="67">
        <f>VLOOKUP($A222,MFMaster!$A$2:$CG$232,85,FALSE)</f>
        <v>219.04685974121099</v>
      </c>
      <c r="P222"/>
      <c r="Q222"/>
    </row>
    <row r="223" spans="1:17">
      <c r="A223">
        <v>71007</v>
      </c>
      <c r="B223" t="s">
        <v>1935</v>
      </c>
      <c r="C223">
        <v>2</v>
      </c>
      <c r="D223" t="s">
        <v>1936</v>
      </c>
      <c r="E223" t="s">
        <v>184</v>
      </c>
      <c r="F223"/>
      <c r="G223">
        <v>100</v>
      </c>
      <c r="H223">
        <v>20</v>
      </c>
      <c r="I223">
        <v>0.94999998807907104</v>
      </c>
      <c r="J223" t="s">
        <v>270</v>
      </c>
      <c r="K223" t="s">
        <v>270</v>
      </c>
      <c r="L223" s="67" t="str">
        <f>VLOOKUP($A223,MFMaster!$A$2:$C$300,2,FALSE)</f>
        <v>1-3 stories</v>
      </c>
      <c r="M223" s="67">
        <f>VLOOKUP($A223,MFMaster!$A$2:$CG$232,85,FALSE)</f>
        <v>219.04685974121099</v>
      </c>
      <c r="P223"/>
      <c r="Q223"/>
    </row>
    <row r="224" spans="1:17">
      <c r="A224">
        <v>71008</v>
      </c>
      <c r="B224" t="s">
        <v>1940</v>
      </c>
      <c r="C224">
        <v>1</v>
      </c>
      <c r="D224" t="s">
        <v>1936</v>
      </c>
      <c r="E224" t="s">
        <v>177</v>
      </c>
      <c r="F224" t="s">
        <v>1937</v>
      </c>
      <c r="G224">
        <v>100</v>
      </c>
      <c r="H224">
        <v>767</v>
      </c>
      <c r="I224">
        <v>0.44999998807907099</v>
      </c>
      <c r="J224" t="s">
        <v>270</v>
      </c>
      <c r="K224" t="s">
        <v>273</v>
      </c>
      <c r="L224" s="67" t="str">
        <f>VLOOKUP($A224,MFMaster!$A$2:$C$300,2,FALSE)</f>
        <v>1-3 stories</v>
      </c>
      <c r="M224" s="67">
        <f>VLOOKUP($A224,MFMaster!$A$2:$CG$232,85,FALSE)</f>
        <v>182.53904724121099</v>
      </c>
      <c r="P224"/>
      <c r="Q224"/>
    </row>
    <row r="225" spans="1:17">
      <c r="A225">
        <v>71009</v>
      </c>
      <c r="B225" t="s">
        <v>1935</v>
      </c>
      <c r="C225">
        <v>1</v>
      </c>
      <c r="D225" t="s">
        <v>257</v>
      </c>
      <c r="E225" t="s">
        <v>177</v>
      </c>
      <c r="F225" t="s">
        <v>1937</v>
      </c>
      <c r="G225">
        <v>100</v>
      </c>
      <c r="H225">
        <v>484</v>
      </c>
      <c r="I225">
        <v>0.80000001192092896</v>
      </c>
      <c r="J225" t="s">
        <v>270</v>
      </c>
      <c r="K225" t="s">
        <v>270</v>
      </c>
      <c r="L225" s="67" t="str">
        <f>VLOOKUP($A225,MFMaster!$A$2:$C$300,2,FALSE)</f>
        <v>1-3 stories</v>
      </c>
      <c r="M225" s="67" t="str">
        <f>VLOOKUP($A225,MFMaster!$A$2:$CG$232,85,FALSE)</f>
        <v/>
      </c>
      <c r="P225"/>
      <c r="Q225"/>
    </row>
    <row r="226" spans="1:17">
      <c r="A226">
        <v>71009</v>
      </c>
      <c r="B226" t="s">
        <v>1940</v>
      </c>
      <c r="C226">
        <v>2</v>
      </c>
      <c r="D226" t="s">
        <v>257</v>
      </c>
      <c r="E226" t="s">
        <v>184</v>
      </c>
      <c r="F226"/>
      <c r="G226">
        <v>0</v>
      </c>
      <c r="H226">
        <v>9</v>
      </c>
      <c r="I226">
        <v>1.1000000238418599</v>
      </c>
      <c r="J226" t="s">
        <v>270</v>
      </c>
      <c r="K226" t="s">
        <v>270</v>
      </c>
      <c r="L226" s="67" t="str">
        <f>VLOOKUP($A226,MFMaster!$A$2:$C$300,2,FALSE)</f>
        <v>1-3 stories</v>
      </c>
      <c r="M226" s="67" t="str">
        <f>VLOOKUP($A226,MFMaster!$A$2:$CG$232,85,FALSE)</f>
        <v/>
      </c>
      <c r="P226"/>
      <c r="Q226"/>
    </row>
    <row r="227" spans="1:17">
      <c r="A227">
        <v>71010</v>
      </c>
      <c r="B227" t="s">
        <v>1935</v>
      </c>
      <c r="C227">
        <v>1</v>
      </c>
      <c r="D227" t="s">
        <v>257</v>
      </c>
      <c r="E227" t="s">
        <v>177</v>
      </c>
      <c r="F227" t="s">
        <v>1937</v>
      </c>
      <c r="G227">
        <v>100</v>
      </c>
      <c r="H227">
        <v>813</v>
      </c>
      <c r="I227">
        <v>0.80000001192092896</v>
      </c>
      <c r="J227" t="s">
        <v>270</v>
      </c>
      <c r="K227" t="s">
        <v>270</v>
      </c>
      <c r="L227" s="67" t="str">
        <f>VLOOKUP($A227,MFMaster!$A$2:$C$300,2,FALSE)</f>
        <v>1-3 stories</v>
      </c>
      <c r="M227" s="67">
        <f>VLOOKUP($A227,MFMaster!$A$2:$CG$232,85,FALSE)</f>
        <v>182.53904724121099</v>
      </c>
      <c r="P227"/>
      <c r="Q227"/>
    </row>
    <row r="228" spans="1:17">
      <c r="A228">
        <v>71010</v>
      </c>
      <c r="B228" t="s">
        <v>1940</v>
      </c>
      <c r="C228">
        <v>2</v>
      </c>
      <c r="D228" t="s">
        <v>1936</v>
      </c>
      <c r="E228" t="s">
        <v>177</v>
      </c>
      <c r="F228" t="s">
        <v>1939</v>
      </c>
      <c r="G228">
        <v>100</v>
      </c>
      <c r="H228">
        <v>20</v>
      </c>
      <c r="I228">
        <v>0.60000002384185802</v>
      </c>
      <c r="J228" t="s">
        <v>270</v>
      </c>
      <c r="K228" t="s">
        <v>270</v>
      </c>
      <c r="L228" s="67" t="str">
        <f>VLOOKUP($A228,MFMaster!$A$2:$C$300,2,FALSE)</f>
        <v>1-3 stories</v>
      </c>
      <c r="M228" s="67">
        <f>VLOOKUP($A228,MFMaster!$A$2:$CG$232,85,FALSE)</f>
        <v>182.53904724121099</v>
      </c>
      <c r="P228"/>
      <c r="Q228"/>
    </row>
    <row r="229" spans="1:17">
      <c r="A229">
        <v>71011</v>
      </c>
      <c r="B229" t="s">
        <v>1940</v>
      </c>
      <c r="C229">
        <v>1</v>
      </c>
      <c r="D229" t="s">
        <v>257</v>
      </c>
      <c r="E229" t="s">
        <v>177</v>
      </c>
      <c r="F229" t="s">
        <v>1939</v>
      </c>
      <c r="G229">
        <v>90</v>
      </c>
      <c r="H229">
        <v>674</v>
      </c>
      <c r="I229">
        <v>0.75</v>
      </c>
      <c r="J229" t="s">
        <v>270</v>
      </c>
      <c r="K229" t="s">
        <v>273</v>
      </c>
      <c r="L229" s="67" t="str">
        <f>VLOOKUP($A229,MFMaster!$A$2:$C$300,2,FALSE)</f>
        <v>1-3 stories</v>
      </c>
      <c r="M229" s="67">
        <f>VLOOKUP($A229,MFMaster!$A$2:$CG$232,85,FALSE)</f>
        <v>136.90428161621099</v>
      </c>
      <c r="P229"/>
      <c r="Q229"/>
    </row>
    <row r="230" spans="1:17">
      <c r="A230">
        <v>71012</v>
      </c>
      <c r="B230" t="s">
        <v>1935</v>
      </c>
      <c r="C230">
        <v>1</v>
      </c>
      <c r="D230" t="s">
        <v>257</v>
      </c>
      <c r="E230" t="s">
        <v>177</v>
      </c>
      <c r="F230" t="s">
        <v>1939</v>
      </c>
      <c r="G230">
        <v>90</v>
      </c>
      <c r="H230">
        <v>497</v>
      </c>
      <c r="I230">
        <v>0.85000002384185802</v>
      </c>
      <c r="J230" t="s">
        <v>270</v>
      </c>
      <c r="K230" t="s">
        <v>270</v>
      </c>
      <c r="L230" s="67" t="str">
        <f>VLOOKUP($A230,MFMaster!$A$2:$C$300,2,FALSE)</f>
        <v>1-3 stories</v>
      </c>
      <c r="M230" s="67">
        <f>VLOOKUP($A230,MFMaster!$A$2:$CG$232,85,FALSE)</f>
        <v>182.53904724121099</v>
      </c>
      <c r="P230"/>
      <c r="Q230"/>
    </row>
    <row r="231" spans="1:17">
      <c r="A231">
        <v>71013</v>
      </c>
      <c r="B231" t="s">
        <v>1935</v>
      </c>
      <c r="C231">
        <v>1</v>
      </c>
      <c r="D231" t="s">
        <v>1936</v>
      </c>
      <c r="E231" t="s">
        <v>177</v>
      </c>
      <c r="F231" t="s">
        <v>1937</v>
      </c>
      <c r="G231">
        <v>94</v>
      </c>
      <c r="H231">
        <v>834</v>
      </c>
      <c r="I231">
        <v>0.55000001192092896</v>
      </c>
      <c r="J231" t="s">
        <v>270</v>
      </c>
      <c r="K231" t="s">
        <v>270</v>
      </c>
      <c r="L231" s="67" t="str">
        <f>VLOOKUP($A231,MFMaster!$A$2:$C$300,2,FALSE)</f>
        <v>1-3 stories</v>
      </c>
      <c r="M231" s="67" t="str">
        <f>VLOOKUP($A231,MFMaster!$A$2:$CG$232,85,FALSE)</f>
        <v/>
      </c>
      <c r="P231"/>
      <c r="Q231"/>
    </row>
    <row r="232" spans="1:17">
      <c r="A232">
        <v>71013</v>
      </c>
      <c r="B232" t="s">
        <v>1940</v>
      </c>
      <c r="C232">
        <v>2</v>
      </c>
      <c r="D232" t="s">
        <v>257</v>
      </c>
      <c r="E232" t="s">
        <v>184</v>
      </c>
      <c r="F232" t="s">
        <v>1939</v>
      </c>
      <c r="G232">
        <v>100</v>
      </c>
      <c r="H232">
        <v>24</v>
      </c>
      <c r="I232">
        <v>1.1000000238418599</v>
      </c>
      <c r="J232" t="s">
        <v>270</v>
      </c>
      <c r="K232" t="s">
        <v>270</v>
      </c>
      <c r="L232" s="67" t="str">
        <f>VLOOKUP($A232,MFMaster!$A$2:$C$300,2,FALSE)</f>
        <v>1-3 stories</v>
      </c>
      <c r="M232" s="67" t="str">
        <f>VLOOKUP($A232,MFMaster!$A$2:$CG$232,85,FALSE)</f>
        <v/>
      </c>
      <c r="P232"/>
      <c r="Q232"/>
    </row>
    <row r="233" spans="1:17">
      <c r="A233">
        <v>71014</v>
      </c>
      <c r="B233" t="s">
        <v>1938</v>
      </c>
      <c r="C233">
        <v>1</v>
      </c>
      <c r="D233" t="s">
        <v>1936</v>
      </c>
      <c r="E233" t="s">
        <v>177</v>
      </c>
      <c r="F233" t="s">
        <v>1937</v>
      </c>
      <c r="G233">
        <v>100</v>
      </c>
      <c r="H233">
        <v>729</v>
      </c>
      <c r="I233">
        <v>0.44999998807907099</v>
      </c>
      <c r="J233" t="s">
        <v>270</v>
      </c>
      <c r="K233" t="s">
        <v>273</v>
      </c>
      <c r="L233" s="67" t="str">
        <f>VLOOKUP($A233,MFMaster!$A$2:$C$300,2,FALSE)</f>
        <v>1-3 stories</v>
      </c>
      <c r="M233" s="67">
        <f>VLOOKUP($A233,MFMaster!$A$2:$CG$232,85,FALSE)</f>
        <v>136.90428161621099</v>
      </c>
      <c r="P233"/>
      <c r="Q233"/>
    </row>
    <row r="234" spans="1:17">
      <c r="A234">
        <v>72001</v>
      </c>
      <c r="B234" t="s">
        <v>1938</v>
      </c>
      <c r="C234">
        <v>1</v>
      </c>
      <c r="D234" t="s">
        <v>1936</v>
      </c>
      <c r="E234" t="s">
        <v>177</v>
      </c>
      <c r="F234" t="s">
        <v>1937</v>
      </c>
      <c r="G234">
        <v>100</v>
      </c>
      <c r="H234">
        <v>1490</v>
      </c>
      <c r="I234">
        <v>0.44999998807907099</v>
      </c>
      <c r="J234" t="s">
        <v>270</v>
      </c>
      <c r="K234" t="s">
        <v>273</v>
      </c>
      <c r="L234" s="67" t="str">
        <f>VLOOKUP($A234,MFMaster!$A$2:$C$300,2,FALSE)</f>
        <v>1-3 stories</v>
      </c>
      <c r="M234" s="67">
        <f>VLOOKUP($A234,MFMaster!$A$2:$CG$232,85,FALSE)</f>
        <v>78.231018066406307</v>
      </c>
      <c r="P234"/>
      <c r="Q234"/>
    </row>
    <row r="235" spans="1:17">
      <c r="A235">
        <v>72001</v>
      </c>
      <c r="B235" t="s">
        <v>1935</v>
      </c>
      <c r="C235">
        <v>2</v>
      </c>
      <c r="D235" t="s">
        <v>1936</v>
      </c>
      <c r="E235" t="s">
        <v>184</v>
      </c>
      <c r="F235"/>
      <c r="G235">
        <v>0</v>
      </c>
      <c r="H235">
        <v>68</v>
      </c>
      <c r="I235">
        <v>0.94999998807907104</v>
      </c>
      <c r="J235" t="s">
        <v>270</v>
      </c>
      <c r="K235" t="s">
        <v>270</v>
      </c>
      <c r="L235" s="67" t="str">
        <f>VLOOKUP($A235,MFMaster!$A$2:$C$300,2,FALSE)</f>
        <v>1-3 stories</v>
      </c>
      <c r="M235" s="67">
        <f>VLOOKUP($A235,MFMaster!$A$2:$CG$232,85,FALSE)</f>
        <v>78.231018066406307</v>
      </c>
      <c r="P235"/>
      <c r="Q235"/>
    </row>
    <row r="236" spans="1:17">
      <c r="A236">
        <v>72002</v>
      </c>
      <c r="B236" t="s">
        <v>1938</v>
      </c>
      <c r="C236">
        <v>1</v>
      </c>
      <c r="D236" t="s">
        <v>1936</v>
      </c>
      <c r="E236" t="s">
        <v>177</v>
      </c>
      <c r="F236" t="s">
        <v>1937</v>
      </c>
      <c r="G236">
        <v>100</v>
      </c>
      <c r="H236">
        <v>1576</v>
      </c>
      <c r="I236">
        <v>0.44999998807907099</v>
      </c>
      <c r="J236" t="s">
        <v>270</v>
      </c>
      <c r="K236" t="s">
        <v>273</v>
      </c>
      <c r="L236" s="67" t="str">
        <f>VLOOKUP($A236,MFMaster!$A$2:$C$300,2,FALSE)</f>
        <v>4-6 stories</v>
      </c>
      <c r="M236" s="67" t="str">
        <f>VLOOKUP($A236,MFMaster!$A$2:$CG$232,85,FALSE)</f>
        <v/>
      </c>
      <c r="P236"/>
      <c r="Q236"/>
    </row>
    <row r="237" spans="1:17">
      <c r="A237">
        <v>72002</v>
      </c>
      <c r="B237" t="s">
        <v>1935</v>
      </c>
      <c r="C237">
        <v>2</v>
      </c>
      <c r="D237" t="s">
        <v>257</v>
      </c>
      <c r="E237" t="s">
        <v>177</v>
      </c>
      <c r="F237" t="s">
        <v>1937</v>
      </c>
      <c r="G237">
        <v>50</v>
      </c>
      <c r="H237">
        <v>70</v>
      </c>
      <c r="I237">
        <v>0.75</v>
      </c>
      <c r="J237" t="s">
        <v>270</v>
      </c>
      <c r="K237" t="s">
        <v>273</v>
      </c>
      <c r="L237" s="67" t="str">
        <f>VLOOKUP($A237,MFMaster!$A$2:$C$300,2,FALSE)</f>
        <v>4-6 stories</v>
      </c>
      <c r="M237" s="67" t="str">
        <f>VLOOKUP($A237,MFMaster!$A$2:$CG$232,85,FALSE)</f>
        <v/>
      </c>
      <c r="P237"/>
      <c r="Q237"/>
    </row>
    <row r="238" spans="1:17">
      <c r="A238">
        <v>72002</v>
      </c>
      <c r="B238" t="s">
        <v>1940</v>
      </c>
      <c r="C238">
        <v>3</v>
      </c>
      <c r="D238" t="s">
        <v>1936</v>
      </c>
      <c r="E238" t="s">
        <v>177</v>
      </c>
      <c r="F238" t="s">
        <v>1937</v>
      </c>
      <c r="G238">
        <v>0</v>
      </c>
      <c r="H238">
        <v>24</v>
      </c>
      <c r="I238">
        <v>0.55000001192092896</v>
      </c>
      <c r="J238" t="s">
        <v>270</v>
      </c>
      <c r="K238" t="s">
        <v>270</v>
      </c>
      <c r="L238" s="67" t="str">
        <f>VLOOKUP($A238,MFMaster!$A$2:$C$300,2,FALSE)</f>
        <v>4-6 stories</v>
      </c>
      <c r="M238" s="67" t="str">
        <f>VLOOKUP($A238,MFMaster!$A$2:$CG$232,85,FALSE)</f>
        <v/>
      </c>
      <c r="P238"/>
      <c r="Q238"/>
    </row>
    <row r="239" spans="1:17">
      <c r="A239">
        <v>72003</v>
      </c>
      <c r="B239" t="s">
        <v>1935</v>
      </c>
      <c r="C239">
        <v>1</v>
      </c>
      <c r="D239" t="s">
        <v>257</v>
      </c>
      <c r="E239" t="s">
        <v>177</v>
      </c>
      <c r="F239" t="s">
        <v>1939</v>
      </c>
      <c r="G239">
        <v>96</v>
      </c>
      <c r="H239">
        <v>1363</v>
      </c>
      <c r="I239">
        <v>0.75</v>
      </c>
      <c r="J239" t="s">
        <v>270</v>
      </c>
      <c r="K239" t="s">
        <v>273</v>
      </c>
      <c r="L239" s="67" t="str">
        <f>VLOOKUP($A239,MFMaster!$A$2:$C$300,2,FALSE)</f>
        <v>4-6 stories</v>
      </c>
      <c r="M239" s="67" t="str">
        <f>VLOOKUP($A239,MFMaster!$A$2:$CG$232,85,FALSE)</f>
        <v/>
      </c>
      <c r="P239"/>
      <c r="Q239"/>
    </row>
    <row r="240" spans="1:17">
      <c r="A240">
        <v>72004</v>
      </c>
      <c r="B240" t="s">
        <v>1935</v>
      </c>
      <c r="C240">
        <v>1</v>
      </c>
      <c r="D240" t="s">
        <v>1936</v>
      </c>
      <c r="E240" t="s">
        <v>177</v>
      </c>
      <c r="F240" t="s">
        <v>1937</v>
      </c>
      <c r="G240">
        <v>69</v>
      </c>
      <c r="H240">
        <v>1520</v>
      </c>
      <c r="I240">
        <v>0.55000001192092896</v>
      </c>
      <c r="J240" t="s">
        <v>270</v>
      </c>
      <c r="K240" t="s">
        <v>270</v>
      </c>
      <c r="L240" s="67" t="str">
        <f>VLOOKUP($A240,MFMaster!$A$2:$C$300,2,FALSE)</f>
        <v>4-6 stories</v>
      </c>
      <c r="M240" s="67" t="str">
        <f>VLOOKUP($A240,MFMaster!$A$2:$CG$232,85,FALSE)</f>
        <v/>
      </c>
      <c r="P240"/>
      <c r="Q240"/>
    </row>
    <row r="241" spans="1:17">
      <c r="A241">
        <v>72004</v>
      </c>
      <c r="B241" t="s">
        <v>1940</v>
      </c>
      <c r="C241">
        <v>2</v>
      </c>
      <c r="D241" t="s">
        <v>257</v>
      </c>
      <c r="E241" t="s">
        <v>184</v>
      </c>
      <c r="F241"/>
      <c r="G241">
        <v>100</v>
      </c>
      <c r="H241">
        <v>26</v>
      </c>
      <c r="I241">
        <v>1.1000000238418599</v>
      </c>
      <c r="J241" t="s">
        <v>270</v>
      </c>
      <c r="K241" t="s">
        <v>270</v>
      </c>
      <c r="L241" s="67" t="str">
        <f>VLOOKUP($A241,MFMaster!$A$2:$C$300,2,FALSE)</f>
        <v>4-6 stories</v>
      </c>
      <c r="M241" s="67" t="str">
        <f>VLOOKUP($A241,MFMaster!$A$2:$CG$232,85,FALSE)</f>
        <v/>
      </c>
      <c r="P241"/>
      <c r="Q241"/>
    </row>
    <row r="242" spans="1:17">
      <c r="A242">
        <v>72005</v>
      </c>
      <c r="B242" t="s">
        <v>1938</v>
      </c>
      <c r="C242">
        <v>1</v>
      </c>
      <c r="D242" t="s">
        <v>1936</v>
      </c>
      <c r="E242" t="s">
        <v>177</v>
      </c>
      <c r="F242" t="s">
        <v>1939</v>
      </c>
      <c r="G242">
        <v>100</v>
      </c>
      <c r="H242">
        <v>1128</v>
      </c>
      <c r="I242">
        <v>0.55000001192092896</v>
      </c>
      <c r="J242" t="s">
        <v>270</v>
      </c>
      <c r="K242" t="s">
        <v>273</v>
      </c>
      <c r="L242" s="67" t="str">
        <f>VLOOKUP($A242,MFMaster!$A$2:$C$300,2,FALSE)</f>
        <v>1-3 stories</v>
      </c>
      <c r="M242" s="67">
        <f>VLOOKUP($A242,MFMaster!$A$2:$CG$232,85,FALSE)</f>
        <v>91.269523620605497</v>
      </c>
      <c r="P242"/>
      <c r="Q242"/>
    </row>
    <row r="243" spans="1:17">
      <c r="A243">
        <v>72006</v>
      </c>
      <c r="B243" t="s">
        <v>1935</v>
      </c>
      <c r="C243">
        <v>1</v>
      </c>
      <c r="D243" t="s">
        <v>1936</v>
      </c>
      <c r="E243" t="s">
        <v>177</v>
      </c>
      <c r="F243" t="s">
        <v>1937</v>
      </c>
      <c r="G243">
        <v>93</v>
      </c>
      <c r="H243">
        <v>1106</v>
      </c>
      <c r="I243">
        <v>0.44999998807907099</v>
      </c>
      <c r="J243" t="s">
        <v>270</v>
      </c>
      <c r="K243" t="s">
        <v>273</v>
      </c>
      <c r="L243" s="67" t="str">
        <f>VLOOKUP($A243,MFMaster!$A$2:$C$300,2,FALSE)</f>
        <v>1-3 stories</v>
      </c>
      <c r="M243" s="67">
        <f>VLOOKUP($A243,MFMaster!$A$2:$CG$232,85,FALSE)</f>
        <v>91.269523620605497</v>
      </c>
      <c r="P243"/>
      <c r="Q243"/>
    </row>
    <row r="244" spans="1:17">
      <c r="A244">
        <v>72007</v>
      </c>
      <c r="B244" t="s">
        <v>1938</v>
      </c>
      <c r="C244">
        <v>1</v>
      </c>
      <c r="D244" t="s">
        <v>1936</v>
      </c>
      <c r="E244" t="s">
        <v>177</v>
      </c>
      <c r="F244" t="s">
        <v>1937</v>
      </c>
      <c r="G244">
        <v>100</v>
      </c>
      <c r="H244">
        <v>1296</v>
      </c>
      <c r="I244">
        <v>0.44999998807907099</v>
      </c>
      <c r="J244" t="s">
        <v>270</v>
      </c>
      <c r="K244" t="s">
        <v>273</v>
      </c>
      <c r="L244" s="67" t="str">
        <f>VLOOKUP($A244,MFMaster!$A$2:$C$300,2,FALSE)</f>
        <v>1-3 stories</v>
      </c>
      <c r="M244" s="67">
        <f>VLOOKUP($A244,MFMaster!$A$2:$CG$232,85,FALSE)</f>
        <v>91.269523620605497</v>
      </c>
      <c r="P244"/>
      <c r="Q244"/>
    </row>
    <row r="245" spans="1:17">
      <c r="A245">
        <v>72008</v>
      </c>
      <c r="B245" t="s">
        <v>1935</v>
      </c>
      <c r="C245">
        <v>1</v>
      </c>
      <c r="D245" t="s">
        <v>257</v>
      </c>
      <c r="E245" t="s">
        <v>177</v>
      </c>
      <c r="F245" t="s">
        <v>1937</v>
      </c>
      <c r="G245">
        <v>100</v>
      </c>
      <c r="H245">
        <v>853</v>
      </c>
      <c r="I245">
        <v>0.75</v>
      </c>
      <c r="J245" t="s">
        <v>270</v>
      </c>
      <c r="K245" t="s">
        <v>273</v>
      </c>
      <c r="L245" s="67" t="str">
        <f>VLOOKUP($A245,MFMaster!$A$2:$C$300,2,FALSE)</f>
        <v>1-3 stories</v>
      </c>
      <c r="M245" s="67">
        <f>VLOOKUP($A245,MFMaster!$A$2:$CG$232,85,FALSE)</f>
        <v>99.566741943359403</v>
      </c>
      <c r="P245"/>
      <c r="Q245"/>
    </row>
    <row r="246" spans="1:17">
      <c r="A246">
        <v>72009</v>
      </c>
      <c r="B246" t="s">
        <v>1941</v>
      </c>
      <c r="C246">
        <v>1</v>
      </c>
      <c r="D246" t="s">
        <v>1936</v>
      </c>
      <c r="E246" t="s">
        <v>177</v>
      </c>
      <c r="F246" t="s">
        <v>1937</v>
      </c>
      <c r="G246">
        <v>100</v>
      </c>
      <c r="H246">
        <v>1198</v>
      </c>
      <c r="I246">
        <v>0.44999998807907099</v>
      </c>
      <c r="J246" t="s">
        <v>270</v>
      </c>
      <c r="K246" t="s">
        <v>273</v>
      </c>
      <c r="L246" s="67" t="str">
        <f>VLOOKUP($A246,MFMaster!$A$2:$C$300,2,FALSE)</f>
        <v>1-3 stories</v>
      </c>
      <c r="M246" s="67" t="str">
        <f>VLOOKUP($A246,MFMaster!$A$2:$CG$232,85,FALSE)</f>
        <v/>
      </c>
      <c r="P246"/>
      <c r="Q246"/>
    </row>
    <row r="247" spans="1:17">
      <c r="A247">
        <v>72009</v>
      </c>
      <c r="B247" t="s">
        <v>1942</v>
      </c>
      <c r="C247">
        <v>2</v>
      </c>
      <c r="D247" t="s">
        <v>257</v>
      </c>
      <c r="E247" t="s">
        <v>184</v>
      </c>
      <c r="F247"/>
      <c r="G247">
        <v>17</v>
      </c>
      <c r="H247">
        <v>167</v>
      </c>
      <c r="I247">
        <v>1.1000000238418599</v>
      </c>
      <c r="J247" t="s">
        <v>270</v>
      </c>
      <c r="K247" t="s">
        <v>270</v>
      </c>
      <c r="L247" s="67" t="str">
        <f>VLOOKUP($A247,MFMaster!$A$2:$C$300,2,FALSE)</f>
        <v>1-3 stories</v>
      </c>
      <c r="M247" s="67" t="str">
        <f>VLOOKUP($A247,MFMaster!$A$2:$CG$232,85,FALSE)</f>
        <v/>
      </c>
      <c r="P247"/>
      <c r="Q247"/>
    </row>
    <row r="248" spans="1:17">
      <c r="A248">
        <v>72010</v>
      </c>
      <c r="B248" t="s">
        <v>1935</v>
      </c>
      <c r="C248">
        <v>1</v>
      </c>
      <c r="D248" t="s">
        <v>257</v>
      </c>
      <c r="E248" t="s">
        <v>184</v>
      </c>
      <c r="F248"/>
      <c r="G248">
        <v>100</v>
      </c>
      <c r="H248">
        <v>1272</v>
      </c>
      <c r="I248">
        <v>1.1000000238418599</v>
      </c>
      <c r="J248" t="s">
        <v>270</v>
      </c>
      <c r="K248" t="s">
        <v>270</v>
      </c>
      <c r="L248" s="67" t="str">
        <f>VLOOKUP($A248,MFMaster!$A$2:$C$300,2,FALSE)</f>
        <v>4-6 stories</v>
      </c>
      <c r="M248" s="67" t="str">
        <f>VLOOKUP($A248,MFMaster!$A$2:$CG$232,85,FALSE)</f>
        <v/>
      </c>
      <c r="P248"/>
      <c r="Q248"/>
    </row>
    <row r="249" spans="1:17">
      <c r="A249">
        <v>73001</v>
      </c>
      <c r="B249" t="s">
        <v>1938</v>
      </c>
      <c r="C249">
        <v>1</v>
      </c>
      <c r="D249" t="s">
        <v>257</v>
      </c>
      <c r="E249" t="s">
        <v>184</v>
      </c>
      <c r="F249"/>
      <c r="G249">
        <v>100</v>
      </c>
      <c r="H249">
        <v>1013</v>
      </c>
      <c r="I249">
        <v>1.1000000238418599</v>
      </c>
      <c r="J249" t="s">
        <v>270</v>
      </c>
      <c r="K249" t="s">
        <v>270</v>
      </c>
      <c r="L249" s="67" t="str">
        <f>VLOOKUP($A249,MFMaster!$A$2:$C$300,2,FALSE)</f>
        <v>4-6 stories</v>
      </c>
      <c r="M249" s="67" t="str">
        <f>VLOOKUP($A249,MFMaster!$A$2:$CG$232,85,FALSE)</f>
        <v/>
      </c>
      <c r="P249"/>
      <c r="Q249"/>
    </row>
    <row r="250" spans="1:17">
      <c r="A250">
        <v>73001</v>
      </c>
      <c r="B250" t="s">
        <v>1935</v>
      </c>
      <c r="C250">
        <v>2</v>
      </c>
      <c r="D250" t="s">
        <v>1936</v>
      </c>
      <c r="E250" t="s">
        <v>177</v>
      </c>
      <c r="F250" t="s">
        <v>1937</v>
      </c>
      <c r="G250">
        <v>100</v>
      </c>
      <c r="H250">
        <v>856</v>
      </c>
      <c r="I250">
        <v>0.44999998807907099</v>
      </c>
      <c r="J250" t="s">
        <v>270</v>
      </c>
      <c r="K250" t="s">
        <v>273</v>
      </c>
      <c r="L250" s="67" t="str">
        <f>VLOOKUP($A250,MFMaster!$A$2:$C$300,2,FALSE)</f>
        <v>4-6 stories</v>
      </c>
      <c r="M250" s="67" t="str">
        <f>VLOOKUP($A250,MFMaster!$A$2:$CG$232,85,FALSE)</f>
        <v/>
      </c>
      <c r="P250"/>
      <c r="Q250"/>
    </row>
    <row r="251" spans="1:17">
      <c r="A251">
        <v>73002</v>
      </c>
      <c r="B251" t="s">
        <v>1940</v>
      </c>
      <c r="C251">
        <v>1</v>
      </c>
      <c r="D251" t="s">
        <v>1936</v>
      </c>
      <c r="E251" t="s">
        <v>177</v>
      </c>
      <c r="F251" t="s">
        <v>1937</v>
      </c>
      <c r="G251">
        <v>100</v>
      </c>
      <c r="H251">
        <v>1528</v>
      </c>
      <c r="I251">
        <v>0.44999998807907099</v>
      </c>
      <c r="J251" t="s">
        <v>270</v>
      </c>
      <c r="K251" t="s">
        <v>273</v>
      </c>
      <c r="L251" s="67" t="str">
        <f>VLOOKUP($A251,MFMaster!$A$2:$C$300,2,FALSE)</f>
        <v>4-6 stories</v>
      </c>
      <c r="M251" s="67" t="str">
        <f>VLOOKUP($A251,MFMaster!$A$2:$CG$232,85,FALSE)</f>
        <v/>
      </c>
      <c r="P251"/>
      <c r="Q251"/>
    </row>
    <row r="252" spans="1:17">
      <c r="A252">
        <v>73002</v>
      </c>
      <c r="B252" t="s">
        <v>1941</v>
      </c>
      <c r="C252">
        <v>2</v>
      </c>
      <c r="D252" t="s">
        <v>257</v>
      </c>
      <c r="E252" t="s">
        <v>184</v>
      </c>
      <c r="F252"/>
      <c r="G252">
        <v>11</v>
      </c>
      <c r="H252">
        <v>161</v>
      </c>
      <c r="I252">
        <v>1.1000000238418599</v>
      </c>
      <c r="J252" t="s">
        <v>270</v>
      </c>
      <c r="K252" t="s">
        <v>270</v>
      </c>
      <c r="L252" s="67" t="str">
        <f>VLOOKUP($A252,MFMaster!$A$2:$C$300,2,FALSE)</f>
        <v>4-6 stories</v>
      </c>
      <c r="M252" s="67" t="str">
        <f>VLOOKUP($A252,MFMaster!$A$2:$CG$232,85,FALSE)</f>
        <v/>
      </c>
      <c r="P252"/>
      <c r="Q252"/>
    </row>
    <row r="253" spans="1:17">
      <c r="A253">
        <v>73002</v>
      </c>
      <c r="B253" t="s">
        <v>1942</v>
      </c>
      <c r="C253">
        <v>3</v>
      </c>
      <c r="D253" t="s">
        <v>257</v>
      </c>
      <c r="E253" t="s">
        <v>177</v>
      </c>
      <c r="F253" t="s">
        <v>1939</v>
      </c>
      <c r="G253">
        <v>100</v>
      </c>
      <c r="H253">
        <v>60</v>
      </c>
      <c r="I253">
        <v>0.75</v>
      </c>
      <c r="J253" t="s">
        <v>270</v>
      </c>
      <c r="K253" t="s">
        <v>273</v>
      </c>
      <c r="L253" s="67" t="str">
        <f>VLOOKUP($A253,MFMaster!$A$2:$C$300,2,FALSE)</f>
        <v>4-6 stories</v>
      </c>
      <c r="M253" s="67" t="str">
        <f>VLOOKUP($A253,MFMaster!$A$2:$CG$232,85,FALSE)</f>
        <v/>
      </c>
      <c r="P253"/>
      <c r="Q253"/>
    </row>
    <row r="254" spans="1:17">
      <c r="A254">
        <v>73003</v>
      </c>
      <c r="B254" t="s">
        <v>1935</v>
      </c>
      <c r="C254">
        <v>1</v>
      </c>
      <c r="D254" t="s">
        <v>1936</v>
      </c>
      <c r="E254" t="s">
        <v>177</v>
      </c>
      <c r="F254" t="s">
        <v>1937</v>
      </c>
      <c r="G254">
        <v>100</v>
      </c>
      <c r="H254">
        <v>1678</v>
      </c>
      <c r="I254">
        <v>0.55000001192092896</v>
      </c>
      <c r="J254" t="s">
        <v>270</v>
      </c>
      <c r="K254" t="s">
        <v>270</v>
      </c>
      <c r="L254" s="67" t="str">
        <f>VLOOKUP($A254,MFMaster!$A$2:$C$300,2,FALSE)</f>
        <v>1-3 stories</v>
      </c>
      <c r="M254" s="67">
        <f>VLOOKUP($A254,MFMaster!$A$2:$CG$232,85,FALSE)</f>
        <v>60.846343994140597</v>
      </c>
      <c r="P254"/>
      <c r="Q254"/>
    </row>
    <row r="255" spans="1:17">
      <c r="A255">
        <v>73004</v>
      </c>
      <c r="B255" t="s">
        <v>1938</v>
      </c>
      <c r="C255">
        <v>1</v>
      </c>
      <c r="D255" t="s">
        <v>1936</v>
      </c>
      <c r="E255" t="s">
        <v>177</v>
      </c>
      <c r="F255" t="s">
        <v>1937</v>
      </c>
      <c r="G255">
        <v>100</v>
      </c>
      <c r="H255">
        <v>1567</v>
      </c>
      <c r="I255">
        <v>0.55000001192092896</v>
      </c>
      <c r="J255" t="s">
        <v>270</v>
      </c>
      <c r="K255" t="s">
        <v>270</v>
      </c>
      <c r="L255" s="67" t="str">
        <f>VLOOKUP($A255,MFMaster!$A$2:$C$300,2,FALSE)</f>
        <v>1-3 stories</v>
      </c>
      <c r="M255" s="67">
        <f>VLOOKUP($A255,MFMaster!$A$2:$CG$232,85,FALSE)</f>
        <v>57.643905639648402</v>
      </c>
      <c r="P255"/>
      <c r="Q255"/>
    </row>
    <row r="256" spans="1:17">
      <c r="A256">
        <v>73005</v>
      </c>
      <c r="B256" t="s">
        <v>1938</v>
      </c>
      <c r="C256">
        <v>1</v>
      </c>
      <c r="D256" t="s">
        <v>257</v>
      </c>
      <c r="E256" t="s">
        <v>177</v>
      </c>
      <c r="F256" t="s">
        <v>1937</v>
      </c>
      <c r="G256">
        <v>90</v>
      </c>
      <c r="H256">
        <v>1645</v>
      </c>
      <c r="I256">
        <v>0.80000001192092896</v>
      </c>
      <c r="J256" t="s">
        <v>270</v>
      </c>
      <c r="K256" t="s">
        <v>270</v>
      </c>
      <c r="L256" s="67" t="str">
        <f>VLOOKUP($A256,MFMaster!$A$2:$C$300,2,FALSE)</f>
        <v>1-3 stories</v>
      </c>
      <c r="M256" s="67">
        <f>VLOOKUP($A256,MFMaster!$A$2:$CG$232,85,FALSE)</f>
        <v>54.761714935302699</v>
      </c>
      <c r="P256"/>
      <c r="Q256"/>
    </row>
    <row r="257" spans="1:17">
      <c r="A257">
        <v>73006</v>
      </c>
      <c r="B257" t="s">
        <v>1938</v>
      </c>
      <c r="C257">
        <v>1</v>
      </c>
      <c r="D257" t="s">
        <v>1936</v>
      </c>
      <c r="E257" t="s">
        <v>177</v>
      </c>
      <c r="F257" t="s">
        <v>1937</v>
      </c>
      <c r="G257">
        <v>96</v>
      </c>
      <c r="H257">
        <v>906</v>
      </c>
      <c r="I257">
        <v>0.55000001192092896</v>
      </c>
      <c r="J257" t="s">
        <v>270</v>
      </c>
      <c r="K257" t="s">
        <v>270</v>
      </c>
      <c r="L257" s="67" t="str">
        <f>VLOOKUP($A257,MFMaster!$A$2:$C$300,2,FALSE)</f>
        <v>1-3 stories</v>
      </c>
      <c r="M257" s="67">
        <f>VLOOKUP($A257,MFMaster!$A$2:$CG$232,85,FALSE)</f>
        <v>73.015617370605497</v>
      </c>
      <c r="P257"/>
      <c r="Q257"/>
    </row>
    <row r="258" spans="1:17">
      <c r="A258">
        <v>73006</v>
      </c>
      <c r="B258" t="s">
        <v>1935</v>
      </c>
      <c r="C258">
        <v>2</v>
      </c>
      <c r="D258" t="s">
        <v>257</v>
      </c>
      <c r="E258" t="s">
        <v>184</v>
      </c>
      <c r="F258"/>
      <c r="G258">
        <v>58</v>
      </c>
      <c r="H258">
        <v>781</v>
      </c>
      <c r="I258">
        <v>1.1000000238418599</v>
      </c>
      <c r="J258" t="s">
        <v>270</v>
      </c>
      <c r="K258" t="s">
        <v>270</v>
      </c>
      <c r="L258" s="67" t="str">
        <f>VLOOKUP($A258,MFMaster!$A$2:$C$300,2,FALSE)</f>
        <v>1-3 stories</v>
      </c>
      <c r="M258" s="67">
        <f>VLOOKUP($A258,MFMaster!$A$2:$CG$232,85,FALSE)</f>
        <v>73.015617370605497</v>
      </c>
      <c r="P258"/>
      <c r="Q258"/>
    </row>
    <row r="259" spans="1:17">
      <c r="A259">
        <v>73007</v>
      </c>
      <c r="B259" t="s">
        <v>1935</v>
      </c>
      <c r="C259">
        <v>1</v>
      </c>
      <c r="D259" t="s">
        <v>1936</v>
      </c>
      <c r="E259" t="s">
        <v>177</v>
      </c>
      <c r="F259" t="s">
        <v>1937</v>
      </c>
      <c r="G259">
        <v>100</v>
      </c>
      <c r="H259">
        <v>1720</v>
      </c>
      <c r="I259">
        <v>0.55000001192092896</v>
      </c>
      <c r="J259" t="s">
        <v>270</v>
      </c>
      <c r="K259" t="s">
        <v>270</v>
      </c>
      <c r="L259" s="67" t="str">
        <f>VLOOKUP($A259,MFMaster!$A$2:$C$300,2,FALSE)</f>
        <v>1-3 stories</v>
      </c>
      <c r="M259" s="67">
        <f>VLOOKUP($A259,MFMaster!$A$2:$CG$232,85,FALSE)</f>
        <v>64.425544738769503</v>
      </c>
      <c r="P259"/>
      <c r="Q259"/>
    </row>
    <row r="260" spans="1:17">
      <c r="A260">
        <v>73008</v>
      </c>
      <c r="B260" t="s">
        <v>1935</v>
      </c>
      <c r="C260">
        <v>1</v>
      </c>
      <c r="D260" t="s">
        <v>257</v>
      </c>
      <c r="E260" t="s">
        <v>177</v>
      </c>
      <c r="F260" t="s">
        <v>1939</v>
      </c>
      <c r="G260">
        <v>100</v>
      </c>
      <c r="H260">
        <v>1250</v>
      </c>
      <c r="I260">
        <v>0.85000002384185802</v>
      </c>
      <c r="J260" t="s">
        <v>270</v>
      </c>
      <c r="K260" t="s">
        <v>270</v>
      </c>
      <c r="L260" s="67" t="str">
        <f>VLOOKUP($A260,MFMaster!$A$2:$C$300,2,FALSE)</f>
        <v>1-3 stories</v>
      </c>
      <c r="M260" s="67">
        <f>VLOOKUP($A260,MFMaster!$A$2:$CG$232,85,FALSE)</f>
        <v>52.154014587402301</v>
      </c>
      <c r="P260"/>
      <c r="Q260"/>
    </row>
    <row r="261" spans="1:17">
      <c r="A261">
        <v>73009</v>
      </c>
      <c r="B261" t="s">
        <v>1938</v>
      </c>
      <c r="C261">
        <v>1</v>
      </c>
      <c r="D261" t="s">
        <v>1936</v>
      </c>
      <c r="E261" t="s">
        <v>177</v>
      </c>
      <c r="F261" t="s">
        <v>1939</v>
      </c>
      <c r="G261">
        <v>100</v>
      </c>
      <c r="H261">
        <v>1802</v>
      </c>
      <c r="I261">
        <v>0.55000001192092896</v>
      </c>
      <c r="J261" t="s">
        <v>270</v>
      </c>
      <c r="K261" t="s">
        <v>273</v>
      </c>
      <c r="L261" s="67" t="str">
        <f>VLOOKUP($A261,MFMaster!$A$2:$C$300,2,FALSE)</f>
        <v>4-6 stories</v>
      </c>
      <c r="M261" s="67" t="str">
        <f>VLOOKUP($A261,MFMaster!$A$2:$CG$232,85,FALSE)</f>
        <v/>
      </c>
      <c r="P261"/>
      <c r="Q261"/>
    </row>
    <row r="262" spans="1:17">
      <c r="A262">
        <v>73010</v>
      </c>
      <c r="B262" t="s">
        <v>1940</v>
      </c>
      <c r="C262">
        <v>1</v>
      </c>
      <c r="D262" t="s">
        <v>1936</v>
      </c>
      <c r="E262" t="s">
        <v>177</v>
      </c>
      <c r="F262" t="s">
        <v>1937</v>
      </c>
      <c r="G262">
        <v>100</v>
      </c>
      <c r="H262">
        <v>1934</v>
      </c>
      <c r="I262">
        <v>0.55000001192092896</v>
      </c>
      <c r="J262" t="s">
        <v>270</v>
      </c>
      <c r="K262" t="s">
        <v>270</v>
      </c>
      <c r="L262" s="67" t="str">
        <f>VLOOKUP($A262,MFMaster!$A$2:$C$300,2,FALSE)</f>
        <v>1-3 stories</v>
      </c>
      <c r="M262" s="67" t="str">
        <f>VLOOKUP($A262,MFMaster!$A$2:$CG$232,85,FALSE)</f>
        <v/>
      </c>
      <c r="P262"/>
      <c r="Q262"/>
    </row>
    <row r="263" spans="1:17">
      <c r="A263">
        <v>73010</v>
      </c>
      <c r="B263" t="s">
        <v>1941</v>
      </c>
      <c r="C263">
        <v>2</v>
      </c>
      <c r="D263" t="s">
        <v>257</v>
      </c>
      <c r="E263" t="s">
        <v>184</v>
      </c>
      <c r="F263"/>
      <c r="G263">
        <v>0</v>
      </c>
      <c r="H263">
        <v>9</v>
      </c>
      <c r="I263">
        <v>1.1000000238418599</v>
      </c>
      <c r="J263" t="s">
        <v>270</v>
      </c>
      <c r="K263" t="s">
        <v>270</v>
      </c>
      <c r="L263" s="67" t="str">
        <f>VLOOKUP($A263,MFMaster!$A$2:$C$300,2,FALSE)</f>
        <v>1-3 stories</v>
      </c>
      <c r="M263" s="67" t="str">
        <f>VLOOKUP($A263,MFMaster!$A$2:$CG$232,85,FALSE)</f>
        <v/>
      </c>
      <c r="P263"/>
      <c r="Q263"/>
    </row>
    <row r="264" spans="1:17">
      <c r="A264">
        <v>74001</v>
      </c>
      <c r="B264" t="s">
        <v>1935</v>
      </c>
      <c r="C264">
        <v>1</v>
      </c>
      <c r="D264" t="s">
        <v>1936</v>
      </c>
      <c r="E264" t="s">
        <v>177</v>
      </c>
      <c r="F264" t="s">
        <v>1939</v>
      </c>
      <c r="G264">
        <v>99</v>
      </c>
      <c r="H264">
        <v>5150</v>
      </c>
      <c r="I264">
        <v>0.60000002384185802</v>
      </c>
      <c r="J264" t="s">
        <v>270</v>
      </c>
      <c r="K264" t="s">
        <v>270</v>
      </c>
      <c r="L264" s="67" t="str">
        <f>VLOOKUP($A264,MFMaster!$A$2:$C$300,2,FALSE)</f>
        <v>4-6 stories</v>
      </c>
      <c r="M264" s="67" t="str">
        <f>VLOOKUP($A264,MFMaster!$A$2:$CG$232,85,FALSE)</f>
        <v/>
      </c>
      <c r="P264"/>
      <c r="Q264"/>
    </row>
    <row r="265" spans="1:17">
      <c r="A265">
        <v>74002</v>
      </c>
      <c r="B265" t="s">
        <v>1940</v>
      </c>
      <c r="C265">
        <v>1</v>
      </c>
      <c r="D265" t="s">
        <v>1936</v>
      </c>
      <c r="E265" t="s">
        <v>177</v>
      </c>
      <c r="F265" t="s">
        <v>1939</v>
      </c>
      <c r="G265">
        <v>100</v>
      </c>
      <c r="H265">
        <v>2280</v>
      </c>
      <c r="I265">
        <v>0.55000001192092896</v>
      </c>
      <c r="J265" t="s">
        <v>270</v>
      </c>
      <c r="K265" t="s">
        <v>273</v>
      </c>
      <c r="L265" s="67" t="str">
        <f>VLOOKUP($A265,MFMaster!$A$2:$C$300,2,FALSE)</f>
        <v>4-6 stories</v>
      </c>
      <c r="M265" s="67" t="str">
        <f>VLOOKUP($A265,MFMaster!$A$2:$CG$232,85,FALSE)</f>
        <v/>
      </c>
      <c r="P265"/>
      <c r="Q265"/>
    </row>
    <row r="266" spans="1:17">
      <c r="A266">
        <v>74002</v>
      </c>
      <c r="B266" t="s">
        <v>1941</v>
      </c>
      <c r="C266">
        <v>3</v>
      </c>
      <c r="D266" t="s">
        <v>1936</v>
      </c>
      <c r="E266" t="s">
        <v>177</v>
      </c>
      <c r="F266" t="s">
        <v>1937</v>
      </c>
      <c r="G266">
        <v>0</v>
      </c>
      <c r="H266">
        <v>112</v>
      </c>
      <c r="I266">
        <v>0.44999998807907099</v>
      </c>
      <c r="J266" t="s">
        <v>270</v>
      </c>
      <c r="K266" t="s">
        <v>273</v>
      </c>
      <c r="L266" s="67" t="str">
        <f>VLOOKUP($A266,MFMaster!$A$2:$C$300,2,FALSE)</f>
        <v>4-6 stories</v>
      </c>
      <c r="M266" s="67" t="str">
        <f>VLOOKUP($A266,MFMaster!$A$2:$CG$232,85,FALSE)</f>
        <v/>
      </c>
      <c r="P266"/>
      <c r="Q266"/>
    </row>
    <row r="267" spans="1:17">
      <c r="A267">
        <v>74003</v>
      </c>
      <c r="B267" t="s">
        <v>1938</v>
      </c>
      <c r="C267">
        <v>1</v>
      </c>
      <c r="D267" t="s">
        <v>257</v>
      </c>
      <c r="E267" t="s">
        <v>177</v>
      </c>
      <c r="F267" t="s">
        <v>1939</v>
      </c>
      <c r="G267">
        <v>90</v>
      </c>
      <c r="H267">
        <v>3161</v>
      </c>
      <c r="I267">
        <v>0.75</v>
      </c>
      <c r="J267" t="s">
        <v>270</v>
      </c>
      <c r="K267" t="s">
        <v>273</v>
      </c>
      <c r="L267" s="67" t="str">
        <f>VLOOKUP($A267,MFMaster!$A$2:$C$300,2,FALSE)</f>
        <v>1-3 stories</v>
      </c>
      <c r="M267" s="67">
        <f>VLOOKUP($A267,MFMaster!$A$2:$CG$232,85,FALSE)</f>
        <v>36.507808685302699</v>
      </c>
      <c r="P267"/>
      <c r="Q267"/>
    </row>
    <row r="268" spans="1:17">
      <c r="A268">
        <v>74003</v>
      </c>
      <c r="B268" t="s">
        <v>1935</v>
      </c>
      <c r="C268">
        <v>2</v>
      </c>
      <c r="D268" t="s">
        <v>257</v>
      </c>
      <c r="E268" t="s">
        <v>177</v>
      </c>
      <c r="F268" t="s">
        <v>1937</v>
      </c>
      <c r="G268">
        <v>0</v>
      </c>
      <c r="H268">
        <v>56</v>
      </c>
      <c r="I268">
        <v>0.75</v>
      </c>
      <c r="J268" t="s">
        <v>270</v>
      </c>
      <c r="K268" t="s">
        <v>273</v>
      </c>
      <c r="L268" s="67" t="str">
        <f>VLOOKUP($A268,MFMaster!$A$2:$C$300,2,FALSE)</f>
        <v>1-3 stories</v>
      </c>
      <c r="M268" s="67">
        <f>VLOOKUP($A268,MFMaster!$A$2:$CG$232,85,FALSE)</f>
        <v>36.507808685302699</v>
      </c>
      <c r="P268"/>
      <c r="Q268"/>
    </row>
    <row r="269" spans="1:17">
      <c r="A269">
        <v>74004</v>
      </c>
      <c r="B269" t="s">
        <v>1938</v>
      </c>
      <c r="C269">
        <v>1</v>
      </c>
      <c r="D269" t="s">
        <v>257</v>
      </c>
      <c r="E269" t="s">
        <v>177</v>
      </c>
      <c r="F269" t="s">
        <v>1939</v>
      </c>
      <c r="G269">
        <v>6</v>
      </c>
      <c r="H269">
        <v>1726</v>
      </c>
      <c r="I269">
        <v>0.75</v>
      </c>
      <c r="J269" t="s">
        <v>270</v>
      </c>
      <c r="K269" t="s">
        <v>273</v>
      </c>
      <c r="L269" s="67" t="str">
        <f>VLOOKUP($A269,MFMaster!$A$2:$C$300,2,FALSE)</f>
        <v>1-3 stories</v>
      </c>
      <c r="M269" s="67">
        <f>VLOOKUP($A269,MFMaster!$A$2:$CG$232,85,FALSE)</f>
        <v>45.634761810302699</v>
      </c>
      <c r="P269"/>
      <c r="Q269"/>
    </row>
    <row r="270" spans="1:17">
      <c r="A270">
        <v>74005</v>
      </c>
      <c r="B270" t="s">
        <v>1935</v>
      </c>
      <c r="C270">
        <v>1</v>
      </c>
      <c r="D270" t="s">
        <v>1936</v>
      </c>
      <c r="E270" t="s">
        <v>177</v>
      </c>
      <c r="F270" t="s">
        <v>1937</v>
      </c>
      <c r="G270">
        <v>83</v>
      </c>
      <c r="H270">
        <v>3399</v>
      </c>
      <c r="I270">
        <v>0.55000001192092896</v>
      </c>
      <c r="J270" t="s">
        <v>270</v>
      </c>
      <c r="K270" t="s">
        <v>270</v>
      </c>
      <c r="L270" s="67" t="str">
        <f>VLOOKUP($A270,MFMaster!$A$2:$C$300,2,FALSE)</f>
        <v>1-3 stories</v>
      </c>
      <c r="M270" s="67">
        <f>VLOOKUP($A270,MFMaster!$A$2:$CG$232,85,FALSE)</f>
        <v>40.564231872558601</v>
      </c>
      <c r="P270"/>
      <c r="Q270"/>
    </row>
    <row r="271" spans="1:17">
      <c r="A271">
        <v>74005</v>
      </c>
      <c r="B271" t="s">
        <v>1940</v>
      </c>
      <c r="C271">
        <v>2</v>
      </c>
      <c r="D271" t="s">
        <v>257</v>
      </c>
      <c r="E271" t="s">
        <v>177</v>
      </c>
      <c r="F271" t="s">
        <v>1937</v>
      </c>
      <c r="G271">
        <v>0</v>
      </c>
      <c r="H271">
        <v>5</v>
      </c>
      <c r="I271">
        <v>0.80000001192092896</v>
      </c>
      <c r="J271" t="s">
        <v>270</v>
      </c>
      <c r="K271" t="s">
        <v>270</v>
      </c>
      <c r="L271" s="67" t="str">
        <f>VLOOKUP($A271,MFMaster!$A$2:$C$300,2,FALSE)</f>
        <v>1-3 stories</v>
      </c>
      <c r="M271" s="67">
        <f>VLOOKUP($A271,MFMaster!$A$2:$CG$232,85,FALSE)</f>
        <v>40.564231872558601</v>
      </c>
      <c r="P271"/>
      <c r="Q271"/>
    </row>
    <row r="272" spans="1:17">
      <c r="A272">
        <v>74006</v>
      </c>
      <c r="B272" t="s">
        <v>1938</v>
      </c>
      <c r="C272">
        <v>1</v>
      </c>
      <c r="D272" t="s">
        <v>1936</v>
      </c>
      <c r="E272" t="s">
        <v>177</v>
      </c>
      <c r="F272" t="s">
        <v>1937</v>
      </c>
      <c r="G272">
        <v>100</v>
      </c>
      <c r="H272">
        <v>1866</v>
      </c>
      <c r="I272">
        <v>0.44999998807907099</v>
      </c>
      <c r="J272" t="s">
        <v>270</v>
      </c>
      <c r="K272" t="s">
        <v>273</v>
      </c>
      <c r="L272" s="67" t="str">
        <f>VLOOKUP($A272,MFMaster!$A$2:$C$300,2,FALSE)</f>
        <v>1-3 stories</v>
      </c>
      <c r="M272" s="67">
        <f>VLOOKUP($A272,MFMaster!$A$2:$CG$232,85,FALSE)</f>
        <v>47.6188774108887</v>
      </c>
      <c r="P272"/>
      <c r="Q272"/>
    </row>
    <row r="273" spans="1:17">
      <c r="A273">
        <v>74007</v>
      </c>
      <c r="B273" t="s">
        <v>1935</v>
      </c>
      <c r="C273">
        <v>1</v>
      </c>
      <c r="D273" t="s">
        <v>257</v>
      </c>
      <c r="E273" t="s">
        <v>177</v>
      </c>
      <c r="F273" t="s">
        <v>1939</v>
      </c>
      <c r="G273">
        <v>100</v>
      </c>
      <c r="H273">
        <v>3918</v>
      </c>
      <c r="I273">
        <v>0.85000002384185802</v>
      </c>
      <c r="J273" t="s">
        <v>270</v>
      </c>
      <c r="K273" t="s">
        <v>270</v>
      </c>
      <c r="L273" s="67" t="str">
        <f>VLOOKUP($A273,MFMaster!$A$2:$C$300,2,FALSE)</f>
        <v>4-6 stories</v>
      </c>
      <c r="M273" s="67" t="str">
        <f>VLOOKUP($A273,MFMaster!$A$2:$CG$232,85,FALSE)</f>
        <v/>
      </c>
      <c r="P273"/>
      <c r="Q273"/>
    </row>
    <row r="274" spans="1:17">
      <c r="A274">
        <v>74008</v>
      </c>
      <c r="B274" t="s">
        <v>1935</v>
      </c>
      <c r="C274">
        <v>1</v>
      </c>
      <c r="D274" t="s">
        <v>1936</v>
      </c>
      <c r="E274" t="s">
        <v>177</v>
      </c>
      <c r="F274" t="s">
        <v>1937</v>
      </c>
      <c r="G274">
        <v>95</v>
      </c>
      <c r="H274">
        <v>1774</v>
      </c>
      <c r="I274">
        <v>0.44999998807907099</v>
      </c>
      <c r="J274" t="s">
        <v>270</v>
      </c>
      <c r="K274" t="s">
        <v>273</v>
      </c>
      <c r="L274" s="67" t="str">
        <f>VLOOKUP($A274,MFMaster!$A$2:$C$300,2,FALSE)</f>
        <v>4-6 stories</v>
      </c>
      <c r="M274" s="67" t="str">
        <f>VLOOKUP($A274,MFMaster!$A$2:$CG$232,85,FALSE)</f>
        <v/>
      </c>
      <c r="P274"/>
      <c r="Q274"/>
    </row>
    <row r="275" spans="1:17">
      <c r="A275">
        <v>74008</v>
      </c>
      <c r="B275" t="s">
        <v>1940</v>
      </c>
      <c r="C275">
        <v>2</v>
      </c>
      <c r="D275" t="s">
        <v>257</v>
      </c>
      <c r="E275" t="s">
        <v>177</v>
      </c>
      <c r="F275" t="s">
        <v>1939</v>
      </c>
      <c r="G275">
        <v>50</v>
      </c>
      <c r="H275">
        <v>90</v>
      </c>
      <c r="I275">
        <v>0.75</v>
      </c>
      <c r="J275" t="s">
        <v>270</v>
      </c>
      <c r="K275" t="s">
        <v>273</v>
      </c>
      <c r="L275" s="67" t="str">
        <f>VLOOKUP($A275,MFMaster!$A$2:$C$300,2,FALSE)</f>
        <v>4-6 stories</v>
      </c>
      <c r="M275" s="67" t="str">
        <f>VLOOKUP($A275,MFMaster!$A$2:$CG$232,85,FALSE)</f>
        <v/>
      </c>
      <c r="P275"/>
      <c r="Q275"/>
    </row>
    <row r="276" spans="1:17">
      <c r="A276">
        <v>74009</v>
      </c>
      <c r="B276" t="s">
        <v>1938</v>
      </c>
      <c r="C276">
        <v>1</v>
      </c>
      <c r="D276" t="s">
        <v>257</v>
      </c>
      <c r="E276" t="s">
        <v>177</v>
      </c>
      <c r="F276" t="s">
        <v>1939</v>
      </c>
      <c r="G276">
        <v>85</v>
      </c>
      <c r="H276">
        <v>4496</v>
      </c>
      <c r="I276">
        <v>0.85000002384185802</v>
      </c>
      <c r="J276" t="s">
        <v>270</v>
      </c>
      <c r="K276" t="s">
        <v>270</v>
      </c>
      <c r="L276" s="67" t="str">
        <f>VLOOKUP($A276,MFMaster!$A$2:$C$300,2,FALSE)</f>
        <v>4-6 stories</v>
      </c>
      <c r="M276" s="67" t="str">
        <f>VLOOKUP($A276,MFMaster!$A$2:$CG$232,85,FALSE)</f>
        <v/>
      </c>
      <c r="P276"/>
      <c r="Q276"/>
    </row>
    <row r="277" spans="1:17">
      <c r="A277">
        <v>74010</v>
      </c>
      <c r="B277" t="s">
        <v>1935</v>
      </c>
      <c r="C277">
        <v>1</v>
      </c>
      <c r="D277" t="s">
        <v>257</v>
      </c>
      <c r="E277" t="s">
        <v>177</v>
      </c>
      <c r="F277" t="s">
        <v>1937</v>
      </c>
      <c r="G277">
        <v>100</v>
      </c>
      <c r="H277">
        <v>3451</v>
      </c>
      <c r="I277">
        <v>0.75</v>
      </c>
      <c r="J277" t="s">
        <v>270</v>
      </c>
      <c r="K277" t="s">
        <v>273</v>
      </c>
      <c r="L277" s="67" t="str">
        <f>VLOOKUP($A277,MFMaster!$A$2:$C$300,2,FALSE)</f>
        <v>4-6 stories</v>
      </c>
      <c r="M277" s="67" t="str">
        <f>VLOOKUP($A277,MFMaster!$A$2:$CG$232,85,FALSE)</f>
        <v/>
      </c>
      <c r="P277"/>
      <c r="Q277"/>
    </row>
    <row r="278" spans="1:17">
      <c r="A278">
        <v>74011</v>
      </c>
      <c r="B278" t="s">
        <v>1941</v>
      </c>
      <c r="C278">
        <v>1</v>
      </c>
      <c r="D278" t="s">
        <v>1936</v>
      </c>
      <c r="E278" t="s">
        <v>177</v>
      </c>
      <c r="F278" t="s">
        <v>1937</v>
      </c>
      <c r="G278">
        <v>100</v>
      </c>
      <c r="H278">
        <v>1424</v>
      </c>
      <c r="I278">
        <v>0.55000001192092896</v>
      </c>
      <c r="J278" t="s">
        <v>270</v>
      </c>
      <c r="K278" t="s">
        <v>270</v>
      </c>
      <c r="L278" s="67" t="str">
        <f>VLOOKUP($A278,MFMaster!$A$2:$C$300,2,FALSE)</f>
        <v>1-3 stories</v>
      </c>
      <c r="M278" s="67">
        <f>VLOOKUP($A278,MFMaster!$A$2:$CG$232,85,FALSE)</f>
        <v>31.292406082153299</v>
      </c>
      <c r="P278"/>
      <c r="Q278"/>
    </row>
    <row r="279" spans="1:17">
      <c r="A279">
        <v>74011</v>
      </c>
      <c r="B279" t="s">
        <v>1942</v>
      </c>
      <c r="C279">
        <v>2</v>
      </c>
      <c r="D279" t="s">
        <v>257</v>
      </c>
      <c r="E279" t="s">
        <v>177</v>
      </c>
      <c r="F279" t="s">
        <v>1937</v>
      </c>
      <c r="G279">
        <v>48</v>
      </c>
      <c r="H279">
        <v>138</v>
      </c>
      <c r="I279">
        <v>0.80000001192092896</v>
      </c>
      <c r="J279" t="s">
        <v>270</v>
      </c>
      <c r="K279" t="s">
        <v>270</v>
      </c>
      <c r="L279" s="67" t="str">
        <f>VLOOKUP($A279,MFMaster!$A$2:$C$300,2,FALSE)</f>
        <v>1-3 stories</v>
      </c>
      <c r="M279" s="67">
        <f>VLOOKUP($A279,MFMaster!$A$2:$CG$232,85,FALSE)</f>
        <v>31.292406082153299</v>
      </c>
      <c r="P279"/>
      <c r="Q279"/>
    </row>
    <row r="280" spans="1:17">
      <c r="A280">
        <v>74012</v>
      </c>
      <c r="B280" t="s">
        <v>1935</v>
      </c>
      <c r="C280">
        <v>1</v>
      </c>
      <c r="D280" t="s">
        <v>257</v>
      </c>
      <c r="E280" t="s">
        <v>184</v>
      </c>
      <c r="F280"/>
      <c r="G280">
        <v>100</v>
      </c>
      <c r="H280">
        <v>3939</v>
      </c>
      <c r="I280">
        <v>1.1000000238418599</v>
      </c>
      <c r="J280" t="s">
        <v>270</v>
      </c>
      <c r="K280" t="s">
        <v>270</v>
      </c>
      <c r="L280" s="67" t="str">
        <f>VLOOKUP($A280,MFMaster!$A$2:$C$300,2,FALSE)</f>
        <v>4-6 stories</v>
      </c>
      <c r="M280" s="67" t="str">
        <f>VLOOKUP($A280,MFMaster!$A$2:$CG$232,85,FALSE)</f>
        <v/>
      </c>
      <c r="P280"/>
      <c r="Q280"/>
    </row>
    <row r="281" spans="1:17">
      <c r="A281">
        <v>74012</v>
      </c>
      <c r="B281" t="s">
        <v>1940</v>
      </c>
      <c r="C281">
        <v>2</v>
      </c>
      <c r="D281" t="s">
        <v>1936</v>
      </c>
      <c r="E281" t="s">
        <v>177</v>
      </c>
      <c r="F281" t="s">
        <v>1937</v>
      </c>
      <c r="G281">
        <v>0</v>
      </c>
      <c r="H281">
        <v>84</v>
      </c>
      <c r="I281">
        <v>0.55000001192092896</v>
      </c>
      <c r="J281" t="s">
        <v>270</v>
      </c>
      <c r="K281" t="s">
        <v>270</v>
      </c>
      <c r="L281" s="67" t="str">
        <f>VLOOKUP($A281,MFMaster!$A$2:$C$300,2,FALSE)</f>
        <v>4-6 stories</v>
      </c>
      <c r="M281" s="67" t="str">
        <f>VLOOKUP($A281,MFMaster!$A$2:$CG$232,85,FALSE)</f>
        <v/>
      </c>
      <c r="P281"/>
      <c r="Q281"/>
    </row>
    <row r="282" spans="1:17">
      <c r="A282">
        <v>74013</v>
      </c>
      <c r="B282" t="s">
        <v>1940</v>
      </c>
      <c r="C282">
        <v>1</v>
      </c>
      <c r="D282" t="s">
        <v>1936</v>
      </c>
      <c r="E282" t="s">
        <v>177</v>
      </c>
      <c r="F282" t="s">
        <v>1937</v>
      </c>
      <c r="G282">
        <v>88</v>
      </c>
      <c r="H282">
        <v>4318</v>
      </c>
      <c r="I282">
        <v>0.44999998807907099</v>
      </c>
      <c r="J282" t="s">
        <v>270</v>
      </c>
      <c r="K282" t="s">
        <v>273</v>
      </c>
      <c r="L282" s="67" t="str">
        <f>VLOOKUP($A282,MFMaster!$A$2:$C$300,2,FALSE)</f>
        <v>4-6 stories</v>
      </c>
      <c r="M282" s="67" t="str">
        <f>VLOOKUP($A282,MFMaster!$A$2:$CG$232,85,FALSE)</f>
        <v/>
      </c>
      <c r="P282"/>
      <c r="Q282"/>
    </row>
    <row r="283" spans="1:17">
      <c r="A283">
        <v>74013</v>
      </c>
      <c r="B283" t="s">
        <v>1941</v>
      </c>
      <c r="C283">
        <v>2</v>
      </c>
      <c r="D283" t="s">
        <v>257</v>
      </c>
      <c r="E283" t="s">
        <v>177</v>
      </c>
      <c r="F283" t="s">
        <v>1937</v>
      </c>
      <c r="G283">
        <v>50</v>
      </c>
      <c r="H283">
        <v>785</v>
      </c>
      <c r="I283">
        <v>0.75</v>
      </c>
      <c r="J283" t="s">
        <v>270</v>
      </c>
      <c r="K283" t="s">
        <v>273</v>
      </c>
      <c r="L283" s="67" t="str">
        <f>VLOOKUP($A283,MFMaster!$A$2:$C$300,2,FALSE)</f>
        <v>4-6 stories</v>
      </c>
      <c r="M283" s="67" t="str">
        <f>VLOOKUP($A283,MFMaster!$A$2:$CG$232,85,FALSE)</f>
        <v/>
      </c>
      <c r="P283"/>
      <c r="Q283"/>
    </row>
    <row r="284" spans="1:17">
      <c r="A284">
        <v>74014</v>
      </c>
      <c r="B284" t="s">
        <v>1940</v>
      </c>
      <c r="C284">
        <v>1</v>
      </c>
      <c r="D284" t="s">
        <v>257</v>
      </c>
      <c r="E284" t="s">
        <v>184</v>
      </c>
      <c r="F284"/>
      <c r="G284">
        <v>95</v>
      </c>
      <c r="H284">
        <v>3513</v>
      </c>
      <c r="I284">
        <v>1.1000000238418599</v>
      </c>
      <c r="J284" t="s">
        <v>270</v>
      </c>
      <c r="K284" t="s">
        <v>270</v>
      </c>
      <c r="L284" s="67" t="str">
        <f>VLOOKUP($A284,MFMaster!$A$2:$C$300,2,FALSE)</f>
        <v>4-6 stories</v>
      </c>
      <c r="M284" s="67" t="str">
        <f>VLOOKUP($A284,MFMaster!$A$2:$CG$232,85,FALSE)</f>
        <v/>
      </c>
      <c r="P284"/>
      <c r="Q284"/>
    </row>
    <row r="285" spans="1:17">
      <c r="A285">
        <v>74015</v>
      </c>
      <c r="B285" t="s">
        <v>1938</v>
      </c>
      <c r="C285">
        <v>1</v>
      </c>
      <c r="D285" t="s">
        <v>257</v>
      </c>
      <c r="E285" t="s">
        <v>177</v>
      </c>
      <c r="F285" t="s">
        <v>1939</v>
      </c>
      <c r="G285">
        <v>100</v>
      </c>
      <c r="H285">
        <v>1460</v>
      </c>
      <c r="I285">
        <v>0.85000002384185802</v>
      </c>
      <c r="J285" t="s">
        <v>270</v>
      </c>
      <c r="K285" t="s">
        <v>270</v>
      </c>
      <c r="L285" s="67" t="str">
        <f>VLOOKUP($A285,MFMaster!$A$2:$C$300,2,FALSE)</f>
        <v>1-3 stories</v>
      </c>
      <c r="M285" s="67">
        <f>VLOOKUP($A285,MFMaster!$A$2:$CG$232,85,FALSE)</f>
        <v>40.564231872558601</v>
      </c>
      <c r="P285"/>
      <c r="Q285"/>
    </row>
    <row r="286" spans="1:17">
      <c r="A286">
        <v>75001</v>
      </c>
      <c r="B286" t="s">
        <v>1938</v>
      </c>
      <c r="C286">
        <v>1</v>
      </c>
      <c r="D286" t="s">
        <v>257</v>
      </c>
      <c r="E286" t="s">
        <v>177</v>
      </c>
      <c r="F286" t="s">
        <v>1937</v>
      </c>
      <c r="G286">
        <v>100</v>
      </c>
      <c r="H286">
        <v>1414</v>
      </c>
      <c r="I286">
        <v>0.80000001192092896</v>
      </c>
      <c r="J286" t="s">
        <v>270</v>
      </c>
      <c r="K286" t="s">
        <v>270</v>
      </c>
      <c r="L286" s="67" t="str">
        <f>VLOOKUP($A286,MFMaster!$A$2:$C$300,2,FALSE)</f>
        <v>1-3 stories</v>
      </c>
      <c r="M286" s="67">
        <f>VLOOKUP($A286,MFMaster!$A$2:$CG$232,85,FALSE)</f>
        <v>28.821952819824201</v>
      </c>
      <c r="P286"/>
      <c r="Q286"/>
    </row>
    <row r="287" spans="1:17">
      <c r="A287">
        <v>75001</v>
      </c>
      <c r="B287" t="s">
        <v>1935</v>
      </c>
      <c r="C287">
        <v>2</v>
      </c>
      <c r="D287" t="s">
        <v>257</v>
      </c>
      <c r="E287" t="s">
        <v>177</v>
      </c>
      <c r="F287" t="s">
        <v>1937</v>
      </c>
      <c r="G287">
        <v>13</v>
      </c>
      <c r="H287">
        <v>332</v>
      </c>
      <c r="I287">
        <v>0.75</v>
      </c>
      <c r="J287" t="s">
        <v>270</v>
      </c>
      <c r="K287" t="s">
        <v>273</v>
      </c>
      <c r="L287" s="67" t="str">
        <f>VLOOKUP($A287,MFMaster!$A$2:$C$300,2,FALSE)</f>
        <v>1-3 stories</v>
      </c>
      <c r="M287" s="67">
        <f>VLOOKUP($A287,MFMaster!$A$2:$CG$232,85,FALSE)</f>
        <v>28.821952819824201</v>
      </c>
      <c r="P287"/>
      <c r="Q287"/>
    </row>
    <row r="288" spans="1:17">
      <c r="A288">
        <v>75002</v>
      </c>
      <c r="B288" t="s">
        <v>1938</v>
      </c>
      <c r="C288">
        <v>1</v>
      </c>
      <c r="D288" t="s">
        <v>257</v>
      </c>
      <c r="E288" t="s">
        <v>177</v>
      </c>
      <c r="F288" t="s">
        <v>1937</v>
      </c>
      <c r="G288">
        <v>94</v>
      </c>
      <c r="H288">
        <v>5930</v>
      </c>
      <c r="I288">
        <v>0.75</v>
      </c>
      <c r="J288" t="s">
        <v>270</v>
      </c>
      <c r="K288" t="s">
        <v>273</v>
      </c>
      <c r="L288" s="67" t="str">
        <f>VLOOKUP($A288,MFMaster!$A$2:$C$300,2,FALSE)</f>
        <v>7+ stories</v>
      </c>
      <c r="M288" s="67" t="str">
        <f>VLOOKUP($A288,MFMaster!$A$2:$CG$232,85,FALSE)</f>
        <v/>
      </c>
      <c r="P288"/>
      <c r="Q288"/>
    </row>
    <row r="289" spans="1:17">
      <c r="A289">
        <v>75002</v>
      </c>
      <c r="B289" t="s">
        <v>1935</v>
      </c>
      <c r="C289">
        <v>2</v>
      </c>
      <c r="D289" t="s">
        <v>1936</v>
      </c>
      <c r="E289" t="s">
        <v>177</v>
      </c>
      <c r="F289" t="s">
        <v>1937</v>
      </c>
      <c r="G289">
        <v>94</v>
      </c>
      <c r="H289">
        <v>3591</v>
      </c>
      <c r="I289">
        <v>0.44999998807907099</v>
      </c>
      <c r="J289" t="s">
        <v>270</v>
      </c>
      <c r="K289" t="s">
        <v>273</v>
      </c>
      <c r="L289" s="67" t="str">
        <f>VLOOKUP($A289,MFMaster!$A$2:$C$300,2,FALSE)</f>
        <v>7+ stories</v>
      </c>
      <c r="M289" s="67" t="str">
        <f>VLOOKUP($A289,MFMaster!$A$2:$CG$232,85,FALSE)</f>
        <v/>
      </c>
      <c r="P289"/>
      <c r="Q289"/>
    </row>
    <row r="290" spans="1:17">
      <c r="A290">
        <v>75002</v>
      </c>
      <c r="B290" t="s">
        <v>1940</v>
      </c>
      <c r="C290">
        <v>3</v>
      </c>
      <c r="D290" t="s">
        <v>257</v>
      </c>
      <c r="E290" t="s">
        <v>184</v>
      </c>
      <c r="F290"/>
      <c r="G290">
        <v>8</v>
      </c>
      <c r="H290">
        <v>773</v>
      </c>
      <c r="I290">
        <v>1.1000000238418599</v>
      </c>
      <c r="J290" t="s">
        <v>270</v>
      </c>
      <c r="K290" t="s">
        <v>270</v>
      </c>
      <c r="L290" s="67" t="str">
        <f>VLOOKUP($A290,MFMaster!$A$2:$C$300,2,FALSE)</f>
        <v>7+ stories</v>
      </c>
      <c r="M290" s="67" t="str">
        <f>VLOOKUP($A290,MFMaster!$A$2:$CG$232,85,FALSE)</f>
        <v/>
      </c>
      <c r="P290"/>
      <c r="Q290"/>
    </row>
    <row r="291" spans="1:17">
      <c r="A291">
        <v>75003</v>
      </c>
      <c r="B291" t="s">
        <v>1935</v>
      </c>
      <c r="C291">
        <v>1</v>
      </c>
      <c r="D291" t="s">
        <v>257</v>
      </c>
      <c r="E291" t="s">
        <v>177</v>
      </c>
      <c r="F291" t="s">
        <v>1939</v>
      </c>
      <c r="G291">
        <v>100</v>
      </c>
      <c r="H291">
        <v>3680</v>
      </c>
      <c r="I291">
        <v>0.75</v>
      </c>
      <c r="J291" t="s">
        <v>270</v>
      </c>
      <c r="K291" t="s">
        <v>273</v>
      </c>
      <c r="L291" s="67" t="str">
        <f>VLOOKUP($A291,MFMaster!$A$2:$C$300,2,FALSE)</f>
        <v>4-6 stories</v>
      </c>
      <c r="M291" s="67" t="str">
        <f>VLOOKUP($A291,MFMaster!$A$2:$CG$232,85,FALSE)</f>
        <v/>
      </c>
      <c r="P291"/>
      <c r="Q291"/>
    </row>
    <row r="292" spans="1:17">
      <c r="A292">
        <v>75003</v>
      </c>
      <c r="B292" t="s">
        <v>1940</v>
      </c>
      <c r="C292">
        <v>2</v>
      </c>
      <c r="D292" t="s">
        <v>1936</v>
      </c>
      <c r="E292" t="s">
        <v>177</v>
      </c>
      <c r="F292" t="s">
        <v>1939</v>
      </c>
      <c r="G292">
        <v>100</v>
      </c>
      <c r="H292">
        <v>112</v>
      </c>
      <c r="I292">
        <v>0.55000001192092896</v>
      </c>
      <c r="J292" t="s">
        <v>270</v>
      </c>
      <c r="K292" t="s">
        <v>273</v>
      </c>
      <c r="L292" s="67" t="str">
        <f>VLOOKUP($A292,MFMaster!$A$2:$C$300,2,FALSE)</f>
        <v>4-6 stories</v>
      </c>
      <c r="M292" s="67" t="str">
        <f>VLOOKUP($A292,MFMaster!$A$2:$CG$232,85,FALSE)</f>
        <v/>
      </c>
      <c r="P292"/>
      <c r="Q292"/>
    </row>
    <row r="293" spans="1:17">
      <c r="A293">
        <v>75004</v>
      </c>
      <c r="B293" t="s">
        <v>1935</v>
      </c>
      <c r="C293">
        <v>1</v>
      </c>
      <c r="D293" t="s">
        <v>257</v>
      </c>
      <c r="E293" t="s">
        <v>177</v>
      </c>
      <c r="F293" t="s">
        <v>1937</v>
      </c>
      <c r="G293">
        <v>60</v>
      </c>
      <c r="H293">
        <v>4240</v>
      </c>
      <c r="I293">
        <v>0.75</v>
      </c>
      <c r="J293" t="s">
        <v>270</v>
      </c>
      <c r="K293" t="s">
        <v>273</v>
      </c>
      <c r="L293" s="67" t="str">
        <f>VLOOKUP($A293,MFMaster!$A$2:$C$300,2,FALSE)</f>
        <v>1-3 stories</v>
      </c>
      <c r="M293" s="67">
        <f>VLOOKUP($A293,MFMaster!$A$2:$CG$232,85,FALSE)</f>
        <v>19.557754516601602</v>
      </c>
      <c r="P293"/>
      <c r="Q293"/>
    </row>
    <row r="294" spans="1:17">
      <c r="A294">
        <v>75005</v>
      </c>
      <c r="B294" t="s">
        <v>1940</v>
      </c>
      <c r="C294">
        <v>1</v>
      </c>
      <c r="D294" t="s">
        <v>257</v>
      </c>
      <c r="E294" t="s">
        <v>177</v>
      </c>
      <c r="F294" t="s">
        <v>1937</v>
      </c>
      <c r="G294">
        <v>100</v>
      </c>
      <c r="H294">
        <v>4553</v>
      </c>
      <c r="I294">
        <v>0.80000001192092896</v>
      </c>
      <c r="J294" t="s">
        <v>270</v>
      </c>
      <c r="K294" t="s">
        <v>270</v>
      </c>
      <c r="L294" s="67" t="str">
        <f>VLOOKUP($A294,MFMaster!$A$2:$C$300,2,FALSE)</f>
        <v>4-6 stories</v>
      </c>
      <c r="M294" s="67" t="str">
        <f>VLOOKUP($A294,MFMaster!$A$2:$CG$232,85,FALSE)</f>
        <v/>
      </c>
      <c r="P294"/>
      <c r="Q294"/>
    </row>
    <row r="295" spans="1:17">
      <c r="A295">
        <v>75005</v>
      </c>
      <c r="B295" t="s">
        <v>1941</v>
      </c>
      <c r="C295">
        <v>2</v>
      </c>
      <c r="D295" t="s">
        <v>1936</v>
      </c>
      <c r="E295" t="s">
        <v>177</v>
      </c>
      <c r="F295" t="s">
        <v>1937</v>
      </c>
      <c r="G295">
        <v>100</v>
      </c>
      <c r="H295">
        <v>128</v>
      </c>
      <c r="I295">
        <v>0.44999998807907099</v>
      </c>
      <c r="J295" t="s">
        <v>270</v>
      </c>
      <c r="K295" t="s">
        <v>273</v>
      </c>
      <c r="L295" s="67" t="str">
        <f>VLOOKUP($A295,MFMaster!$A$2:$C$300,2,FALSE)</f>
        <v>4-6 stories</v>
      </c>
      <c r="M295" s="67" t="str">
        <f>VLOOKUP($A295,MFMaster!$A$2:$CG$232,85,FALSE)</f>
        <v/>
      </c>
      <c r="P295"/>
      <c r="Q295"/>
    </row>
    <row r="296" spans="1:17">
      <c r="A296">
        <v>75006</v>
      </c>
      <c r="B296" t="s">
        <v>1935</v>
      </c>
      <c r="C296">
        <v>1</v>
      </c>
      <c r="D296" t="s">
        <v>257</v>
      </c>
      <c r="E296" t="s">
        <v>177</v>
      </c>
      <c r="F296" t="s">
        <v>1937</v>
      </c>
      <c r="G296">
        <v>100</v>
      </c>
      <c r="H296">
        <v>2898</v>
      </c>
      <c r="I296">
        <v>0.80000001192092896</v>
      </c>
      <c r="J296" t="s">
        <v>270</v>
      </c>
      <c r="K296" t="s">
        <v>270</v>
      </c>
      <c r="L296" s="67" t="str">
        <f>VLOOKUP($A296,MFMaster!$A$2:$C$300,2,FALSE)</f>
        <v>4-6 stories</v>
      </c>
      <c r="M296" s="67" t="str">
        <f>VLOOKUP($A296,MFMaster!$A$2:$CG$232,85,FALSE)</f>
        <v/>
      </c>
      <c r="P296"/>
      <c r="Q296"/>
    </row>
    <row r="297" spans="1:17">
      <c r="A297">
        <v>75006</v>
      </c>
      <c r="B297" t="s">
        <v>1940</v>
      </c>
      <c r="C297">
        <v>2</v>
      </c>
      <c r="D297" t="s">
        <v>1936</v>
      </c>
      <c r="E297" t="s">
        <v>184</v>
      </c>
      <c r="F297"/>
      <c r="G297">
        <v>12</v>
      </c>
      <c r="H297">
        <v>414</v>
      </c>
      <c r="I297">
        <v>0.94999998807907104</v>
      </c>
      <c r="J297" t="s">
        <v>270</v>
      </c>
      <c r="K297" t="s">
        <v>270</v>
      </c>
      <c r="L297" s="67" t="str">
        <f>VLOOKUP($A297,MFMaster!$A$2:$C$300,2,FALSE)</f>
        <v>4-6 stories</v>
      </c>
      <c r="M297" s="67" t="str">
        <f>VLOOKUP($A297,MFMaster!$A$2:$CG$232,85,FALSE)</f>
        <v/>
      </c>
      <c r="P297"/>
      <c r="Q297"/>
    </row>
    <row r="298" spans="1:17">
      <c r="A298">
        <v>75007</v>
      </c>
      <c r="B298" t="s">
        <v>1940</v>
      </c>
      <c r="C298">
        <v>1</v>
      </c>
      <c r="D298" t="s">
        <v>1936</v>
      </c>
      <c r="E298" t="s">
        <v>177</v>
      </c>
      <c r="F298" t="s">
        <v>1937</v>
      </c>
      <c r="G298">
        <v>90</v>
      </c>
      <c r="H298">
        <v>4164</v>
      </c>
      <c r="I298">
        <v>0.44999998807907099</v>
      </c>
      <c r="J298" t="s">
        <v>270</v>
      </c>
      <c r="K298" t="s">
        <v>273</v>
      </c>
      <c r="L298" s="67" t="str">
        <f>VLOOKUP($A298,MFMaster!$A$2:$C$300,2,FALSE)</f>
        <v>4-6 stories</v>
      </c>
      <c r="M298" s="67" t="str">
        <f>VLOOKUP($A298,MFMaster!$A$2:$CG$232,85,FALSE)</f>
        <v/>
      </c>
      <c r="P298"/>
      <c r="Q298"/>
    </row>
    <row r="299" spans="1:17">
      <c r="A299">
        <v>75007</v>
      </c>
      <c r="B299" t="s">
        <v>1941</v>
      </c>
      <c r="C299">
        <v>2</v>
      </c>
      <c r="D299" t="s">
        <v>257</v>
      </c>
      <c r="E299" t="s">
        <v>177</v>
      </c>
      <c r="F299" t="s">
        <v>1939</v>
      </c>
      <c r="G299">
        <v>20</v>
      </c>
      <c r="H299">
        <v>1156</v>
      </c>
      <c r="I299">
        <v>0.75</v>
      </c>
      <c r="J299" t="s">
        <v>270</v>
      </c>
      <c r="K299" t="s">
        <v>273</v>
      </c>
      <c r="L299" s="67" t="str">
        <f>VLOOKUP($A299,MFMaster!$A$2:$C$300,2,FALSE)</f>
        <v>4-6 stories</v>
      </c>
      <c r="M299" s="67" t="str">
        <f>VLOOKUP($A299,MFMaster!$A$2:$CG$232,85,FALSE)</f>
        <v/>
      </c>
      <c r="P299"/>
      <c r="Q299"/>
    </row>
    <row r="300" spans="1:17">
      <c r="A300">
        <v>75008</v>
      </c>
      <c r="B300" t="s">
        <v>1940</v>
      </c>
      <c r="C300">
        <v>1</v>
      </c>
      <c r="D300" t="s">
        <v>1936</v>
      </c>
      <c r="E300" t="s">
        <v>177</v>
      </c>
      <c r="F300" t="s">
        <v>1937</v>
      </c>
      <c r="G300">
        <v>81</v>
      </c>
      <c r="H300">
        <v>3632</v>
      </c>
      <c r="I300">
        <v>0.44999998807907099</v>
      </c>
      <c r="J300" t="s">
        <v>270</v>
      </c>
      <c r="K300" t="s">
        <v>273</v>
      </c>
      <c r="L300" s="67" t="str">
        <f>VLOOKUP($A300,MFMaster!$A$2:$C$300,2,FALSE)</f>
        <v>1-3 stories</v>
      </c>
      <c r="M300" s="67">
        <f>VLOOKUP($A300,MFMaster!$A$2:$CG$232,85,FALSE)</f>
        <v>26.7130317687988</v>
      </c>
      <c r="P300"/>
      <c r="Q300"/>
    </row>
    <row r="301" spans="1:17">
      <c r="A301">
        <v>75009</v>
      </c>
      <c r="B301" t="s">
        <v>1941</v>
      </c>
      <c r="C301">
        <v>1</v>
      </c>
      <c r="D301" t="s">
        <v>1936</v>
      </c>
      <c r="E301" t="s">
        <v>177</v>
      </c>
      <c r="F301" t="s">
        <v>1937</v>
      </c>
      <c r="G301">
        <v>100</v>
      </c>
      <c r="H301">
        <v>2000</v>
      </c>
      <c r="I301">
        <v>0.44999998807907099</v>
      </c>
      <c r="J301" t="s">
        <v>270</v>
      </c>
      <c r="K301" t="s">
        <v>273</v>
      </c>
      <c r="L301" s="67" t="str">
        <f>VLOOKUP($A301,MFMaster!$A$2:$C$300,2,FALSE)</f>
        <v>1-3 stories</v>
      </c>
      <c r="M301" s="67" t="str">
        <f>VLOOKUP($A301,MFMaster!$A$2:$CG$232,85,FALSE)</f>
        <v/>
      </c>
      <c r="P301"/>
      <c r="Q301"/>
    </row>
    <row r="302" spans="1:17">
      <c r="A302">
        <v>75009</v>
      </c>
      <c r="B302" t="s">
        <v>1942</v>
      </c>
      <c r="C302">
        <v>2</v>
      </c>
      <c r="D302" t="s">
        <v>1936</v>
      </c>
      <c r="E302" t="s">
        <v>184</v>
      </c>
      <c r="F302"/>
      <c r="G302">
        <v>80</v>
      </c>
      <c r="H302">
        <v>1333</v>
      </c>
      <c r="I302">
        <v>0.94999998807907104</v>
      </c>
      <c r="J302" t="s">
        <v>270</v>
      </c>
      <c r="K302" t="s">
        <v>270</v>
      </c>
      <c r="L302" s="67" t="str">
        <f>VLOOKUP($A302,MFMaster!$A$2:$C$300,2,FALSE)</f>
        <v>1-3 stories</v>
      </c>
      <c r="M302" s="67" t="str">
        <f>VLOOKUP($A302,MFMaster!$A$2:$CG$232,85,FALSE)</f>
        <v/>
      </c>
      <c r="P302"/>
      <c r="Q302"/>
    </row>
    <row r="303" spans="1:17">
      <c r="A303">
        <v>75010</v>
      </c>
      <c r="B303" t="s">
        <v>1935</v>
      </c>
      <c r="C303">
        <v>1</v>
      </c>
      <c r="D303" t="s">
        <v>257</v>
      </c>
      <c r="E303" t="s">
        <v>177</v>
      </c>
      <c r="F303" t="s">
        <v>1939</v>
      </c>
      <c r="G303">
        <v>98</v>
      </c>
      <c r="H303">
        <v>3483</v>
      </c>
      <c r="I303">
        <v>0.85000002384185802</v>
      </c>
      <c r="J303" t="s">
        <v>270</v>
      </c>
      <c r="K303" t="s">
        <v>270</v>
      </c>
      <c r="L303" s="67" t="str">
        <f>VLOOKUP($A303,MFMaster!$A$2:$C$300,2,FALSE)</f>
        <v>1-3 stories</v>
      </c>
      <c r="M303" s="67">
        <f>VLOOKUP($A303,MFMaster!$A$2:$CG$232,85,FALSE)</f>
        <v>30.423171997070298</v>
      </c>
      <c r="P303"/>
      <c r="Q303"/>
    </row>
    <row r="304" spans="1:17">
      <c r="A304">
        <v>75011</v>
      </c>
      <c r="B304" t="s">
        <v>1935</v>
      </c>
      <c r="C304">
        <v>1</v>
      </c>
      <c r="D304" t="s">
        <v>1936</v>
      </c>
      <c r="E304" t="s">
        <v>177</v>
      </c>
      <c r="F304" t="s">
        <v>1937</v>
      </c>
      <c r="G304">
        <v>95</v>
      </c>
      <c r="H304">
        <v>4690</v>
      </c>
      <c r="I304">
        <v>0.44999998807907099</v>
      </c>
      <c r="J304" t="s">
        <v>270</v>
      </c>
      <c r="K304" t="s">
        <v>273</v>
      </c>
      <c r="L304" s="67" t="str">
        <f>VLOOKUP($A304,MFMaster!$A$2:$C$300,2,FALSE)</f>
        <v>4-6 stories</v>
      </c>
      <c r="M304" s="67" t="str">
        <f>VLOOKUP($A304,MFMaster!$A$2:$CG$232,85,FALSE)</f>
        <v/>
      </c>
      <c r="P304"/>
      <c r="Q304"/>
    </row>
    <row r="305" spans="1:17">
      <c r="A305">
        <v>75011</v>
      </c>
      <c r="B305" t="s">
        <v>1940</v>
      </c>
      <c r="C305">
        <v>2</v>
      </c>
      <c r="D305" t="s">
        <v>257</v>
      </c>
      <c r="E305" t="s">
        <v>177</v>
      </c>
      <c r="F305" t="s">
        <v>1937</v>
      </c>
      <c r="G305">
        <v>100</v>
      </c>
      <c r="H305">
        <v>40</v>
      </c>
      <c r="I305">
        <v>0.80000001192092896</v>
      </c>
      <c r="J305" t="s">
        <v>270</v>
      </c>
      <c r="K305" t="s">
        <v>270</v>
      </c>
      <c r="L305" s="67" t="str">
        <f>VLOOKUP($A305,MFMaster!$A$2:$C$300,2,FALSE)</f>
        <v>4-6 stories</v>
      </c>
      <c r="M305" s="67" t="str">
        <f>VLOOKUP($A305,MFMaster!$A$2:$CG$232,85,FALSE)</f>
        <v/>
      </c>
      <c r="P305"/>
      <c r="Q305"/>
    </row>
    <row r="306" spans="1:17">
      <c r="A306">
        <v>75012</v>
      </c>
      <c r="B306" t="s">
        <v>1935</v>
      </c>
      <c r="C306">
        <v>1</v>
      </c>
      <c r="D306" t="s">
        <v>1936</v>
      </c>
      <c r="E306" t="s">
        <v>177</v>
      </c>
      <c r="F306" t="s">
        <v>1937</v>
      </c>
      <c r="G306">
        <v>100</v>
      </c>
      <c r="H306">
        <v>1455</v>
      </c>
      <c r="I306">
        <v>0.55000001192092896</v>
      </c>
      <c r="J306" t="s">
        <v>270</v>
      </c>
      <c r="K306" t="s">
        <v>270</v>
      </c>
      <c r="L306" s="67" t="str">
        <f>VLOOKUP($A306,MFMaster!$A$2:$C$300,2,FALSE)</f>
        <v>1-3 stories</v>
      </c>
      <c r="M306" s="67" t="str">
        <f>VLOOKUP($A306,MFMaster!$A$2:$CG$232,85,FALSE)</f>
        <v/>
      </c>
      <c r="P306"/>
      <c r="Q306"/>
    </row>
    <row r="307" spans="1:17">
      <c r="A307">
        <v>75012</v>
      </c>
      <c r="B307" t="s">
        <v>1940</v>
      </c>
      <c r="C307">
        <v>2</v>
      </c>
      <c r="D307" t="s">
        <v>1936</v>
      </c>
      <c r="E307" t="s">
        <v>184</v>
      </c>
      <c r="F307"/>
      <c r="G307">
        <v>0</v>
      </c>
      <c r="H307">
        <v>87</v>
      </c>
      <c r="I307">
        <v>0.94999998807907104</v>
      </c>
      <c r="J307" t="s">
        <v>270</v>
      </c>
      <c r="K307" t="s">
        <v>270</v>
      </c>
      <c r="L307" s="67" t="str">
        <f>VLOOKUP($A307,MFMaster!$A$2:$C$300,2,FALSE)</f>
        <v>1-3 stories</v>
      </c>
      <c r="M307" s="67" t="str">
        <f>VLOOKUP($A307,MFMaster!$A$2:$CG$232,85,FALSE)</f>
        <v/>
      </c>
      <c r="P307"/>
      <c r="Q307"/>
    </row>
    <row r="308" spans="1:17">
      <c r="A308">
        <v>75013</v>
      </c>
      <c r="B308" t="s">
        <v>1935</v>
      </c>
      <c r="C308">
        <v>1</v>
      </c>
      <c r="D308" t="s">
        <v>1936</v>
      </c>
      <c r="E308" t="s">
        <v>177</v>
      </c>
      <c r="F308" t="s">
        <v>1937</v>
      </c>
      <c r="G308">
        <v>100</v>
      </c>
      <c r="H308">
        <v>2221</v>
      </c>
      <c r="I308">
        <v>0.44999998807907099</v>
      </c>
      <c r="J308" t="s">
        <v>270</v>
      </c>
      <c r="K308" t="s">
        <v>273</v>
      </c>
      <c r="L308" s="67" t="str">
        <f>VLOOKUP($A308,MFMaster!$A$2:$C$300,2,FALSE)</f>
        <v>4-6 stories</v>
      </c>
      <c r="M308" s="67" t="str">
        <f>VLOOKUP($A308,MFMaster!$A$2:$CG$232,85,FALSE)</f>
        <v/>
      </c>
      <c r="P308"/>
      <c r="Q308"/>
    </row>
    <row r="309" spans="1:17">
      <c r="A309">
        <v>75013</v>
      </c>
      <c r="B309" t="s">
        <v>1940</v>
      </c>
      <c r="C309">
        <v>2</v>
      </c>
      <c r="D309" t="s">
        <v>257</v>
      </c>
      <c r="E309" t="s">
        <v>177</v>
      </c>
      <c r="F309" t="s">
        <v>1939</v>
      </c>
      <c r="G309">
        <v>61</v>
      </c>
      <c r="H309">
        <v>1141</v>
      </c>
      <c r="I309">
        <v>0.85000002384185802</v>
      </c>
      <c r="J309" t="s">
        <v>270</v>
      </c>
      <c r="K309" t="s">
        <v>270</v>
      </c>
      <c r="L309" s="67" t="str">
        <f>VLOOKUP($A309,MFMaster!$A$2:$C$300,2,FALSE)</f>
        <v>4-6 stories</v>
      </c>
      <c r="M309" s="67" t="str">
        <f>VLOOKUP($A309,MFMaster!$A$2:$CG$232,85,FALSE)</f>
        <v/>
      </c>
      <c r="P309"/>
      <c r="Q309"/>
    </row>
    <row r="310" spans="1:17">
      <c r="A310">
        <v>76001</v>
      </c>
      <c r="B310" t="s">
        <v>1938</v>
      </c>
      <c r="C310">
        <v>1</v>
      </c>
      <c r="D310" t="s">
        <v>1936</v>
      </c>
      <c r="E310" t="s">
        <v>184</v>
      </c>
      <c r="F310"/>
      <c r="G310">
        <v>97</v>
      </c>
      <c r="H310">
        <v>7066</v>
      </c>
      <c r="I310">
        <v>0.94999998807907104</v>
      </c>
      <c r="J310" t="s">
        <v>270</v>
      </c>
      <c r="K310" t="s">
        <v>270</v>
      </c>
      <c r="L310" s="67" t="str">
        <f>VLOOKUP($A310,MFMaster!$A$2:$C$300,2,FALSE)</f>
        <v>4-6 stories</v>
      </c>
      <c r="M310" s="67" t="str">
        <f>VLOOKUP($A310,MFMaster!$A$2:$CG$232,85,FALSE)</f>
        <v/>
      </c>
      <c r="P310"/>
      <c r="Q310"/>
    </row>
    <row r="311" spans="1:17">
      <c r="A311">
        <v>76002</v>
      </c>
      <c r="B311" t="s">
        <v>1938</v>
      </c>
      <c r="C311">
        <v>1</v>
      </c>
      <c r="D311" t="s">
        <v>257</v>
      </c>
      <c r="E311" t="s">
        <v>184</v>
      </c>
      <c r="F311"/>
      <c r="G311">
        <v>32</v>
      </c>
      <c r="H311">
        <v>19224</v>
      </c>
      <c r="I311">
        <v>1.1000000238418599</v>
      </c>
      <c r="J311" t="s">
        <v>270</v>
      </c>
      <c r="K311" t="s">
        <v>270</v>
      </c>
      <c r="L311" s="67" t="str">
        <f>VLOOKUP($A311,MFMaster!$A$2:$C$300,2,FALSE)</f>
        <v>4-6 stories</v>
      </c>
      <c r="M311" s="67" t="str">
        <f>VLOOKUP($A311,MFMaster!$A$2:$CG$232,85,FALSE)</f>
        <v/>
      </c>
    </row>
    <row r="312" spans="1:17">
      <c r="A312">
        <v>76003</v>
      </c>
      <c r="B312" t="s">
        <v>1940</v>
      </c>
      <c r="C312">
        <v>1</v>
      </c>
      <c r="D312" t="s">
        <v>257</v>
      </c>
      <c r="E312" t="s">
        <v>177</v>
      </c>
      <c r="F312" t="s">
        <v>1937</v>
      </c>
      <c r="G312">
        <v>99</v>
      </c>
      <c r="H312">
        <v>8993</v>
      </c>
      <c r="I312">
        <v>0.75</v>
      </c>
      <c r="J312" t="s">
        <v>270</v>
      </c>
      <c r="K312" t="s">
        <v>273</v>
      </c>
      <c r="L312" s="67" t="str">
        <f>VLOOKUP($A312,MFMaster!$A$2:$C$300,2,FALSE)</f>
        <v>7+ stories</v>
      </c>
      <c r="M312" s="67" t="str">
        <f>VLOOKUP($A312,MFMaster!$A$2:$CG$232,85,FALSE)</f>
        <v/>
      </c>
    </row>
    <row r="313" spans="1:17">
      <c r="A313">
        <v>76003</v>
      </c>
      <c r="B313" t="s">
        <v>1941</v>
      </c>
      <c r="C313">
        <v>2</v>
      </c>
      <c r="D313" t="s">
        <v>1936</v>
      </c>
      <c r="E313" t="s">
        <v>184</v>
      </c>
      <c r="F313"/>
      <c r="G313">
        <v>25</v>
      </c>
      <c r="H313">
        <v>163</v>
      </c>
      <c r="I313">
        <v>0.94999998807907104</v>
      </c>
      <c r="J313" t="s">
        <v>270</v>
      </c>
      <c r="K313" t="s">
        <v>270</v>
      </c>
      <c r="L313" s="67" t="str">
        <f>VLOOKUP($A313,MFMaster!$A$2:$C$300,2,FALSE)</f>
        <v>7+ stories</v>
      </c>
      <c r="M313" s="67" t="str">
        <f>VLOOKUP($A313,MFMaster!$A$2:$CG$232,85,FALSE)</f>
        <v/>
      </c>
    </row>
    <row r="314" spans="1:17">
      <c r="A314">
        <v>76004</v>
      </c>
      <c r="B314" t="s">
        <v>1940</v>
      </c>
      <c r="C314">
        <v>1</v>
      </c>
      <c r="D314" t="s">
        <v>1936</v>
      </c>
      <c r="E314" t="s">
        <v>177</v>
      </c>
      <c r="F314" t="s">
        <v>1937</v>
      </c>
      <c r="G314">
        <v>42</v>
      </c>
      <c r="H314">
        <v>10443</v>
      </c>
      <c r="I314">
        <v>0.44999998807907099</v>
      </c>
      <c r="J314" t="s">
        <v>270</v>
      </c>
      <c r="K314" t="s">
        <v>273</v>
      </c>
      <c r="L314" s="67" t="str">
        <f>VLOOKUP($A314,MFMaster!$A$2:$C$300,2,FALSE)</f>
        <v>4-6 stories</v>
      </c>
      <c r="M314" s="67" t="str">
        <f>VLOOKUP($A314,MFMaster!$A$2:$CG$232,85,FALSE)</f>
        <v/>
      </c>
    </row>
    <row r="315" spans="1:17">
      <c r="A315">
        <v>76004</v>
      </c>
      <c r="B315" t="s">
        <v>1941</v>
      </c>
      <c r="C315">
        <v>2</v>
      </c>
      <c r="D315" t="s">
        <v>257</v>
      </c>
      <c r="E315" t="s">
        <v>177</v>
      </c>
      <c r="F315" t="s">
        <v>1939</v>
      </c>
      <c r="G315">
        <v>2</v>
      </c>
      <c r="H315">
        <v>132</v>
      </c>
      <c r="I315">
        <v>0.75</v>
      </c>
      <c r="J315" t="s">
        <v>270</v>
      </c>
      <c r="K315" t="s">
        <v>273</v>
      </c>
      <c r="L315" s="67" t="str">
        <f>VLOOKUP($A315,MFMaster!$A$2:$C$300,2,FALSE)</f>
        <v>4-6 stories</v>
      </c>
      <c r="M315" s="67" t="str">
        <f>VLOOKUP($A315,MFMaster!$A$2:$CG$232,85,FALSE)</f>
        <v/>
      </c>
    </row>
    <row r="316" spans="1:17">
      <c r="A316">
        <v>76004</v>
      </c>
      <c r="B316" t="s">
        <v>1942</v>
      </c>
      <c r="C316">
        <v>3</v>
      </c>
      <c r="D316"/>
      <c r="E316"/>
      <c r="F316"/>
      <c r="G316">
        <v>0</v>
      </c>
      <c r="H316">
        <v>33</v>
      </c>
      <c r="I316"/>
      <c r="J316" t="s">
        <v>270</v>
      </c>
      <c r="K316" t="s">
        <v>270</v>
      </c>
      <c r="L316" s="67" t="str">
        <f>VLOOKUP($A316,MFMaster!$A$2:$C$300,2,FALSE)</f>
        <v>4-6 stories</v>
      </c>
      <c r="M316" s="67" t="str">
        <f>VLOOKUP($A316,MFMaster!$A$2:$CG$232,85,FALSE)</f>
        <v/>
      </c>
    </row>
    <row r="317" spans="1:17">
      <c r="A317">
        <v>76005</v>
      </c>
      <c r="B317" t="s">
        <v>1938</v>
      </c>
      <c r="C317">
        <v>1</v>
      </c>
      <c r="D317" t="s">
        <v>1936</v>
      </c>
      <c r="E317" t="s">
        <v>177</v>
      </c>
      <c r="F317" t="s">
        <v>1937</v>
      </c>
      <c r="G317">
        <v>93</v>
      </c>
      <c r="H317">
        <v>5373</v>
      </c>
      <c r="I317">
        <v>0.44999998807907099</v>
      </c>
      <c r="J317" t="s">
        <v>270</v>
      </c>
      <c r="K317" t="s">
        <v>273</v>
      </c>
      <c r="L317" s="67" t="str">
        <f>VLOOKUP($A317,MFMaster!$A$2:$C$300,2,FALSE)</f>
        <v>4-6 stories</v>
      </c>
      <c r="M317" s="67" t="str">
        <f>VLOOKUP($A317,MFMaster!$A$2:$CG$232,85,FALSE)</f>
        <v/>
      </c>
    </row>
    <row r="318" spans="1:17">
      <c r="A318">
        <v>76006</v>
      </c>
      <c r="B318" t="s">
        <v>1935</v>
      </c>
      <c r="C318">
        <v>1</v>
      </c>
      <c r="D318" t="s">
        <v>1936</v>
      </c>
      <c r="E318" t="s">
        <v>177</v>
      </c>
      <c r="F318" t="s">
        <v>1937</v>
      </c>
      <c r="G318">
        <v>100</v>
      </c>
      <c r="H318">
        <v>4760</v>
      </c>
      <c r="I318">
        <v>0.44999998807907099</v>
      </c>
      <c r="J318" t="s">
        <v>270</v>
      </c>
      <c r="K318" t="s">
        <v>273</v>
      </c>
      <c r="L318" s="67" t="str">
        <f>VLOOKUP($A318,MFMaster!$A$2:$C$300,2,FALSE)</f>
        <v>7+ stories</v>
      </c>
      <c r="M318" s="67" t="str">
        <f>VLOOKUP($A318,MFMaster!$A$2:$CG$232,85,FALSE)</f>
        <v/>
      </c>
    </row>
    <row r="319" spans="1:17">
      <c r="A319">
        <v>76006</v>
      </c>
      <c r="B319" t="s">
        <v>1940</v>
      </c>
      <c r="C319">
        <v>2</v>
      </c>
      <c r="D319" t="s">
        <v>257</v>
      </c>
      <c r="E319" t="s">
        <v>177</v>
      </c>
      <c r="F319" t="s">
        <v>1937</v>
      </c>
      <c r="G319">
        <v>100</v>
      </c>
      <c r="H319">
        <v>430</v>
      </c>
      <c r="I319">
        <v>0.75</v>
      </c>
      <c r="J319" t="s">
        <v>270</v>
      </c>
      <c r="K319" t="s">
        <v>273</v>
      </c>
      <c r="L319" s="67" t="str">
        <f>VLOOKUP($A319,MFMaster!$A$2:$C$300,2,FALSE)</f>
        <v>7+ stories</v>
      </c>
      <c r="M319" s="67" t="str">
        <f>VLOOKUP($A319,MFMaster!$A$2:$CG$232,85,FALSE)</f>
        <v/>
      </c>
    </row>
    <row r="320" spans="1:17">
      <c r="A320">
        <v>76006</v>
      </c>
      <c r="B320" t="s">
        <v>1941</v>
      </c>
      <c r="C320">
        <v>3</v>
      </c>
      <c r="D320" t="s">
        <v>257</v>
      </c>
      <c r="E320" t="s">
        <v>184</v>
      </c>
      <c r="F320"/>
      <c r="G320">
        <v>18</v>
      </c>
      <c r="H320">
        <v>724</v>
      </c>
      <c r="I320">
        <v>1.1000000238418599</v>
      </c>
      <c r="J320" t="s">
        <v>270</v>
      </c>
      <c r="K320" t="s">
        <v>270</v>
      </c>
      <c r="L320" s="67" t="str">
        <f>VLOOKUP($A320,MFMaster!$A$2:$C$300,2,FALSE)</f>
        <v>7+ stories</v>
      </c>
      <c r="M320" s="67" t="str">
        <f>VLOOKUP($A320,MFMaster!$A$2:$CG$232,85,FALSE)</f>
        <v/>
      </c>
    </row>
    <row r="321" spans="1:13">
      <c r="A321">
        <v>76007</v>
      </c>
      <c r="B321" t="s">
        <v>1941</v>
      </c>
      <c r="C321">
        <v>1</v>
      </c>
      <c r="D321" t="s">
        <v>1936</v>
      </c>
      <c r="E321" t="s">
        <v>177</v>
      </c>
      <c r="F321" t="s">
        <v>1937</v>
      </c>
      <c r="G321">
        <v>90</v>
      </c>
      <c r="H321">
        <v>3350</v>
      </c>
      <c r="I321">
        <v>0.44999998807907099</v>
      </c>
      <c r="J321" t="s">
        <v>270</v>
      </c>
      <c r="K321" t="s">
        <v>273</v>
      </c>
      <c r="L321" s="67" t="str">
        <f>VLOOKUP($A321,MFMaster!$A$2:$C$300,2,FALSE)</f>
        <v>4-6 stories</v>
      </c>
      <c r="M321" s="67" t="str">
        <f>VLOOKUP($A321,MFMaster!$A$2:$CG$232,85,FALSE)</f>
        <v/>
      </c>
    </row>
    <row r="322" spans="1:13">
      <c r="A322">
        <v>76007</v>
      </c>
      <c r="B322" t="s">
        <v>1942</v>
      </c>
      <c r="C322">
        <v>2</v>
      </c>
      <c r="D322" t="s">
        <v>257</v>
      </c>
      <c r="E322" t="s">
        <v>177</v>
      </c>
      <c r="F322" t="s">
        <v>1937</v>
      </c>
      <c r="G322">
        <v>9</v>
      </c>
      <c r="H322">
        <v>1100</v>
      </c>
      <c r="I322">
        <v>0.75</v>
      </c>
      <c r="J322" t="s">
        <v>270</v>
      </c>
      <c r="K322" t="s">
        <v>273</v>
      </c>
      <c r="L322" s="67" t="str">
        <f>VLOOKUP($A322,MFMaster!$A$2:$C$300,2,FALSE)</f>
        <v>4-6 stories</v>
      </c>
      <c r="M322" s="67" t="str">
        <f>VLOOKUP($A322,MFMaster!$A$2:$CG$232,85,FALSE)</f>
        <v/>
      </c>
    </row>
    <row r="323" spans="1:13">
      <c r="A323">
        <v>76007</v>
      </c>
      <c r="B323" t="s">
        <v>1943</v>
      </c>
      <c r="C323">
        <v>3</v>
      </c>
      <c r="D323" t="s">
        <v>1936</v>
      </c>
      <c r="E323" t="s">
        <v>177</v>
      </c>
      <c r="F323" t="s">
        <v>1937</v>
      </c>
      <c r="G323">
        <v>0</v>
      </c>
      <c r="H323">
        <v>50</v>
      </c>
      <c r="I323">
        <v>0.55000001192092896</v>
      </c>
      <c r="J323" t="s">
        <v>270</v>
      </c>
      <c r="K323" t="s">
        <v>270</v>
      </c>
      <c r="L323" s="67" t="str">
        <f>VLOOKUP($A323,MFMaster!$A$2:$C$300,2,FALSE)</f>
        <v>4-6 stories</v>
      </c>
      <c r="M323" s="67" t="str">
        <f>VLOOKUP($A323,MFMaster!$A$2:$CG$232,85,FALSE)</f>
        <v/>
      </c>
    </row>
    <row r="324" spans="1:13">
      <c r="A324">
        <v>76008</v>
      </c>
      <c r="B324" t="s">
        <v>1935</v>
      </c>
      <c r="C324">
        <v>1</v>
      </c>
      <c r="D324" t="s">
        <v>1936</v>
      </c>
      <c r="E324" t="s">
        <v>177</v>
      </c>
      <c r="F324" t="s">
        <v>1937</v>
      </c>
      <c r="G324">
        <v>95</v>
      </c>
      <c r="H324">
        <v>6700</v>
      </c>
      <c r="I324">
        <v>0.44999998807907099</v>
      </c>
      <c r="J324" t="s">
        <v>270</v>
      </c>
      <c r="K324" t="s">
        <v>273</v>
      </c>
      <c r="L324" s="67" t="str">
        <f>VLOOKUP($A324,MFMaster!$A$2:$C$300,2,FALSE)</f>
        <v>7+ stories</v>
      </c>
      <c r="M324" s="67" t="str">
        <f>VLOOKUP($A324,MFMaster!$A$2:$CG$232,85,FALSE)</f>
        <v/>
      </c>
    </row>
    <row r="325" spans="1:13">
      <c r="A325">
        <v>76009</v>
      </c>
      <c r="B325" t="s">
        <v>1938</v>
      </c>
      <c r="C325">
        <v>1</v>
      </c>
      <c r="D325" t="s">
        <v>257</v>
      </c>
      <c r="E325" t="s">
        <v>177</v>
      </c>
      <c r="F325" t="s">
        <v>1937</v>
      </c>
      <c r="G325">
        <v>100</v>
      </c>
      <c r="H325">
        <v>3488</v>
      </c>
      <c r="I325">
        <v>0.80000001192092896</v>
      </c>
      <c r="J325" t="s">
        <v>270</v>
      </c>
      <c r="K325" t="s">
        <v>270</v>
      </c>
      <c r="L325" s="67" t="str">
        <f>VLOOKUP($A325,MFMaster!$A$2:$C$300,2,FALSE)</f>
        <v>1-3 stories</v>
      </c>
      <c r="M325" s="67">
        <f>VLOOKUP($A325,MFMaster!$A$2:$CG$232,85,FALSE)</f>
        <v>16.346778869628899</v>
      </c>
    </row>
    <row r="326" spans="1:13">
      <c r="A326">
        <v>76010</v>
      </c>
      <c r="B326" t="s">
        <v>1941</v>
      </c>
      <c r="C326">
        <v>1</v>
      </c>
      <c r="D326" t="s">
        <v>1936</v>
      </c>
      <c r="E326" t="s">
        <v>177</v>
      </c>
      <c r="F326" t="s">
        <v>1937</v>
      </c>
      <c r="G326">
        <v>100</v>
      </c>
      <c r="H326">
        <v>8839</v>
      </c>
      <c r="I326">
        <v>0.44999998807907099</v>
      </c>
      <c r="J326" t="s">
        <v>270</v>
      </c>
      <c r="K326" t="s">
        <v>273</v>
      </c>
      <c r="L326" s="67" t="str">
        <f>VLOOKUP($A326,MFMaster!$A$2:$C$300,2,FALSE)</f>
        <v>1-3 stories</v>
      </c>
      <c r="M326" s="67">
        <f>VLOOKUP($A326,MFMaster!$A$2:$CG$232,85,FALSE)</f>
        <v>16.106386184692401</v>
      </c>
    </row>
    <row r="327" spans="1:13">
      <c r="A327">
        <v>76010</v>
      </c>
      <c r="B327" t="s">
        <v>1942</v>
      </c>
      <c r="C327">
        <v>3</v>
      </c>
      <c r="D327" t="s">
        <v>257</v>
      </c>
      <c r="E327" t="s">
        <v>184</v>
      </c>
      <c r="F327"/>
      <c r="G327">
        <v>15</v>
      </c>
      <c r="H327">
        <v>665</v>
      </c>
      <c r="I327">
        <v>1.1000000238418599</v>
      </c>
      <c r="J327" t="s">
        <v>270</v>
      </c>
      <c r="K327" t="s">
        <v>270</v>
      </c>
      <c r="L327" s="67" t="str">
        <f>VLOOKUP($A327,MFMaster!$A$2:$C$300,2,FALSE)</f>
        <v>1-3 stories</v>
      </c>
      <c r="M327" s="67">
        <f>VLOOKUP($A327,MFMaster!$A$2:$CG$232,85,FALSE)</f>
        <v>16.106386184692401</v>
      </c>
    </row>
    <row r="328" spans="1:13">
      <c r="A328">
        <v>76011</v>
      </c>
      <c r="B328" t="s">
        <v>1935</v>
      </c>
      <c r="C328">
        <v>1</v>
      </c>
      <c r="D328" t="s">
        <v>1936</v>
      </c>
      <c r="E328" t="s">
        <v>177</v>
      </c>
      <c r="F328" t="s">
        <v>1937</v>
      </c>
      <c r="G328">
        <v>95</v>
      </c>
      <c r="H328">
        <v>6491</v>
      </c>
      <c r="I328">
        <v>0.44999998807907099</v>
      </c>
      <c r="J328" t="s">
        <v>270</v>
      </c>
      <c r="K328" t="s">
        <v>273</v>
      </c>
      <c r="L328" s="67" t="str">
        <f>VLOOKUP($A328,MFMaster!$A$2:$C$300,2,FALSE)</f>
        <v>7+ stories</v>
      </c>
      <c r="M328" s="67" t="str">
        <f>VLOOKUP($A328,MFMaster!$A$2:$CG$232,85,FALSE)</f>
        <v/>
      </c>
    </row>
    <row r="329" spans="1:13">
      <c r="A329">
        <v>76012</v>
      </c>
      <c r="B329" t="s">
        <v>1935</v>
      </c>
      <c r="C329">
        <v>1</v>
      </c>
      <c r="D329" t="s">
        <v>1936</v>
      </c>
      <c r="E329" t="s">
        <v>177</v>
      </c>
      <c r="F329" t="s">
        <v>1937</v>
      </c>
      <c r="G329">
        <v>96</v>
      </c>
      <c r="H329">
        <v>11674</v>
      </c>
      <c r="I329">
        <v>0.44999998807907099</v>
      </c>
      <c r="J329" t="s">
        <v>270</v>
      </c>
      <c r="K329" t="s">
        <v>273</v>
      </c>
      <c r="L329" s="67" t="str">
        <f>VLOOKUP($A329,MFMaster!$A$2:$C$300,2,FALSE)</f>
        <v>4-6 stories</v>
      </c>
      <c r="M329" s="67" t="str">
        <f>VLOOKUP($A329,MFMaster!$A$2:$CG$232,85,FALSE)</f>
        <v/>
      </c>
    </row>
    <row r="330" spans="1:13">
      <c r="A330">
        <v>76012</v>
      </c>
      <c r="B330" t="s">
        <v>1940</v>
      </c>
      <c r="C330">
        <v>2</v>
      </c>
      <c r="D330" t="s">
        <v>257</v>
      </c>
      <c r="E330" t="s">
        <v>177</v>
      </c>
      <c r="F330" t="s">
        <v>1937</v>
      </c>
      <c r="G330">
        <v>62</v>
      </c>
      <c r="H330">
        <v>65</v>
      </c>
      <c r="I330">
        <v>0.75</v>
      </c>
      <c r="J330" t="s">
        <v>270</v>
      </c>
      <c r="K330" t="s">
        <v>273</v>
      </c>
      <c r="L330" s="67" t="str">
        <f>VLOOKUP($A330,MFMaster!$A$2:$C$300,2,FALSE)</f>
        <v>4-6 stories</v>
      </c>
      <c r="M330" s="67" t="str">
        <f>VLOOKUP($A330,MFMaster!$A$2:$CG$232,85,FALSE)</f>
        <v/>
      </c>
    </row>
    <row r="331" spans="1:13">
      <c r="A331">
        <v>76013</v>
      </c>
      <c r="B331" t="s">
        <v>1940</v>
      </c>
      <c r="C331">
        <v>1</v>
      </c>
      <c r="D331" t="s">
        <v>1936</v>
      </c>
      <c r="E331" t="s">
        <v>177</v>
      </c>
      <c r="F331" t="s">
        <v>1937</v>
      </c>
      <c r="G331">
        <v>85</v>
      </c>
      <c r="H331">
        <v>7410</v>
      </c>
      <c r="I331">
        <v>0.44999998807907099</v>
      </c>
      <c r="J331" t="s">
        <v>270</v>
      </c>
      <c r="K331" t="s">
        <v>273</v>
      </c>
      <c r="L331" s="67" t="str">
        <f>VLOOKUP($A331,MFMaster!$A$2:$C$300,2,FALSE)</f>
        <v>4-6 stories</v>
      </c>
      <c r="M331" s="67" t="str">
        <f>VLOOKUP($A331,MFMaster!$A$2:$CG$232,85,FALSE)</f>
        <v/>
      </c>
    </row>
    <row r="332" spans="1:13">
      <c r="A332">
        <v>77001</v>
      </c>
      <c r="B332" t="s">
        <v>1935</v>
      </c>
      <c r="C332">
        <v>1</v>
      </c>
      <c r="D332" t="s">
        <v>1936</v>
      </c>
      <c r="E332" t="s">
        <v>177</v>
      </c>
      <c r="F332" t="s">
        <v>1937</v>
      </c>
      <c r="G332">
        <v>99</v>
      </c>
      <c r="H332">
        <v>6549</v>
      </c>
      <c r="I332">
        <v>0.44999998807907099</v>
      </c>
      <c r="J332" t="s">
        <v>270</v>
      </c>
      <c r="K332" t="s">
        <v>273</v>
      </c>
      <c r="L332" s="67" t="str">
        <f>VLOOKUP($A332,MFMaster!$A$2:$C$300,2,FALSE)</f>
        <v>4-6 stories</v>
      </c>
      <c r="M332" s="67" t="str">
        <f>VLOOKUP($A332,MFMaster!$A$2:$CG$232,85,FALSE)</f>
        <v/>
      </c>
    </row>
    <row r="333" spans="1:13">
      <c r="A333">
        <v>77001</v>
      </c>
      <c r="B333" t="s">
        <v>1940</v>
      </c>
      <c r="C333">
        <v>2</v>
      </c>
      <c r="D333" t="s">
        <v>257</v>
      </c>
      <c r="E333" t="s">
        <v>177</v>
      </c>
      <c r="F333" t="s">
        <v>1937</v>
      </c>
      <c r="G333">
        <v>8</v>
      </c>
      <c r="H333">
        <v>2083</v>
      </c>
      <c r="I333">
        <v>0.75</v>
      </c>
      <c r="J333" t="s">
        <v>270</v>
      </c>
      <c r="K333" t="s">
        <v>273</v>
      </c>
      <c r="L333" s="67" t="str">
        <f>VLOOKUP($A333,MFMaster!$A$2:$C$300,2,FALSE)</f>
        <v>4-6 stories</v>
      </c>
      <c r="M333" s="67" t="str">
        <f>VLOOKUP($A333,MFMaster!$A$2:$CG$232,85,FALSE)</f>
        <v/>
      </c>
    </row>
    <row r="334" spans="1:13">
      <c r="A334">
        <v>77001</v>
      </c>
      <c r="B334" t="s">
        <v>1941</v>
      </c>
      <c r="C334">
        <v>3</v>
      </c>
      <c r="D334" t="s">
        <v>1936</v>
      </c>
      <c r="E334" t="s">
        <v>177</v>
      </c>
      <c r="F334" t="s">
        <v>1937</v>
      </c>
      <c r="G334">
        <v>100</v>
      </c>
      <c r="H334">
        <v>20</v>
      </c>
      <c r="I334">
        <v>0.55000001192092896</v>
      </c>
      <c r="J334" t="s">
        <v>270</v>
      </c>
      <c r="K334" t="s">
        <v>270</v>
      </c>
      <c r="L334" s="67" t="str">
        <f>VLOOKUP($A334,MFMaster!$A$2:$C$300,2,FALSE)</f>
        <v>4-6 stories</v>
      </c>
      <c r="M334" s="67" t="str">
        <f>VLOOKUP($A334,MFMaster!$A$2:$CG$232,85,FALSE)</f>
        <v/>
      </c>
    </row>
    <row r="335" spans="1:13">
      <c r="A335">
        <v>77002</v>
      </c>
      <c r="B335" t="s">
        <v>1935</v>
      </c>
      <c r="C335">
        <v>1</v>
      </c>
      <c r="D335" t="s">
        <v>257</v>
      </c>
      <c r="E335" t="s">
        <v>184</v>
      </c>
      <c r="F335"/>
      <c r="G335">
        <v>99</v>
      </c>
      <c r="H335">
        <v>21658</v>
      </c>
      <c r="I335">
        <v>1.1000000238418599</v>
      </c>
      <c r="J335" t="s">
        <v>270</v>
      </c>
      <c r="K335" t="s">
        <v>270</v>
      </c>
      <c r="L335" s="67" t="str">
        <f>VLOOKUP($A335,MFMaster!$A$2:$C$300,2,FALSE)</f>
        <v>7+ stories</v>
      </c>
      <c r="M335" s="67" t="str">
        <f>VLOOKUP($A335,MFMaster!$A$2:$CG$232,85,FALSE)</f>
        <v/>
      </c>
    </row>
    <row r="336" spans="1:13">
      <c r="A336">
        <v>77003</v>
      </c>
      <c r="B336" t="s">
        <v>1940</v>
      </c>
      <c r="C336">
        <v>1</v>
      </c>
      <c r="D336" t="s">
        <v>1936</v>
      </c>
      <c r="E336" t="s">
        <v>177</v>
      </c>
      <c r="F336" t="s">
        <v>1937</v>
      </c>
      <c r="G336">
        <v>100</v>
      </c>
      <c r="H336">
        <v>14290</v>
      </c>
      <c r="I336">
        <v>0.44999998807907099</v>
      </c>
      <c r="J336" t="s">
        <v>270</v>
      </c>
      <c r="K336" t="s">
        <v>273</v>
      </c>
      <c r="L336" s="67" t="str">
        <f>VLOOKUP($A336,MFMaster!$A$2:$C$300,2,FALSE)</f>
        <v>4-6 stories</v>
      </c>
      <c r="M336" s="67" t="str">
        <f>VLOOKUP($A336,MFMaster!$A$2:$CG$232,85,FALSE)</f>
        <v/>
      </c>
    </row>
    <row r="337" spans="1:13">
      <c r="A337">
        <v>77003</v>
      </c>
      <c r="B337" t="s">
        <v>1941</v>
      </c>
      <c r="C337">
        <v>2</v>
      </c>
      <c r="D337" t="s">
        <v>257</v>
      </c>
      <c r="E337" t="s">
        <v>177</v>
      </c>
      <c r="F337" t="s">
        <v>1937</v>
      </c>
      <c r="G337">
        <v>75</v>
      </c>
      <c r="H337">
        <v>381</v>
      </c>
      <c r="I337">
        <v>0.80000001192092896</v>
      </c>
      <c r="J337" t="s">
        <v>270</v>
      </c>
      <c r="K337" t="s">
        <v>270</v>
      </c>
      <c r="L337" s="67" t="str">
        <f>VLOOKUP($A337,MFMaster!$A$2:$C$300,2,FALSE)</f>
        <v>4-6 stories</v>
      </c>
      <c r="M337" s="67" t="str">
        <f>VLOOKUP($A337,MFMaster!$A$2:$CG$232,85,FALSE)</f>
        <v/>
      </c>
    </row>
    <row r="338" spans="1:13">
      <c r="A338">
        <v>77003</v>
      </c>
      <c r="B338" t="s">
        <v>1942</v>
      </c>
      <c r="C338">
        <v>3</v>
      </c>
      <c r="D338" t="s">
        <v>257</v>
      </c>
      <c r="E338" t="s">
        <v>184</v>
      </c>
      <c r="F338"/>
      <c r="G338">
        <v>0</v>
      </c>
      <c r="H338">
        <v>672</v>
      </c>
      <c r="I338">
        <v>1.1000000238418599</v>
      </c>
      <c r="J338" t="s">
        <v>270</v>
      </c>
      <c r="K338" t="s">
        <v>270</v>
      </c>
      <c r="L338" s="67" t="str">
        <f>VLOOKUP($A338,MFMaster!$A$2:$C$300,2,FALSE)</f>
        <v>4-6 stories</v>
      </c>
      <c r="M338" s="67" t="str">
        <f>VLOOKUP($A338,MFMaster!$A$2:$CG$232,85,FALSE)</f>
        <v/>
      </c>
    </row>
    <row r="339" spans="1:13">
      <c r="A339">
        <v>77004</v>
      </c>
      <c r="B339" t="s">
        <v>1940</v>
      </c>
      <c r="C339">
        <v>1</v>
      </c>
      <c r="D339" t="s">
        <v>1936</v>
      </c>
      <c r="E339" t="s">
        <v>177</v>
      </c>
      <c r="F339" t="s">
        <v>1937</v>
      </c>
      <c r="G339">
        <v>78</v>
      </c>
      <c r="H339">
        <v>10813</v>
      </c>
      <c r="I339">
        <v>0.44999998807907099</v>
      </c>
      <c r="J339" t="s">
        <v>270</v>
      </c>
      <c r="K339" t="s">
        <v>273</v>
      </c>
      <c r="L339" s="67" t="str">
        <f>VLOOKUP($A339,MFMaster!$A$2:$C$300,2,FALSE)</f>
        <v>1-3 stories</v>
      </c>
      <c r="M339" s="67">
        <f>VLOOKUP($A339,MFMaster!$A$2:$CG$232,85,FALSE)</f>
        <v>6.93186235427856</v>
      </c>
    </row>
    <row r="340" spans="1:13">
      <c r="A340">
        <v>77005</v>
      </c>
      <c r="B340" t="s">
        <v>1941</v>
      </c>
      <c r="C340">
        <v>1</v>
      </c>
      <c r="D340" t="s">
        <v>257</v>
      </c>
      <c r="E340" t="s">
        <v>177</v>
      </c>
      <c r="F340" t="s">
        <v>1937</v>
      </c>
      <c r="G340">
        <v>50</v>
      </c>
      <c r="H340">
        <v>18753</v>
      </c>
      <c r="I340">
        <v>0.75</v>
      </c>
      <c r="J340" t="s">
        <v>270</v>
      </c>
      <c r="K340" t="s">
        <v>273</v>
      </c>
      <c r="L340" s="67" t="str">
        <f>VLOOKUP($A340,MFMaster!$A$2:$C$300,2,FALSE)</f>
        <v>7+ stories</v>
      </c>
      <c r="M340" s="67" t="str">
        <f>VLOOKUP($A340,MFMaster!$A$2:$CG$232,85,FALSE)</f>
        <v/>
      </c>
    </row>
    <row r="341" spans="1:13">
      <c r="A341">
        <v>77006</v>
      </c>
      <c r="B341" t="s">
        <v>1938</v>
      </c>
      <c r="C341">
        <v>1</v>
      </c>
      <c r="D341" t="s">
        <v>1936</v>
      </c>
      <c r="E341" t="s">
        <v>177</v>
      </c>
      <c r="F341" t="s">
        <v>1937</v>
      </c>
      <c r="G341">
        <v>77</v>
      </c>
      <c r="H341">
        <v>17230</v>
      </c>
      <c r="I341">
        <v>0.44999998807907099</v>
      </c>
      <c r="J341" t="s">
        <v>270</v>
      </c>
      <c r="K341" t="s">
        <v>273</v>
      </c>
      <c r="L341" s="67" t="str">
        <f>VLOOKUP($A341,MFMaster!$A$2:$C$300,2,FALSE)</f>
        <v>7+ stories</v>
      </c>
      <c r="M341" s="67" t="str">
        <f>VLOOKUP($A341,MFMaster!$A$2:$CG$232,85,FALSE)</f>
        <v/>
      </c>
    </row>
    <row r="342" spans="1:13">
      <c r="A342">
        <v>77006</v>
      </c>
      <c r="B342" t="s">
        <v>1935</v>
      </c>
      <c r="C342">
        <v>2</v>
      </c>
      <c r="D342" t="s">
        <v>257</v>
      </c>
      <c r="E342" t="s">
        <v>177</v>
      </c>
      <c r="F342" t="s">
        <v>1937</v>
      </c>
      <c r="G342">
        <v>22</v>
      </c>
      <c r="H342">
        <v>978</v>
      </c>
      <c r="I342">
        <v>0.75</v>
      </c>
      <c r="J342" t="s">
        <v>270</v>
      </c>
      <c r="K342" t="s">
        <v>273</v>
      </c>
      <c r="L342" s="67" t="str">
        <f>VLOOKUP($A342,MFMaster!$A$2:$C$300,2,FALSE)</f>
        <v>7+ stories</v>
      </c>
      <c r="M342" s="67" t="str">
        <f>VLOOKUP($A342,MFMaster!$A$2:$CG$232,85,FALSE)</f>
        <v/>
      </c>
    </row>
    <row r="343" spans="1:13">
      <c r="A343">
        <v>77007</v>
      </c>
      <c r="B343" t="s">
        <v>1940</v>
      </c>
      <c r="C343">
        <v>1</v>
      </c>
      <c r="D343" t="s">
        <v>1936</v>
      </c>
      <c r="E343" t="s">
        <v>177</v>
      </c>
      <c r="F343" t="s">
        <v>1937</v>
      </c>
      <c r="G343">
        <v>84</v>
      </c>
      <c r="H343">
        <v>11581</v>
      </c>
      <c r="I343">
        <v>0.44999998807907099</v>
      </c>
      <c r="J343" t="s">
        <v>270</v>
      </c>
      <c r="K343" t="s">
        <v>273</v>
      </c>
      <c r="L343" s="67" t="str">
        <f>VLOOKUP($A343,MFMaster!$A$2:$C$300,2,FALSE)</f>
        <v>4-6 stories</v>
      </c>
      <c r="M343" s="67" t="str">
        <f>VLOOKUP($A343,MFMaster!$A$2:$CG$232,85,FALSE)</f>
        <v/>
      </c>
    </row>
    <row r="344" spans="1:13">
      <c r="A344">
        <v>77008</v>
      </c>
      <c r="B344" t="s">
        <v>1935</v>
      </c>
      <c r="C344">
        <v>1</v>
      </c>
      <c r="D344" t="s">
        <v>257</v>
      </c>
      <c r="E344" t="s">
        <v>184</v>
      </c>
      <c r="F344"/>
      <c r="G344">
        <v>100</v>
      </c>
      <c r="H344">
        <v>6164</v>
      </c>
      <c r="I344">
        <v>1.1000000238418599</v>
      </c>
      <c r="J344" t="s">
        <v>270</v>
      </c>
      <c r="K344" t="s">
        <v>270</v>
      </c>
      <c r="L344" s="67" t="str">
        <f>VLOOKUP($A344,MFMaster!$A$2:$C$300,2,FALSE)</f>
        <v>7+ stories</v>
      </c>
      <c r="M344" s="67" t="str">
        <f>VLOOKUP($A344,MFMaster!$A$2:$CG$232,85,FALSE)</f>
        <v/>
      </c>
    </row>
    <row r="345" spans="1:13">
      <c r="A345">
        <v>77008</v>
      </c>
      <c r="B345" t="s">
        <v>1940</v>
      </c>
      <c r="C345">
        <v>2</v>
      </c>
      <c r="D345" t="s">
        <v>257</v>
      </c>
      <c r="E345" t="s">
        <v>184</v>
      </c>
      <c r="F345"/>
      <c r="G345">
        <v>7</v>
      </c>
      <c r="H345">
        <v>495</v>
      </c>
      <c r="I345">
        <v>1.1000000238418599</v>
      </c>
      <c r="J345" t="s">
        <v>270</v>
      </c>
      <c r="K345" t="s">
        <v>270</v>
      </c>
      <c r="L345" s="67" t="str">
        <f>VLOOKUP($A345,MFMaster!$A$2:$C$300,2,FALSE)</f>
        <v>7+ stories</v>
      </c>
      <c r="M345" s="67" t="str">
        <f>VLOOKUP($A345,MFMaster!$A$2:$CG$232,85,FALSE)</f>
        <v/>
      </c>
    </row>
    <row r="346" spans="1:13">
      <c r="A346">
        <v>77009</v>
      </c>
      <c r="B346" t="s">
        <v>1940</v>
      </c>
      <c r="C346">
        <v>1</v>
      </c>
      <c r="D346" t="s">
        <v>1936</v>
      </c>
      <c r="E346" t="s">
        <v>177</v>
      </c>
      <c r="F346" t="s">
        <v>1937</v>
      </c>
      <c r="G346">
        <v>94</v>
      </c>
      <c r="H346">
        <v>16265</v>
      </c>
      <c r="I346">
        <v>0.44999998807907099</v>
      </c>
      <c r="J346" t="s">
        <v>270</v>
      </c>
      <c r="K346" t="s">
        <v>273</v>
      </c>
      <c r="L346" s="67" t="str">
        <f>VLOOKUP($A346,MFMaster!$A$2:$C$300,2,FALSE)</f>
        <v>4-6 stories</v>
      </c>
      <c r="M346" s="67" t="str">
        <f>VLOOKUP($A346,MFMaster!$A$2:$CG$232,85,FALSE)</f>
        <v/>
      </c>
    </row>
    <row r="347" spans="1:13">
      <c r="A347">
        <v>77009</v>
      </c>
      <c r="B347" t="s">
        <v>1941</v>
      </c>
      <c r="C347">
        <v>2</v>
      </c>
      <c r="D347" t="s">
        <v>1936</v>
      </c>
      <c r="E347" t="s">
        <v>177</v>
      </c>
      <c r="F347" t="s">
        <v>1937</v>
      </c>
      <c r="G347">
        <v>5</v>
      </c>
      <c r="H347">
        <v>1487</v>
      </c>
      <c r="I347">
        <v>0.44999998807907099</v>
      </c>
      <c r="J347" t="s">
        <v>270</v>
      </c>
      <c r="K347" t="s">
        <v>273</v>
      </c>
      <c r="L347" s="67" t="str">
        <f>VLOOKUP($A347,MFMaster!$A$2:$C$300,2,FALSE)</f>
        <v>4-6 stories</v>
      </c>
      <c r="M347" s="67" t="str">
        <f>VLOOKUP($A347,MFMaster!$A$2:$CG$232,85,FALSE)</f>
        <v/>
      </c>
    </row>
    <row r="348" spans="1:13">
      <c r="A348">
        <v>77009</v>
      </c>
      <c r="B348" t="s">
        <v>1942</v>
      </c>
      <c r="C348">
        <v>3</v>
      </c>
      <c r="D348" t="s">
        <v>257</v>
      </c>
      <c r="E348" t="s">
        <v>177</v>
      </c>
      <c r="F348" t="s">
        <v>1937</v>
      </c>
      <c r="G348">
        <v>100</v>
      </c>
      <c r="H348">
        <v>84</v>
      </c>
      <c r="I348">
        <v>0.75</v>
      </c>
      <c r="J348" t="s">
        <v>270</v>
      </c>
      <c r="K348" t="s">
        <v>273</v>
      </c>
      <c r="L348" s="67" t="str">
        <f>VLOOKUP($A348,MFMaster!$A$2:$C$300,2,FALSE)</f>
        <v>4-6 stories</v>
      </c>
      <c r="M348" s="67" t="str">
        <f>VLOOKUP($A348,MFMaster!$A$2:$CG$232,85,FALSE)</f>
        <v/>
      </c>
    </row>
    <row r="349" spans="1:13">
      <c r="A349">
        <v>77010</v>
      </c>
      <c r="B349" t="s">
        <v>1941</v>
      </c>
      <c r="C349">
        <v>1</v>
      </c>
      <c r="D349" t="s">
        <v>1936</v>
      </c>
      <c r="E349" t="s">
        <v>177</v>
      </c>
      <c r="F349" t="s">
        <v>1937</v>
      </c>
      <c r="G349">
        <v>95</v>
      </c>
      <c r="H349">
        <v>20335</v>
      </c>
      <c r="I349">
        <v>0.44999998807907099</v>
      </c>
      <c r="J349" t="s">
        <v>270</v>
      </c>
      <c r="K349" t="s">
        <v>273</v>
      </c>
      <c r="L349" s="67" t="str">
        <f>VLOOKUP($A349,MFMaster!$A$2:$C$300,2,FALSE)</f>
        <v>7+ stories</v>
      </c>
      <c r="M349" s="67" t="str">
        <f>VLOOKUP($A349,MFMaster!$A$2:$CG$232,85,FALSE)</f>
        <v/>
      </c>
    </row>
    <row r="350" spans="1:13">
      <c r="A350">
        <v>77010</v>
      </c>
      <c r="B350" t="s">
        <v>1942</v>
      </c>
      <c r="C350">
        <v>2</v>
      </c>
      <c r="D350" t="s">
        <v>257</v>
      </c>
      <c r="E350" t="s">
        <v>177</v>
      </c>
      <c r="F350" t="s">
        <v>1937</v>
      </c>
      <c r="G350">
        <v>15</v>
      </c>
      <c r="H350">
        <v>2432</v>
      </c>
      <c r="I350">
        <v>0.75</v>
      </c>
      <c r="J350" t="s">
        <v>270</v>
      </c>
      <c r="K350" t="s">
        <v>273</v>
      </c>
      <c r="L350" s="67" t="str">
        <f>VLOOKUP($A350,MFMaster!$A$2:$C$300,2,FALSE)</f>
        <v>7+ stories</v>
      </c>
      <c r="M350" s="67" t="str">
        <f>VLOOKUP($A350,MFMaster!$A$2:$CG$232,85,FALSE)</f>
        <v/>
      </c>
    </row>
    <row r="351" spans="1:13">
      <c r="A351">
        <v>77011</v>
      </c>
      <c r="B351" t="s">
        <v>1940</v>
      </c>
      <c r="C351">
        <v>1</v>
      </c>
      <c r="D351" t="s">
        <v>1936</v>
      </c>
      <c r="E351" t="s">
        <v>177</v>
      </c>
      <c r="F351" t="s">
        <v>1937</v>
      </c>
      <c r="G351">
        <v>100</v>
      </c>
      <c r="H351">
        <v>7149</v>
      </c>
      <c r="I351">
        <v>0.44999998807907099</v>
      </c>
      <c r="J351" t="s">
        <v>270</v>
      </c>
      <c r="K351" t="s">
        <v>273</v>
      </c>
      <c r="L351" s="67" t="str">
        <f>VLOOKUP($A351,MFMaster!$A$2:$C$300,2,FALSE)</f>
        <v>7+ stories</v>
      </c>
      <c r="M351" s="67" t="str">
        <f>VLOOKUP($A351,MFMaster!$A$2:$CG$232,85,FALSE)</f>
        <v/>
      </c>
    </row>
    <row r="352" spans="1:13">
      <c r="A352">
        <v>78001</v>
      </c>
      <c r="B352" t="s">
        <v>1938</v>
      </c>
      <c r="C352">
        <v>1</v>
      </c>
      <c r="D352" t="s">
        <v>257</v>
      </c>
      <c r="E352" t="s">
        <v>177</v>
      </c>
      <c r="F352" t="s">
        <v>1937</v>
      </c>
      <c r="G352">
        <v>9</v>
      </c>
      <c r="H352">
        <v>115562</v>
      </c>
      <c r="I352">
        <v>0.75</v>
      </c>
      <c r="J352" t="s">
        <v>270</v>
      </c>
      <c r="K352" t="s">
        <v>273</v>
      </c>
      <c r="L352" s="67" t="str">
        <f>VLOOKUP($A352,MFMaster!$A$2:$C$300,2,FALSE)</f>
        <v>7+ stories</v>
      </c>
      <c r="M352" s="67" t="str">
        <f>VLOOKUP($A352,MFMaster!$A$2:$CG$232,85,FALSE)</f>
        <v/>
      </c>
    </row>
    <row r="353" spans="1:13">
      <c r="A353">
        <v>78001</v>
      </c>
      <c r="B353" t="s">
        <v>1935</v>
      </c>
      <c r="C353">
        <v>2</v>
      </c>
      <c r="D353" t="s">
        <v>257</v>
      </c>
      <c r="E353" t="s">
        <v>177</v>
      </c>
      <c r="F353" t="s">
        <v>1937</v>
      </c>
      <c r="G353">
        <v>4</v>
      </c>
      <c r="H353">
        <v>3266</v>
      </c>
      <c r="I353">
        <v>0.75</v>
      </c>
      <c r="J353" t="s">
        <v>270</v>
      </c>
      <c r="K353" t="s">
        <v>273</v>
      </c>
      <c r="L353" s="67" t="str">
        <f>VLOOKUP($A353,MFMaster!$A$2:$C$300,2,FALSE)</f>
        <v>7+ stories</v>
      </c>
      <c r="M353" s="67" t="str">
        <f>VLOOKUP($A353,MFMaster!$A$2:$CG$232,85,FALSE)</f>
        <v/>
      </c>
    </row>
    <row r="354" spans="1:13">
      <c r="A354">
        <v>78002</v>
      </c>
      <c r="B354" t="s">
        <v>1940</v>
      </c>
      <c r="C354">
        <v>1</v>
      </c>
      <c r="D354" t="s">
        <v>1936</v>
      </c>
      <c r="E354" t="s">
        <v>177</v>
      </c>
      <c r="F354" t="s">
        <v>1937</v>
      </c>
      <c r="G354">
        <v>90</v>
      </c>
      <c r="H354">
        <v>41747</v>
      </c>
      <c r="I354">
        <v>0.44999998807907099</v>
      </c>
      <c r="J354" t="s">
        <v>270</v>
      </c>
      <c r="K354" t="s">
        <v>273</v>
      </c>
      <c r="L354" s="67" t="str">
        <f>VLOOKUP($A354,MFMaster!$A$2:$C$300,2,FALSE)</f>
        <v>7+ stories</v>
      </c>
      <c r="M354" s="67" t="str">
        <f>VLOOKUP($A354,MFMaster!$A$2:$CG$232,85,FALSE)</f>
        <v/>
      </c>
    </row>
    <row r="355" spans="1:13">
      <c r="A355">
        <v>78002</v>
      </c>
      <c r="B355" t="s">
        <v>1941</v>
      </c>
      <c r="C355">
        <v>2</v>
      </c>
      <c r="D355" t="s">
        <v>257</v>
      </c>
      <c r="E355" t="s">
        <v>177</v>
      </c>
      <c r="F355" t="s">
        <v>1937</v>
      </c>
      <c r="G355">
        <v>48</v>
      </c>
      <c r="H355">
        <v>2378</v>
      </c>
      <c r="I355">
        <v>0.75</v>
      </c>
      <c r="J355" t="s">
        <v>270</v>
      </c>
      <c r="K355" t="s">
        <v>273</v>
      </c>
      <c r="L355" s="67" t="str">
        <f>VLOOKUP($A355,MFMaster!$A$2:$C$300,2,FALSE)</f>
        <v>7+ stories</v>
      </c>
      <c r="M355" s="67" t="str">
        <f>VLOOKUP($A355,MFMaster!$A$2:$CG$232,85,FALSE)</f>
        <v/>
      </c>
    </row>
    <row r="356" spans="1:13">
      <c r="A356">
        <v>78003</v>
      </c>
      <c r="B356" t="s">
        <v>1940</v>
      </c>
      <c r="C356">
        <v>1</v>
      </c>
      <c r="D356" t="s">
        <v>1936</v>
      </c>
      <c r="E356" t="s">
        <v>177</v>
      </c>
      <c r="F356" t="s">
        <v>1937</v>
      </c>
      <c r="G356">
        <v>90</v>
      </c>
      <c r="H356">
        <v>14106</v>
      </c>
      <c r="I356">
        <v>0.44999998807907099</v>
      </c>
      <c r="J356" t="s">
        <v>270</v>
      </c>
      <c r="K356" t="s">
        <v>273</v>
      </c>
      <c r="L356" s="67" t="str">
        <f>VLOOKUP($A356,MFMaster!$A$2:$C$300,2,FALSE)</f>
        <v>7+ stories</v>
      </c>
      <c r="M356" s="67" t="str">
        <f>VLOOKUP($A356,MFMaster!$A$2:$CG$232,85,FALSE)</f>
        <v/>
      </c>
    </row>
    <row r="357" spans="1:13">
      <c r="A357">
        <v>78004</v>
      </c>
      <c r="B357" t="s">
        <v>1940</v>
      </c>
      <c r="C357">
        <v>1</v>
      </c>
      <c r="D357" t="s">
        <v>1936</v>
      </c>
      <c r="E357" t="s">
        <v>177</v>
      </c>
      <c r="F357" t="s">
        <v>1937</v>
      </c>
      <c r="G357">
        <v>5</v>
      </c>
      <c r="H357">
        <v>14126</v>
      </c>
      <c r="I357">
        <v>0.44999998807907099</v>
      </c>
      <c r="J357" t="s">
        <v>270</v>
      </c>
      <c r="K357" t="s">
        <v>273</v>
      </c>
      <c r="L357" s="67" t="str">
        <f>VLOOKUP($A357,MFMaster!$A$2:$C$300,2,FALSE)</f>
        <v>7+ stories</v>
      </c>
      <c r="M357" s="67" t="str">
        <f>VLOOKUP($A357,MFMaster!$A$2:$CG$232,85,FALSE)</f>
        <v/>
      </c>
    </row>
    <row r="358" spans="1:13">
      <c r="A358">
        <v>78005</v>
      </c>
      <c r="B358" t="s">
        <v>1935</v>
      </c>
      <c r="C358">
        <v>1</v>
      </c>
      <c r="D358" t="s">
        <v>257</v>
      </c>
      <c r="E358" t="s">
        <v>177</v>
      </c>
      <c r="F358" t="s">
        <v>1937</v>
      </c>
      <c r="G358">
        <v>10</v>
      </c>
      <c r="H358">
        <v>123090</v>
      </c>
      <c r="I358">
        <v>0.75</v>
      </c>
      <c r="J358" t="s">
        <v>270</v>
      </c>
      <c r="K358" t="s">
        <v>273</v>
      </c>
      <c r="L358" s="67" t="str">
        <f>VLOOKUP($A358,MFMaster!$A$2:$C$300,2,FALSE)</f>
        <v>7+ stories</v>
      </c>
      <c r="M358" s="67" t="str">
        <f>VLOOKUP($A358,MFMaster!$A$2:$CG$232,85,FALSE)</f>
        <v/>
      </c>
    </row>
    <row r="359" spans="1:13">
      <c r="A359">
        <v>78006</v>
      </c>
      <c r="B359" t="s">
        <v>1935</v>
      </c>
      <c r="C359">
        <v>1</v>
      </c>
      <c r="D359" t="s">
        <v>1936</v>
      </c>
      <c r="E359" t="s">
        <v>177</v>
      </c>
      <c r="F359" t="s">
        <v>1937</v>
      </c>
      <c r="G359">
        <v>93</v>
      </c>
      <c r="H359">
        <v>31011</v>
      </c>
      <c r="I359">
        <v>0.44999998807907099</v>
      </c>
      <c r="J359" t="s">
        <v>270</v>
      </c>
      <c r="K359" t="s">
        <v>273</v>
      </c>
      <c r="L359" s="67" t="str">
        <f>VLOOKUP($A359,MFMaster!$A$2:$C$300,2,FALSE)</f>
        <v>7+ stories</v>
      </c>
      <c r="M359" s="67" t="str">
        <f>VLOOKUP($A359,MFMaster!$A$2:$CG$232,85,FALSE)</f>
        <v/>
      </c>
    </row>
    <row r="360" spans="1:13">
      <c r="A360">
        <v>78006</v>
      </c>
      <c r="B360" t="s">
        <v>1940</v>
      </c>
      <c r="C360">
        <v>2</v>
      </c>
      <c r="D360" t="s">
        <v>257</v>
      </c>
      <c r="E360" t="s">
        <v>177</v>
      </c>
      <c r="F360" t="s">
        <v>1939</v>
      </c>
      <c r="G360">
        <v>25</v>
      </c>
      <c r="H360">
        <v>1356</v>
      </c>
      <c r="I360">
        <v>0.75</v>
      </c>
      <c r="J360" t="s">
        <v>270</v>
      </c>
      <c r="K360" t="s">
        <v>273</v>
      </c>
      <c r="L360" s="67" t="str">
        <f>VLOOKUP($A360,MFMaster!$A$2:$C$300,2,FALSE)</f>
        <v>7+ stories</v>
      </c>
      <c r="M360" s="67" t="str">
        <f>VLOOKUP($A360,MFMaster!$A$2:$CG$232,85,FALSE)</f>
        <v/>
      </c>
    </row>
    <row r="361" spans="1:13">
      <c r="A361">
        <v>78007</v>
      </c>
      <c r="B361" t="s">
        <v>1935</v>
      </c>
      <c r="C361">
        <v>1</v>
      </c>
      <c r="D361" t="s">
        <v>1936</v>
      </c>
      <c r="E361" t="s">
        <v>177</v>
      </c>
      <c r="F361" t="s">
        <v>1937</v>
      </c>
      <c r="G361">
        <v>88</v>
      </c>
      <c r="H361">
        <v>14502</v>
      </c>
      <c r="I361">
        <v>0.44999998807907099</v>
      </c>
      <c r="J361" t="s">
        <v>270</v>
      </c>
      <c r="K361" t="s">
        <v>273</v>
      </c>
      <c r="L361" s="67" t="str">
        <f>VLOOKUP($A361,MFMaster!$A$2:$C$300,2,FALSE)</f>
        <v>4-6 stories</v>
      </c>
      <c r="M361" s="67" t="str">
        <f>VLOOKUP($A361,MFMaster!$A$2:$CG$232,85,FALSE)</f>
        <v/>
      </c>
    </row>
    <row r="362" spans="1:13">
      <c r="A362">
        <v>78007</v>
      </c>
      <c r="B362" t="s">
        <v>1940</v>
      </c>
      <c r="C362">
        <v>2</v>
      </c>
      <c r="D362" t="s">
        <v>257</v>
      </c>
      <c r="E362" t="s">
        <v>177</v>
      </c>
      <c r="F362" t="s">
        <v>1937</v>
      </c>
      <c r="G362">
        <v>20</v>
      </c>
      <c r="H362">
        <v>1135</v>
      </c>
      <c r="I362">
        <v>0.75</v>
      </c>
      <c r="J362" t="s">
        <v>270</v>
      </c>
      <c r="K362" t="s">
        <v>273</v>
      </c>
      <c r="L362" s="67" t="str">
        <f>VLOOKUP($A362,MFMaster!$A$2:$C$300,2,FALSE)</f>
        <v>4-6 stories</v>
      </c>
      <c r="M362" s="67" t="str">
        <f>VLOOKUP($A362,MFMaster!$A$2:$CG$232,85,FALSE)</f>
        <v/>
      </c>
    </row>
    <row r="363" spans="1:13">
      <c r="A363">
        <v>78008</v>
      </c>
      <c r="B363" t="s">
        <v>1940</v>
      </c>
      <c r="C363">
        <v>1</v>
      </c>
      <c r="D363" t="s">
        <v>1936</v>
      </c>
      <c r="E363" t="s">
        <v>177</v>
      </c>
      <c r="F363" t="s">
        <v>1937</v>
      </c>
      <c r="G363">
        <v>95</v>
      </c>
      <c r="H363">
        <v>18682</v>
      </c>
      <c r="I363">
        <v>0.44999998807907099</v>
      </c>
      <c r="J363" t="s">
        <v>270</v>
      </c>
      <c r="K363" t="s">
        <v>273</v>
      </c>
      <c r="L363" s="67" t="str">
        <f>VLOOKUP($A363,MFMaster!$A$2:$C$300,2,FALSE)</f>
        <v>4-6 stories</v>
      </c>
      <c r="M363" s="67" t="str">
        <f>VLOOKUP($A363,MFMaster!$A$2:$CG$232,85,FALSE)</f>
        <v/>
      </c>
    </row>
    <row r="364" spans="1:13">
      <c r="A364">
        <v>78008</v>
      </c>
      <c r="B364" t="s">
        <v>1941</v>
      </c>
      <c r="C364">
        <v>2</v>
      </c>
      <c r="D364" t="s">
        <v>257</v>
      </c>
      <c r="E364" t="s">
        <v>177</v>
      </c>
      <c r="F364" t="s">
        <v>1937</v>
      </c>
      <c r="G364">
        <v>18</v>
      </c>
      <c r="H364">
        <v>3294</v>
      </c>
      <c r="I364">
        <v>0.75</v>
      </c>
      <c r="J364" t="s">
        <v>270</v>
      </c>
      <c r="K364" t="s">
        <v>273</v>
      </c>
      <c r="L364" s="67" t="str">
        <f>VLOOKUP($A364,MFMaster!$A$2:$C$300,2,FALSE)</f>
        <v>4-6 stories</v>
      </c>
      <c r="M364" s="67" t="str">
        <f>VLOOKUP($A364,MFMaster!$A$2:$CG$232,85,FALSE)</f>
        <v/>
      </c>
    </row>
    <row r="365" spans="1:13">
      <c r="A365">
        <v>78009</v>
      </c>
      <c r="B365" t="s">
        <v>1940</v>
      </c>
      <c r="C365">
        <v>1</v>
      </c>
      <c r="D365" t="s">
        <v>257</v>
      </c>
      <c r="E365" t="s">
        <v>177</v>
      </c>
      <c r="F365" t="s">
        <v>1937</v>
      </c>
      <c r="G365">
        <v>80</v>
      </c>
      <c r="H365">
        <v>18100</v>
      </c>
      <c r="I365">
        <v>0.75</v>
      </c>
      <c r="J365" t="s">
        <v>270</v>
      </c>
      <c r="K365" t="s">
        <v>273</v>
      </c>
      <c r="L365" s="67" t="str">
        <f>VLOOKUP($A365,MFMaster!$A$2:$C$300,2,FALSE)</f>
        <v>4-6 stories</v>
      </c>
      <c r="M365" s="67" t="str">
        <f>VLOOKUP($A365,MFMaster!$A$2:$CG$232,85,FALSE)</f>
        <v/>
      </c>
    </row>
    <row r="366" spans="1:13">
      <c r="A366">
        <v>78009</v>
      </c>
      <c r="B366" t="s">
        <v>1941</v>
      </c>
      <c r="C366">
        <v>2</v>
      </c>
      <c r="D366" t="s">
        <v>257</v>
      </c>
      <c r="E366" t="s">
        <v>177</v>
      </c>
      <c r="F366" t="s">
        <v>1937</v>
      </c>
      <c r="G366">
        <v>30</v>
      </c>
      <c r="H366">
        <v>8565</v>
      </c>
      <c r="I366">
        <v>0.75</v>
      </c>
      <c r="J366" t="s">
        <v>270</v>
      </c>
      <c r="K366" t="s">
        <v>273</v>
      </c>
      <c r="L366" s="67" t="str">
        <f>VLOOKUP($A366,MFMaster!$A$2:$C$300,2,FALSE)</f>
        <v>4-6 stories</v>
      </c>
      <c r="M366" s="67" t="str">
        <f>VLOOKUP($A366,MFMaster!$A$2:$CG$232,85,FALSE)</f>
        <v/>
      </c>
    </row>
    <row r="367" spans="1:13">
      <c r="A367">
        <v>78010</v>
      </c>
      <c r="B367" t="s">
        <v>1938</v>
      </c>
      <c r="C367">
        <v>1</v>
      </c>
      <c r="D367" t="s">
        <v>1936</v>
      </c>
      <c r="E367" t="s">
        <v>177</v>
      </c>
      <c r="F367" t="s">
        <v>1937</v>
      </c>
      <c r="G367">
        <v>100</v>
      </c>
      <c r="H367">
        <v>12096</v>
      </c>
      <c r="I367">
        <v>0.44999998807907099</v>
      </c>
      <c r="J367" t="s">
        <v>270</v>
      </c>
      <c r="K367" t="s">
        <v>273</v>
      </c>
      <c r="L367" s="67" t="str">
        <f>VLOOKUP($A367,MFMaster!$A$2:$C$300,2,FALSE)</f>
        <v>7+ stories</v>
      </c>
      <c r="M367" s="67" t="str">
        <f>VLOOKUP($A367,MFMaster!$A$2:$CG$232,85,FALSE)</f>
        <v/>
      </c>
    </row>
    <row r="368" spans="1:13">
      <c r="A368">
        <v>78010</v>
      </c>
      <c r="B368" t="s">
        <v>1935</v>
      </c>
      <c r="C368">
        <v>2</v>
      </c>
      <c r="D368" t="s">
        <v>257</v>
      </c>
      <c r="E368" t="s">
        <v>177</v>
      </c>
      <c r="F368" t="s">
        <v>1937</v>
      </c>
      <c r="G368">
        <v>12</v>
      </c>
      <c r="H368">
        <v>849</v>
      </c>
      <c r="I368">
        <v>0.80000001192092896</v>
      </c>
      <c r="J368" t="s">
        <v>270</v>
      </c>
      <c r="K368" t="s">
        <v>270</v>
      </c>
      <c r="L368" s="67" t="str">
        <f>VLOOKUP($A368,MFMaster!$A$2:$C$300,2,FALSE)</f>
        <v>7+ stories</v>
      </c>
      <c r="M368" s="67" t="str">
        <f>VLOOKUP($A368,MFMaster!$A$2:$CG$232,85,FALSE)</f>
        <v/>
      </c>
    </row>
    <row r="369" spans="1:13">
      <c r="A369">
        <v>78011</v>
      </c>
      <c r="B369" t="s">
        <v>1940</v>
      </c>
      <c r="C369">
        <v>1</v>
      </c>
      <c r="D369" t="s">
        <v>1936</v>
      </c>
      <c r="E369" t="s">
        <v>184</v>
      </c>
      <c r="F369"/>
      <c r="G369">
        <v>88</v>
      </c>
      <c r="H369">
        <v>10094</v>
      </c>
      <c r="I369">
        <v>0.94999998807907104</v>
      </c>
      <c r="J369" t="s">
        <v>270</v>
      </c>
      <c r="K369" t="s">
        <v>270</v>
      </c>
      <c r="L369" s="67" t="str">
        <f>VLOOKUP($A369,MFMaster!$A$2:$C$300,2,FALSE)</f>
        <v>7+ stories</v>
      </c>
      <c r="M369" s="67" t="str">
        <f>VLOOKUP($A369,MFMaster!$A$2:$CG$232,85,FALSE)</f>
        <v/>
      </c>
    </row>
    <row r="370" spans="1:13">
      <c r="A370">
        <v>78011</v>
      </c>
      <c r="B370" t="s">
        <v>1941</v>
      </c>
      <c r="C370">
        <v>2</v>
      </c>
      <c r="D370" t="s">
        <v>257</v>
      </c>
      <c r="E370" t="s">
        <v>184</v>
      </c>
      <c r="F370"/>
      <c r="G370">
        <v>0</v>
      </c>
      <c r="H370">
        <v>54</v>
      </c>
      <c r="I370">
        <v>1.1000000238418599</v>
      </c>
      <c r="J370" t="s">
        <v>270</v>
      </c>
      <c r="K370" t="s">
        <v>270</v>
      </c>
      <c r="L370" s="67" t="str">
        <f>VLOOKUP($A370,MFMaster!$A$2:$C$300,2,FALSE)</f>
        <v>7+ stories</v>
      </c>
      <c r="M370" s="67" t="str">
        <f>VLOOKUP($A370,MFMaster!$A$2:$CG$232,85,FALSE)</f>
        <v/>
      </c>
    </row>
    <row r="371" spans="1:13">
      <c r="A371">
        <v>78012</v>
      </c>
      <c r="B371" t="s">
        <v>1940</v>
      </c>
      <c r="C371">
        <v>1</v>
      </c>
      <c r="D371" t="s">
        <v>1936</v>
      </c>
      <c r="E371" t="s">
        <v>177</v>
      </c>
      <c r="F371" t="s">
        <v>1937</v>
      </c>
      <c r="G371">
        <v>30</v>
      </c>
      <c r="H371">
        <v>13721</v>
      </c>
      <c r="I371">
        <v>0.44999998807907099</v>
      </c>
      <c r="J371" t="s">
        <v>270</v>
      </c>
      <c r="K371" t="s">
        <v>273</v>
      </c>
      <c r="L371" s="67" t="str">
        <f>VLOOKUP($A371,MFMaster!$A$2:$C$300,2,FALSE)</f>
        <v>7+ stories</v>
      </c>
      <c r="M371" s="67" t="str">
        <f>VLOOKUP($A371,MFMaster!$A$2:$CG$232,85,FALSE)</f>
        <v/>
      </c>
    </row>
    <row r="372" spans="1:13">
      <c r="A372">
        <v>80061</v>
      </c>
      <c r="B372" t="s">
        <v>1938</v>
      </c>
      <c r="C372">
        <v>1</v>
      </c>
      <c r="D372" t="s">
        <v>1936</v>
      </c>
      <c r="E372" t="s">
        <v>177</v>
      </c>
      <c r="F372" t="s">
        <v>1937</v>
      </c>
      <c r="G372">
        <v>100</v>
      </c>
      <c r="H372">
        <v>2648</v>
      </c>
      <c r="I372">
        <v>0.44999998807907099</v>
      </c>
      <c r="J372" t="s">
        <v>270</v>
      </c>
      <c r="K372" t="s">
        <v>273</v>
      </c>
      <c r="L372" s="67" t="str">
        <f>VLOOKUP($A372,MFMaster!$A$2:$C$300,2,FALSE)</f>
        <v>1-3 stories</v>
      </c>
      <c r="M372" s="67">
        <f>VLOOKUP($A372,MFMaster!$A$2:$CG$232,85,FALSE)</f>
        <v>85.864128112792997</v>
      </c>
    </row>
    <row r="373" spans="1:13">
      <c r="A373">
        <v>80073</v>
      </c>
      <c r="B373" t="s">
        <v>1940</v>
      </c>
      <c r="C373">
        <v>1</v>
      </c>
      <c r="D373" t="s">
        <v>1936</v>
      </c>
      <c r="E373" t="s">
        <v>177</v>
      </c>
      <c r="F373" t="s">
        <v>1937</v>
      </c>
      <c r="G373">
        <v>100</v>
      </c>
      <c r="H373">
        <v>1708</v>
      </c>
      <c r="I373">
        <v>0.44999998807907099</v>
      </c>
      <c r="J373" t="s">
        <v>270</v>
      </c>
      <c r="K373" t="s">
        <v>273</v>
      </c>
      <c r="L373" s="67" t="str">
        <f>VLOOKUP($A373,MFMaster!$A$2:$C$300,2,FALSE)</f>
        <v>1-3 stories</v>
      </c>
      <c r="M373" s="67">
        <f>VLOOKUP($A373,MFMaster!$A$2:$CG$232,85,FALSE)</f>
        <v>128.79620361328099</v>
      </c>
    </row>
  </sheetData>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AL46"/>
  <sheetViews>
    <sheetView topLeftCell="D1" workbookViewId="0">
      <selection activeCell="R25" sqref="R25"/>
    </sheetView>
  </sheetViews>
  <sheetFormatPr defaultRowHeight="12.75"/>
  <cols>
    <col min="1" max="17" width="9.140625" style="67"/>
    <col min="18" max="18" width="20.7109375" style="67" customWidth="1"/>
    <col min="19" max="19" width="17" style="67" bestFit="1" customWidth="1"/>
    <col min="20" max="31" width="12" style="67" customWidth="1"/>
    <col min="32" max="32" width="7.140625" style="67" customWidth="1"/>
    <col min="33" max="33" width="12.28515625" style="67" customWidth="1"/>
    <col min="34" max="34" width="12" style="67" customWidth="1"/>
    <col min="35" max="16384" width="9.140625" style="67"/>
  </cols>
  <sheetData>
    <row r="1" spans="1:38">
      <c r="A1" t="s">
        <v>168</v>
      </c>
      <c r="B1" t="s">
        <v>1681</v>
      </c>
      <c r="C1" t="s">
        <v>259</v>
      </c>
      <c r="D1" t="s">
        <v>260</v>
      </c>
      <c r="E1" t="s">
        <v>262</v>
      </c>
      <c r="F1" t="s">
        <v>265</v>
      </c>
      <c r="G1" t="s">
        <v>266</v>
      </c>
      <c r="H1" t="s">
        <v>267</v>
      </c>
      <c r="I1" t="s">
        <v>1920</v>
      </c>
      <c r="J1" t="s">
        <v>1921</v>
      </c>
      <c r="K1" t="s">
        <v>261</v>
      </c>
      <c r="L1" t="s">
        <v>263</v>
      </c>
      <c r="M1" t="s">
        <v>264</v>
      </c>
      <c r="N1" t="s">
        <v>268</v>
      </c>
      <c r="O1" s="67" t="s">
        <v>1915</v>
      </c>
      <c r="P1" s="67" t="s">
        <v>1916</v>
      </c>
    </row>
    <row r="2" spans="1:38">
      <c r="A2">
        <v>10323</v>
      </c>
      <c r="B2" t="s">
        <v>1922</v>
      </c>
      <c r="C2" t="s">
        <v>280</v>
      </c>
      <c r="D2">
        <v>0.89999997615814198</v>
      </c>
      <c r="E2"/>
      <c r="F2">
        <v>3038</v>
      </c>
      <c r="G2" t="s">
        <v>274</v>
      </c>
      <c r="H2"/>
      <c r="I2">
        <v>0.10000000149011599</v>
      </c>
      <c r="J2">
        <v>4.5</v>
      </c>
      <c r="K2" t="b">
        <v>0</v>
      </c>
      <c r="L2" t="b">
        <v>1</v>
      </c>
      <c r="M2" t="s">
        <v>273</v>
      </c>
      <c r="N2" t="b">
        <v>1</v>
      </c>
      <c r="O2" s="67" t="str">
        <f>VLOOKUP($A2,MFMaster!$A$2:$C$300,2,FALSE)</f>
        <v>1-3 stories</v>
      </c>
      <c r="P2" s="67">
        <f>VLOOKUP($A2,MFMaster!$A$2:$CG$232,85,FALSE)</f>
        <v>256.24374389648398</v>
      </c>
    </row>
    <row r="3" spans="1:38">
      <c r="A3">
        <v>10400</v>
      </c>
      <c r="B3" t="s">
        <v>1922</v>
      </c>
      <c r="C3" t="s">
        <v>197</v>
      </c>
      <c r="D3">
        <v>1</v>
      </c>
      <c r="E3"/>
      <c r="F3">
        <v>9856</v>
      </c>
      <c r="G3" t="s">
        <v>274</v>
      </c>
      <c r="H3" t="s">
        <v>275</v>
      </c>
      <c r="I3">
        <v>5.9999998658895499E-2</v>
      </c>
      <c r="J3">
        <v>3.0999999046325701</v>
      </c>
      <c r="K3" t="b">
        <v>0</v>
      </c>
      <c r="L3" t="b">
        <v>1</v>
      </c>
      <c r="M3" t="s">
        <v>270</v>
      </c>
      <c r="N3" t="b">
        <v>0</v>
      </c>
      <c r="O3" s="67" t="str">
        <f>VLOOKUP($A3,MFMaster!$A$2:$C$300,2,FALSE)</f>
        <v>1-3 stories</v>
      </c>
      <c r="P3" s="67">
        <f>VLOOKUP($A3,MFMaster!$A$2:$CG$232,85,FALSE)</f>
        <v>34.345653533935497</v>
      </c>
    </row>
    <row r="4" spans="1:38">
      <c r="A4">
        <v>10862</v>
      </c>
      <c r="B4" t="s">
        <v>1922</v>
      </c>
      <c r="C4" t="s">
        <v>197</v>
      </c>
      <c r="D4">
        <v>0.75</v>
      </c>
      <c r="E4"/>
      <c r="F4">
        <v>8064</v>
      </c>
      <c r="G4" t="s">
        <v>274</v>
      </c>
      <c r="H4" t="s">
        <v>275</v>
      </c>
      <c r="I4">
        <v>0.10000000149011599</v>
      </c>
      <c r="J4">
        <v>3.0999999046325701</v>
      </c>
      <c r="K4" t="b">
        <v>0</v>
      </c>
      <c r="L4" t="b">
        <v>1</v>
      </c>
      <c r="M4" t="s">
        <v>270</v>
      </c>
      <c r="N4" t="b">
        <v>0</v>
      </c>
      <c r="O4" s="67" t="str">
        <f>VLOOKUP($A4,MFMaster!$A$2:$C$300,2,FALSE)</f>
        <v>1-3 stories</v>
      </c>
      <c r="P4" s="67">
        <f>VLOOKUP($A4,MFMaster!$A$2:$CG$232,85,FALSE)</f>
        <v>85.864128112792997</v>
      </c>
    </row>
    <row r="5" spans="1:38">
      <c r="A5">
        <v>11263</v>
      </c>
      <c r="B5" t="s">
        <v>1922</v>
      </c>
      <c r="C5" t="s">
        <v>281</v>
      </c>
      <c r="D5"/>
      <c r="E5"/>
      <c r="F5">
        <v>2520</v>
      </c>
      <c r="G5" t="s">
        <v>274</v>
      </c>
      <c r="H5" t="s">
        <v>207</v>
      </c>
      <c r="I5">
        <v>0.230000004172325</v>
      </c>
      <c r="J5">
        <v>3.0999999046325701</v>
      </c>
      <c r="K5" t="b">
        <v>0</v>
      </c>
      <c r="L5" t="b">
        <v>1</v>
      </c>
      <c r="M5" t="s">
        <v>270</v>
      </c>
      <c r="N5" t="b">
        <v>0</v>
      </c>
      <c r="O5" s="67" t="str">
        <f>VLOOKUP($A5,MFMaster!$A$2:$C$300,2,FALSE)</f>
        <v>1-3 stories</v>
      </c>
      <c r="P5" s="67">
        <f>VLOOKUP($A5,MFMaster!$A$2:$CG$232,85,FALSE)</f>
        <v>343.45651245117199</v>
      </c>
    </row>
    <row r="6" spans="1:38">
      <c r="A6">
        <v>11290</v>
      </c>
      <c r="B6" t="s">
        <v>1922</v>
      </c>
      <c r="C6" t="s">
        <v>280</v>
      </c>
      <c r="D6">
        <v>0.89999997615814198</v>
      </c>
      <c r="E6"/>
      <c r="F6">
        <v>6456</v>
      </c>
      <c r="G6"/>
      <c r="H6"/>
      <c r="I6">
        <v>0.10000000149011599</v>
      </c>
      <c r="J6">
        <v>3.0999999046325701</v>
      </c>
      <c r="K6" t="b">
        <v>0</v>
      </c>
      <c r="L6" t="b">
        <v>1</v>
      </c>
      <c r="M6" t="s">
        <v>270</v>
      </c>
      <c r="N6" t="b">
        <v>0</v>
      </c>
      <c r="O6" s="67" t="str">
        <f>VLOOKUP($A6,MFMaster!$A$2:$C$300,2,FALSE)</f>
        <v>1-3 stories</v>
      </c>
      <c r="P6" s="67" t="str">
        <f>VLOOKUP($A6,MFMaster!$A$2:$CG$232,85,FALSE)</f>
        <v/>
      </c>
    </row>
    <row r="7" spans="1:38">
      <c r="A7">
        <v>11887</v>
      </c>
      <c r="B7" t="s">
        <v>1922</v>
      </c>
      <c r="C7" t="s">
        <v>279</v>
      </c>
      <c r="D7">
        <v>0.89999997615814198</v>
      </c>
      <c r="E7"/>
      <c r="F7">
        <v>35836</v>
      </c>
      <c r="G7" t="s">
        <v>274</v>
      </c>
      <c r="H7" t="s">
        <v>278</v>
      </c>
      <c r="I7">
        <v>5.4999999701976797E-2</v>
      </c>
      <c r="J7">
        <v>3.0999999046325701</v>
      </c>
      <c r="K7" t="b">
        <v>0</v>
      </c>
      <c r="L7" t="b">
        <v>1</v>
      </c>
      <c r="M7" t="s">
        <v>270</v>
      </c>
      <c r="N7" t="b">
        <v>0</v>
      </c>
      <c r="O7" s="67" t="str">
        <f>VLOOKUP($A7,MFMaster!$A$2:$C$300,2,FALSE)</f>
        <v>1-3 stories</v>
      </c>
      <c r="P7" s="67">
        <f>VLOOKUP($A7,MFMaster!$A$2:$CG$232,85,FALSE)</f>
        <v>53.381153106689503</v>
      </c>
    </row>
    <row r="8" spans="1:38">
      <c r="A8">
        <v>12511</v>
      </c>
      <c r="B8" t="s">
        <v>1922</v>
      </c>
      <c r="C8" t="s">
        <v>280</v>
      </c>
      <c r="D8">
        <v>0.89999997615814198</v>
      </c>
      <c r="E8"/>
      <c r="F8">
        <v>12235</v>
      </c>
      <c r="G8"/>
      <c r="H8"/>
      <c r="I8">
        <v>0.10000000149011599</v>
      </c>
      <c r="J8">
        <v>3.0999999046325701</v>
      </c>
      <c r="K8" t="b">
        <v>0</v>
      </c>
      <c r="L8" t="b">
        <v>1</v>
      </c>
      <c r="M8" t="s">
        <v>270</v>
      </c>
      <c r="N8" t="b">
        <v>0</v>
      </c>
      <c r="O8" s="67" t="str">
        <f>VLOOKUP($A8,MFMaster!$A$2:$C$300,2,FALSE)</f>
        <v>4-6 stories</v>
      </c>
      <c r="P8" s="67" t="str">
        <f>VLOOKUP($A8,MFMaster!$A$2:$CG$232,85,FALSE)</f>
        <v/>
      </c>
    </row>
    <row r="9" spans="1:38">
      <c r="A9">
        <v>12623</v>
      </c>
      <c r="B9" t="s">
        <v>1922</v>
      </c>
      <c r="C9" t="s">
        <v>279</v>
      </c>
      <c r="D9">
        <v>1</v>
      </c>
      <c r="E9" t="s">
        <v>271</v>
      </c>
      <c r="F9">
        <v>3672</v>
      </c>
      <c r="G9" t="s">
        <v>274</v>
      </c>
      <c r="H9" t="s">
        <v>275</v>
      </c>
      <c r="I9">
        <v>2.9999999329447701E-2</v>
      </c>
      <c r="J9">
        <v>4.5</v>
      </c>
      <c r="K9" t="b">
        <v>1</v>
      </c>
      <c r="L9" t="b">
        <v>1</v>
      </c>
      <c r="M9" t="s">
        <v>270</v>
      </c>
      <c r="N9" t="b">
        <v>1</v>
      </c>
      <c r="O9" s="67" t="str">
        <f>VLOOKUP($A9,MFMaster!$A$2:$C$300,2,FALSE)</f>
        <v>1-3 stories</v>
      </c>
      <c r="P9" s="67">
        <f>VLOOKUP($A9,MFMaster!$A$2:$CG$232,85,FALSE)</f>
        <v>600.53796386718795</v>
      </c>
    </row>
    <row r="10" spans="1:38">
      <c r="A10">
        <v>13628</v>
      </c>
      <c r="B10" t="s">
        <v>1922</v>
      </c>
      <c r="C10" t="s">
        <v>280</v>
      </c>
      <c r="D10">
        <v>0.89999997615814198</v>
      </c>
      <c r="E10"/>
      <c r="F10">
        <v>2128</v>
      </c>
      <c r="G10"/>
      <c r="H10"/>
      <c r="I10">
        <v>0.10000000149011599</v>
      </c>
      <c r="J10">
        <v>3.0999999046325701</v>
      </c>
      <c r="K10" t="b">
        <v>0</v>
      </c>
      <c r="L10" t="b">
        <v>1</v>
      </c>
      <c r="M10" t="s">
        <v>270</v>
      </c>
      <c r="N10" t="b">
        <v>1</v>
      </c>
      <c r="O10" s="67" t="str">
        <f>VLOOKUP($A10,MFMaster!$A$2:$C$300,2,FALSE)</f>
        <v>1-3 stories</v>
      </c>
      <c r="P10" s="67">
        <f>VLOOKUP($A10,MFMaster!$A$2:$CG$232,85,FALSE)</f>
        <v>343.45651245117199</v>
      </c>
      <c r="R10" s="69" t="s">
        <v>1917</v>
      </c>
      <c r="S10" s="69" t="s">
        <v>211</v>
      </c>
      <c r="T10"/>
      <c r="U10"/>
      <c r="V10"/>
      <c r="W10"/>
      <c r="X10"/>
      <c r="Y10"/>
      <c r="Z10"/>
      <c r="AA10"/>
      <c r="AB10"/>
      <c r="AC10"/>
      <c r="AD10"/>
      <c r="AE10"/>
      <c r="AF10"/>
      <c r="AG10"/>
      <c r="AH10"/>
    </row>
    <row r="11" spans="1:38">
      <c r="A11">
        <v>13988</v>
      </c>
      <c r="B11" t="s">
        <v>1922</v>
      </c>
      <c r="C11" t="s">
        <v>281</v>
      </c>
      <c r="D11"/>
      <c r="E11"/>
      <c r="F11">
        <v>900</v>
      </c>
      <c r="G11" t="s">
        <v>274</v>
      </c>
      <c r="H11" t="s">
        <v>207</v>
      </c>
      <c r="I11">
        <v>0.230000004172325</v>
      </c>
      <c r="J11">
        <v>5</v>
      </c>
      <c r="K11" t="b">
        <v>0</v>
      </c>
      <c r="L11" t="b">
        <v>0</v>
      </c>
      <c r="M11"/>
      <c r="N11" t="b">
        <v>1</v>
      </c>
      <c r="O11" s="67" t="str">
        <f>VLOOKUP($A11,MFMaster!$A$2:$C$300,2,FALSE)</f>
        <v>1-3 stories</v>
      </c>
      <c r="P11" s="67">
        <f>VLOOKUP($A11,MFMaster!$A$2:$CG$232,85,FALSE)</f>
        <v>114.48550415039099</v>
      </c>
      <c r="R11"/>
      <c r="S11" t="s">
        <v>275</v>
      </c>
      <c r="T11"/>
      <c r="U11" t="s">
        <v>283</v>
      </c>
      <c r="V11" t="s">
        <v>278</v>
      </c>
      <c r="W11"/>
      <c r="X11" t="s">
        <v>284</v>
      </c>
      <c r="Y11" t="s">
        <v>272</v>
      </c>
      <c r="Z11" t="s">
        <v>285</v>
      </c>
      <c r="AA11" t="s">
        <v>207</v>
      </c>
      <c r="AB11"/>
      <c r="AC11" t="s">
        <v>286</v>
      </c>
      <c r="AD11" t="s">
        <v>212</v>
      </c>
      <c r="AE11"/>
      <c r="AF11"/>
      <c r="AG11" t="s">
        <v>1924</v>
      </c>
      <c r="AH11" t="s">
        <v>210</v>
      </c>
    </row>
    <row r="12" spans="1:38">
      <c r="A12">
        <v>14259</v>
      </c>
      <c r="B12" t="s">
        <v>1923</v>
      </c>
      <c r="C12" t="s">
        <v>276</v>
      </c>
      <c r="D12">
        <v>1</v>
      </c>
      <c r="E12" t="s">
        <v>271</v>
      </c>
      <c r="F12">
        <v>11100</v>
      </c>
      <c r="G12" t="s">
        <v>274</v>
      </c>
      <c r="H12" t="s">
        <v>278</v>
      </c>
      <c r="I12">
        <v>4.5000001788139302E-2</v>
      </c>
      <c r="J12">
        <v>4.5</v>
      </c>
      <c r="K12" t="b">
        <v>1</v>
      </c>
      <c r="L12" t="b">
        <v>1</v>
      </c>
      <c r="M12" t="s">
        <v>270</v>
      </c>
      <c r="N12" t="b">
        <v>1</v>
      </c>
      <c r="O12" s="67" t="str">
        <f>VLOOKUP($A12,MFMaster!$A$2:$C$300,2,FALSE)</f>
        <v>4-6 stories</v>
      </c>
      <c r="P12" s="67" t="str">
        <f>VLOOKUP($A12,MFMaster!$A$2:$CG$232,85,FALSE)</f>
        <v/>
      </c>
      <c r="R12" s="69" t="s">
        <v>209</v>
      </c>
      <c r="S12" t="s">
        <v>1925</v>
      </c>
      <c r="T12" t="s">
        <v>1926</v>
      </c>
      <c r="U12"/>
      <c r="V12" t="s">
        <v>1925</v>
      </c>
      <c r="W12" t="s">
        <v>1926</v>
      </c>
      <c r="X12"/>
      <c r="Y12" t="s">
        <v>1926</v>
      </c>
      <c r="Z12"/>
      <c r="AA12" t="s">
        <v>1925</v>
      </c>
      <c r="AB12" t="s">
        <v>1926</v>
      </c>
      <c r="AC12"/>
      <c r="AD12" t="s">
        <v>1925</v>
      </c>
      <c r="AE12" t="s">
        <v>1926</v>
      </c>
      <c r="AF12" t="s">
        <v>212</v>
      </c>
      <c r="AG12"/>
      <c r="AH12"/>
      <c r="AJ12" s="67" t="s">
        <v>287</v>
      </c>
      <c r="AK12" s="67" t="s">
        <v>288</v>
      </c>
    </row>
    <row r="13" spans="1:38">
      <c r="A13">
        <v>20165</v>
      </c>
      <c r="B13" t="s">
        <v>1922</v>
      </c>
      <c r="C13" t="s">
        <v>279</v>
      </c>
      <c r="D13">
        <v>0.89999997615814198</v>
      </c>
      <c r="E13"/>
      <c r="F13">
        <v>3382</v>
      </c>
      <c r="G13" t="s">
        <v>274</v>
      </c>
      <c r="H13"/>
      <c r="I13">
        <v>5.4999999701976797E-2</v>
      </c>
      <c r="J13">
        <v>3.0999999046325701</v>
      </c>
      <c r="K13" t="b">
        <v>0</v>
      </c>
      <c r="L13" t="b">
        <v>1</v>
      </c>
      <c r="M13" t="s">
        <v>270</v>
      </c>
      <c r="N13" t="b">
        <v>0</v>
      </c>
      <c r="O13" s="67" t="str">
        <f>VLOOKUP($A13,MFMaster!$A$2:$C$300,2,FALSE)</f>
        <v>1-3 stories</v>
      </c>
      <c r="P13" s="67">
        <f>VLOOKUP($A13,MFMaster!$A$2:$CG$232,85,FALSE)</f>
        <v>628.72027587890602</v>
      </c>
      <c r="R13" s="70" t="s">
        <v>281</v>
      </c>
      <c r="S13" s="71">
        <v>73.015617370605497</v>
      </c>
      <c r="T13" s="71"/>
      <c r="U13" s="71">
        <v>73.015617370605497</v>
      </c>
      <c r="V13" s="71">
        <v>943.08038330078102</v>
      </c>
      <c r="W13" s="71"/>
      <c r="X13" s="71">
        <v>943.08038330078102</v>
      </c>
      <c r="Y13" s="71"/>
      <c r="Z13" s="71"/>
      <c r="AA13" s="71">
        <v>114.48550415039099</v>
      </c>
      <c r="AB13" s="71">
        <v>343.45651245117199</v>
      </c>
      <c r="AC13" s="71">
        <v>457.94201660156295</v>
      </c>
      <c r="AD13" s="71">
        <v>2672.0611267089821</v>
      </c>
      <c r="AE13" s="71"/>
      <c r="AF13" s="71"/>
      <c r="AG13" s="71">
        <v>2672.0611267089821</v>
      </c>
      <c r="AH13" s="71">
        <v>4146.0991439819318</v>
      </c>
      <c r="AJ13" s="67" t="s">
        <v>174</v>
      </c>
      <c r="AK13" s="67" t="s">
        <v>175</v>
      </c>
    </row>
    <row r="14" spans="1:38">
      <c r="A14">
        <v>20566</v>
      </c>
      <c r="B14" t="s">
        <v>1922</v>
      </c>
      <c r="C14" t="s">
        <v>280</v>
      </c>
      <c r="D14">
        <v>0.89999997615814198</v>
      </c>
      <c r="E14"/>
      <c r="F14">
        <v>3622</v>
      </c>
      <c r="G14" t="s">
        <v>274</v>
      </c>
      <c r="H14" t="s">
        <v>275</v>
      </c>
      <c r="I14">
        <v>0.10000000149011599</v>
      </c>
      <c r="J14">
        <v>4.5</v>
      </c>
      <c r="K14" t="b">
        <v>0</v>
      </c>
      <c r="L14" t="b">
        <v>1</v>
      </c>
      <c r="M14" t="s">
        <v>273</v>
      </c>
      <c r="N14" t="b">
        <v>0</v>
      </c>
      <c r="O14" s="67" t="str">
        <f>VLOOKUP($A14,MFMaster!$A$2:$C$300,2,FALSE)</f>
        <v>1-3 stories</v>
      </c>
      <c r="P14" s="67">
        <f>VLOOKUP($A14,MFMaster!$A$2:$CG$232,85,FALSE)</f>
        <v>754.46429443359398</v>
      </c>
      <c r="R14" s="70" t="s">
        <v>197</v>
      </c>
      <c r="S14" s="71">
        <v>78.231018066406307</v>
      </c>
      <c r="T14" s="71">
        <v>120.20978164672849</v>
      </c>
      <c r="U14" s="71">
        <v>198.44079971313479</v>
      </c>
      <c r="V14" s="71"/>
      <c r="W14" s="71"/>
      <c r="X14" s="71"/>
      <c r="Y14" s="71"/>
      <c r="Z14" s="71"/>
      <c r="AA14" s="71"/>
      <c r="AB14" s="71">
        <v>136.90428161621099</v>
      </c>
      <c r="AC14" s="71">
        <v>136.90428161621099</v>
      </c>
      <c r="AD14" s="71"/>
      <c r="AE14" s="71"/>
      <c r="AF14" s="71"/>
      <c r="AG14" s="71"/>
      <c r="AH14" s="71">
        <v>335.34508132934582</v>
      </c>
      <c r="AJ14" s="73">
        <f>SUM(T13,W13,AB13,AE13)/SUM($AH$13)</f>
        <v>8.2838470698342936E-2</v>
      </c>
      <c r="AK14" s="73">
        <f>SUM(S13,V13,AA13,AD13)/SUM($AH$13)</f>
        <v>0.91716152930165706</v>
      </c>
      <c r="AL14" s="74"/>
    </row>
    <row r="15" spans="1:38">
      <c r="A15">
        <v>20665</v>
      </c>
      <c r="B15" t="s">
        <v>1922</v>
      </c>
      <c r="C15" t="s">
        <v>280</v>
      </c>
      <c r="D15">
        <v>0.89999997615814198</v>
      </c>
      <c r="E15"/>
      <c r="F15">
        <v>3150</v>
      </c>
      <c r="G15" t="s">
        <v>274</v>
      </c>
      <c r="H15"/>
      <c r="I15">
        <v>0.10000000149011599</v>
      </c>
      <c r="J15">
        <v>3.0999999046325701</v>
      </c>
      <c r="K15" t="b">
        <v>0</v>
      </c>
      <c r="L15" t="b">
        <v>1</v>
      </c>
      <c r="M15" t="s">
        <v>270</v>
      </c>
      <c r="N15" t="b">
        <v>0</v>
      </c>
      <c r="O15" s="67" t="str">
        <f>VLOOKUP($A15,MFMaster!$A$2:$C$300,2,FALSE)</f>
        <v>1-3 stories</v>
      </c>
      <c r="P15" s="67">
        <f>VLOOKUP($A15,MFMaster!$A$2:$CG$232,85,FALSE)</f>
        <v>685.87664794921898</v>
      </c>
      <c r="R15" s="70" t="s">
        <v>276</v>
      </c>
      <c r="S15" s="71">
        <v>26.7130317687988</v>
      </c>
      <c r="T15" s="71"/>
      <c r="U15" s="71">
        <v>26.7130317687988</v>
      </c>
      <c r="V15" s="71">
        <v>784.88746643066429</v>
      </c>
      <c r="W15" s="71">
        <v>0</v>
      </c>
      <c r="X15" s="71">
        <v>784.88746643066429</v>
      </c>
      <c r="Y15" s="71">
        <v>209.57342529296901</v>
      </c>
      <c r="Z15" s="71">
        <v>209.57342529296901</v>
      </c>
      <c r="AA15" s="71"/>
      <c r="AB15" s="71">
        <v>182.53904724121099</v>
      </c>
      <c r="AC15" s="71">
        <v>182.53904724121099</v>
      </c>
      <c r="AD15" s="71"/>
      <c r="AE15" s="71">
        <v>1610.779663085937</v>
      </c>
      <c r="AF15" s="71"/>
      <c r="AG15" s="71">
        <v>1610.779663085937</v>
      </c>
      <c r="AH15" s="71">
        <v>2814.4926338195801</v>
      </c>
    </row>
    <row r="16" spans="1:38">
      <c r="A16">
        <v>20705</v>
      </c>
      <c r="B16" t="s">
        <v>1922</v>
      </c>
      <c r="C16" t="s">
        <v>280</v>
      </c>
      <c r="D16">
        <v>0.89999997615814198</v>
      </c>
      <c r="E16"/>
      <c r="F16">
        <v>5540</v>
      </c>
      <c r="G16"/>
      <c r="H16"/>
      <c r="I16">
        <v>0.10000000149011599</v>
      </c>
      <c r="J16">
        <v>3.0999999046325701</v>
      </c>
      <c r="K16" t="b">
        <v>0</v>
      </c>
      <c r="L16" t="b">
        <v>1</v>
      </c>
      <c r="M16" t="s">
        <v>270</v>
      </c>
      <c r="N16" t="b">
        <v>1</v>
      </c>
      <c r="O16" s="67" t="str">
        <f>VLOOKUP($A16,MFMaster!$A$2:$C$300,2,FALSE)</f>
        <v>1-3 stories</v>
      </c>
      <c r="P16" s="67">
        <f>VLOOKUP($A16,MFMaster!$A$2:$CG$232,85,FALSE)</f>
        <v>1257.44055175781</v>
      </c>
      <c r="R16" s="70" t="s">
        <v>277</v>
      </c>
      <c r="S16" s="71">
        <v>0</v>
      </c>
      <c r="T16" s="71">
        <v>0</v>
      </c>
      <c r="U16" s="71">
        <v>0</v>
      </c>
      <c r="V16" s="71"/>
      <c r="W16" s="71"/>
      <c r="X16" s="71"/>
      <c r="Y16" s="71"/>
      <c r="Z16" s="71"/>
      <c r="AA16" s="71"/>
      <c r="AB16" s="71">
        <v>0</v>
      </c>
      <c r="AC16" s="71">
        <v>0</v>
      </c>
      <c r="AD16" s="71"/>
      <c r="AE16" s="71"/>
      <c r="AF16" s="71"/>
      <c r="AG16" s="71"/>
      <c r="AH16" s="71">
        <v>0</v>
      </c>
    </row>
    <row r="17" spans="1:34">
      <c r="A17">
        <v>20803</v>
      </c>
      <c r="B17" t="s">
        <v>1922</v>
      </c>
      <c r="C17" t="s">
        <v>280</v>
      </c>
      <c r="D17">
        <v>0.89999997615814198</v>
      </c>
      <c r="E17"/>
      <c r="F17">
        <v>2825</v>
      </c>
      <c r="G17" t="s">
        <v>274</v>
      </c>
      <c r="H17"/>
      <c r="I17">
        <v>0.10000000149011599</v>
      </c>
      <c r="J17">
        <v>3.0999999046325701</v>
      </c>
      <c r="K17" t="b">
        <v>0</v>
      </c>
      <c r="L17" t="b">
        <v>1</v>
      </c>
      <c r="M17" t="s">
        <v>270</v>
      </c>
      <c r="N17" t="b">
        <v>0</v>
      </c>
      <c r="O17" s="67" t="str">
        <f>VLOOKUP($A17,MFMaster!$A$2:$C$300,2,FALSE)</f>
        <v>1-3 stories</v>
      </c>
      <c r="P17" s="67">
        <f>VLOOKUP($A17,MFMaster!$A$2:$CG$232,85,FALSE)</f>
        <v>838.293701171875</v>
      </c>
      <c r="R17" s="70" t="s">
        <v>279</v>
      </c>
      <c r="S17" s="71">
        <v>600.53796386718795</v>
      </c>
      <c r="T17" s="71"/>
      <c r="U17" s="71">
        <v>600.53796386718795</v>
      </c>
      <c r="V17" s="71"/>
      <c r="W17" s="71">
        <v>53.381153106689503</v>
      </c>
      <c r="X17" s="71">
        <v>53.381153106689503</v>
      </c>
      <c r="Y17" s="71"/>
      <c r="Z17" s="71"/>
      <c r="AA17" s="71"/>
      <c r="AB17" s="71">
        <v>91.269523620605497</v>
      </c>
      <c r="AC17" s="71">
        <v>91.269523620605497</v>
      </c>
      <c r="AD17" s="71"/>
      <c r="AE17" s="71">
        <v>628.72027587890602</v>
      </c>
      <c r="AF17" s="71"/>
      <c r="AG17" s="71">
        <v>628.72027587890602</v>
      </c>
      <c r="AH17" s="71">
        <v>1373.9089164733889</v>
      </c>
    </row>
    <row r="18" spans="1:34">
      <c r="A18">
        <v>21000</v>
      </c>
      <c r="B18" t="s">
        <v>1922</v>
      </c>
      <c r="C18" t="s">
        <v>280</v>
      </c>
      <c r="D18">
        <v>0.89999997615814198</v>
      </c>
      <c r="E18"/>
      <c r="F18">
        <v>12776</v>
      </c>
      <c r="G18" t="s">
        <v>274</v>
      </c>
      <c r="H18" t="s">
        <v>275</v>
      </c>
      <c r="I18">
        <v>0.10000000149011599</v>
      </c>
      <c r="J18">
        <v>4.5</v>
      </c>
      <c r="K18" t="b">
        <v>0</v>
      </c>
      <c r="L18" t="b">
        <v>1</v>
      </c>
      <c r="M18" t="s">
        <v>273</v>
      </c>
      <c r="N18" t="b">
        <v>1</v>
      </c>
      <c r="O18" s="67" t="str">
        <f>VLOOKUP($A18,MFMaster!$A$2:$C$300,2,FALSE)</f>
        <v>1-3 stories</v>
      </c>
      <c r="P18" s="67">
        <f>VLOOKUP($A18,MFMaster!$A$2:$CG$232,85,FALSE)</f>
        <v>251.48811340332</v>
      </c>
      <c r="R18" s="70" t="s">
        <v>280</v>
      </c>
      <c r="S18" s="71">
        <v>502.97622680664</v>
      </c>
      <c r="T18" s="71">
        <v>754.46429443359398</v>
      </c>
      <c r="U18" s="71">
        <v>1257.4405212402339</v>
      </c>
      <c r="V18" s="71"/>
      <c r="W18" s="71"/>
      <c r="X18" s="71"/>
      <c r="Y18" s="71">
        <v>47.6188774108887</v>
      </c>
      <c r="Z18" s="71">
        <v>47.6188774108887</v>
      </c>
      <c r="AA18" s="71"/>
      <c r="AB18" s="71"/>
      <c r="AC18" s="71"/>
      <c r="AD18" s="71">
        <v>1897.7050399780246</v>
      </c>
      <c r="AE18" s="71">
        <v>2720.7280559539795</v>
      </c>
      <c r="AF18" s="71"/>
      <c r="AG18" s="71">
        <v>4618.4330959320041</v>
      </c>
      <c r="AH18" s="71">
        <v>5923.4924945831262</v>
      </c>
    </row>
    <row r="19" spans="1:34">
      <c r="A19">
        <v>21268</v>
      </c>
      <c r="B19" t="s">
        <v>1922</v>
      </c>
      <c r="C19" t="s">
        <v>281</v>
      </c>
      <c r="D19"/>
      <c r="E19"/>
      <c r="F19">
        <v>2158</v>
      </c>
      <c r="G19" t="s">
        <v>274</v>
      </c>
      <c r="H19"/>
      <c r="I19">
        <v>0.230000004172325</v>
      </c>
      <c r="J19">
        <v>3.0999999046325701</v>
      </c>
      <c r="K19" t="b">
        <v>0</v>
      </c>
      <c r="L19" t="b">
        <v>1</v>
      </c>
      <c r="M19" t="s">
        <v>270</v>
      </c>
      <c r="N19" t="b">
        <v>1</v>
      </c>
      <c r="O19" s="67" t="str">
        <f>VLOOKUP($A19,MFMaster!$A$2:$C$300,2,FALSE)</f>
        <v>1-3 stories</v>
      </c>
      <c r="P19" s="67">
        <f>VLOOKUP($A19,MFMaster!$A$2:$CG$232,85,FALSE)</f>
        <v>1257.44055175781</v>
      </c>
      <c r="R19" s="70" t="s">
        <v>212</v>
      </c>
      <c r="S19" s="71"/>
      <c r="T19" s="71"/>
      <c r="U19" s="71"/>
      <c r="V19" s="71"/>
      <c r="W19" s="71"/>
      <c r="X19" s="71"/>
      <c r="Y19" s="71"/>
      <c r="Z19" s="71"/>
      <c r="AA19" s="71"/>
      <c r="AB19" s="71"/>
      <c r="AC19" s="71"/>
      <c r="AD19" s="71"/>
      <c r="AE19" s="71"/>
      <c r="AF19" s="71"/>
      <c r="AG19" s="71"/>
      <c r="AH19" s="71"/>
    </row>
    <row r="20" spans="1:34">
      <c r="A20">
        <v>21488</v>
      </c>
      <c r="B20" t="s">
        <v>1922</v>
      </c>
      <c r="C20" t="s">
        <v>276</v>
      </c>
      <c r="D20">
        <v>0.75</v>
      </c>
      <c r="E20"/>
      <c r="F20">
        <v>2924</v>
      </c>
      <c r="G20" t="s">
        <v>269</v>
      </c>
      <c r="H20"/>
      <c r="I20">
        <v>9.00000035762787E-2</v>
      </c>
      <c r="J20">
        <v>3.0999999046325701</v>
      </c>
      <c r="K20" t="b">
        <v>0</v>
      </c>
      <c r="L20" t="b">
        <v>1</v>
      </c>
      <c r="M20" t="s">
        <v>270</v>
      </c>
      <c r="N20" t="b">
        <v>0</v>
      </c>
      <c r="O20" s="67" t="str">
        <f>VLOOKUP($A20,MFMaster!$A$2:$C$300,2,FALSE)</f>
        <v>1-3 stories</v>
      </c>
      <c r="P20" s="67">
        <f>VLOOKUP($A20,MFMaster!$A$2:$CG$232,85,FALSE)</f>
        <v>943.08038330078102</v>
      </c>
      <c r="R20" s="70" t="s">
        <v>210</v>
      </c>
      <c r="S20" s="71">
        <v>1281.4738578796384</v>
      </c>
      <c r="T20" s="71">
        <v>874.67407608032249</v>
      </c>
      <c r="U20" s="71">
        <v>2156.1479339599609</v>
      </c>
      <c r="V20" s="71">
        <v>1727.9678497314453</v>
      </c>
      <c r="W20" s="71">
        <v>53.381153106689503</v>
      </c>
      <c r="X20" s="71">
        <v>1781.3490028381348</v>
      </c>
      <c r="Y20" s="71">
        <v>257.19230270385771</v>
      </c>
      <c r="Z20" s="71">
        <v>257.19230270385771</v>
      </c>
      <c r="AA20" s="71">
        <v>114.48550415039099</v>
      </c>
      <c r="AB20" s="71">
        <v>754.16936492919945</v>
      </c>
      <c r="AC20" s="71">
        <v>868.6548690795903</v>
      </c>
      <c r="AD20" s="71">
        <v>4569.7661666870063</v>
      </c>
      <c r="AE20" s="71">
        <v>4960.2279949188223</v>
      </c>
      <c r="AF20" s="71"/>
      <c r="AG20" s="71">
        <v>9529.9941616058295</v>
      </c>
      <c r="AH20" s="71">
        <v>14593.338270187372</v>
      </c>
    </row>
    <row r="21" spans="1:34">
      <c r="A21">
        <v>21576</v>
      </c>
      <c r="B21" t="s">
        <v>1922</v>
      </c>
      <c r="C21" t="s">
        <v>280</v>
      </c>
      <c r="D21">
        <v>0.89999997615814198</v>
      </c>
      <c r="E21"/>
      <c r="F21">
        <v>11520</v>
      </c>
      <c r="G21" t="s">
        <v>274</v>
      </c>
      <c r="H21"/>
      <c r="I21">
        <v>0.10000000149011599</v>
      </c>
      <c r="J21">
        <v>4.5</v>
      </c>
      <c r="K21" t="b">
        <v>0</v>
      </c>
      <c r="L21" t="b">
        <v>1</v>
      </c>
      <c r="M21" t="s">
        <v>273</v>
      </c>
      <c r="N21" t="b">
        <v>0</v>
      </c>
      <c r="O21" s="67" t="str">
        <f>VLOOKUP($A21,MFMaster!$A$2:$C$300,2,FALSE)</f>
        <v>1-3 stories</v>
      </c>
      <c r="P21" s="67">
        <f>VLOOKUP($A21,MFMaster!$A$2:$CG$232,85,FALSE)</f>
        <v>314.36013793945301</v>
      </c>
      <c r="R21"/>
      <c r="S21"/>
      <c r="T21"/>
      <c r="U21"/>
      <c r="V21"/>
      <c r="W21"/>
      <c r="X21"/>
      <c r="Y21"/>
      <c r="Z21"/>
      <c r="AA21"/>
      <c r="AB21"/>
      <c r="AC21"/>
      <c r="AD21"/>
      <c r="AE21"/>
      <c r="AF21"/>
      <c r="AG21"/>
      <c r="AH21"/>
    </row>
    <row r="22" spans="1:34">
      <c r="A22">
        <v>21691</v>
      </c>
      <c r="B22" t="s">
        <v>1922</v>
      </c>
      <c r="C22" t="s">
        <v>281</v>
      </c>
      <c r="D22"/>
      <c r="E22" t="s">
        <v>282</v>
      </c>
      <c r="F22">
        <v>6726</v>
      </c>
      <c r="G22" t="s">
        <v>269</v>
      </c>
      <c r="H22"/>
      <c r="I22">
        <v>0.230000004172325</v>
      </c>
      <c r="J22">
        <v>7.5999999046325701</v>
      </c>
      <c r="K22" t="b">
        <v>1</v>
      </c>
      <c r="L22" t="b">
        <v>1</v>
      </c>
      <c r="M22" t="s">
        <v>273</v>
      </c>
      <c r="N22" t="b">
        <v>1</v>
      </c>
      <c r="O22" s="67" t="str">
        <f>VLOOKUP($A22,MFMaster!$A$2:$C$300,2,FALSE)</f>
        <v>1-3 stories</v>
      </c>
      <c r="P22" s="67">
        <f>VLOOKUP($A22,MFMaster!$A$2:$CG$232,85,FALSE)</f>
        <v>943.08038330078102</v>
      </c>
      <c r="R22"/>
      <c r="S22"/>
      <c r="T22"/>
      <c r="U22"/>
      <c r="V22"/>
      <c r="W22"/>
      <c r="X22"/>
      <c r="Y22"/>
      <c r="Z22"/>
      <c r="AA22"/>
      <c r="AB22"/>
      <c r="AC22"/>
      <c r="AD22"/>
      <c r="AE22"/>
      <c r="AF22"/>
      <c r="AG22"/>
      <c r="AH22" s="53"/>
    </row>
    <row r="23" spans="1:34">
      <c r="A23">
        <v>21985</v>
      </c>
      <c r="B23" t="s">
        <v>1922</v>
      </c>
      <c r="C23" t="s">
        <v>276</v>
      </c>
      <c r="D23">
        <v>0.75</v>
      </c>
      <c r="E23" t="s">
        <v>282</v>
      </c>
      <c r="F23">
        <v>3240</v>
      </c>
      <c r="G23" t="s">
        <v>269</v>
      </c>
      <c r="H23" t="s">
        <v>278</v>
      </c>
      <c r="I23">
        <v>9.00000035762787E-2</v>
      </c>
      <c r="J23">
        <v>3.9000000953674299</v>
      </c>
      <c r="K23" t="b">
        <v>1</v>
      </c>
      <c r="L23" t="b">
        <v>1</v>
      </c>
      <c r="M23" t="s">
        <v>270</v>
      </c>
      <c r="N23" t="b">
        <v>1</v>
      </c>
      <c r="O23" s="67" t="str">
        <f>VLOOKUP($A23,MFMaster!$A$2:$C$300,2,FALSE)</f>
        <v>1-3 stories</v>
      </c>
      <c r="P23" s="67">
        <f>VLOOKUP($A23,MFMaster!$A$2:$CG$232,85,FALSE)</f>
        <v>754.46429443359398</v>
      </c>
      <c r="R23"/>
      <c r="S23"/>
      <c r="T23"/>
      <c r="U23"/>
      <c r="V23"/>
      <c r="W23"/>
      <c r="X23"/>
      <c r="Y23"/>
      <c r="Z23"/>
      <c r="AA23"/>
      <c r="AB23"/>
      <c r="AC23"/>
      <c r="AD23"/>
      <c r="AE23"/>
      <c r="AF23"/>
      <c r="AG23"/>
      <c r="AH23"/>
    </row>
    <row r="24" spans="1:34">
      <c r="A24">
        <v>21998</v>
      </c>
      <c r="B24" t="s">
        <v>1922</v>
      </c>
      <c r="C24" t="s">
        <v>281</v>
      </c>
      <c r="D24"/>
      <c r="E24" t="s">
        <v>282</v>
      </c>
      <c r="F24">
        <v>4207</v>
      </c>
      <c r="G24" t="s">
        <v>274</v>
      </c>
      <c r="H24" t="s">
        <v>278</v>
      </c>
      <c r="I24">
        <v>0.230000004172325</v>
      </c>
      <c r="J24">
        <v>3.9000000953674299</v>
      </c>
      <c r="K24" t="b">
        <v>1</v>
      </c>
      <c r="L24" t="b">
        <v>1</v>
      </c>
      <c r="M24" t="s">
        <v>270</v>
      </c>
      <c r="N24" t="b">
        <v>1</v>
      </c>
      <c r="O24" s="67" t="str">
        <f>VLOOKUP($A24,MFMaster!$A$2:$C$300,2,FALSE)</f>
        <v>1-3 stories</v>
      </c>
      <c r="P24" s="67" t="str">
        <f>VLOOKUP($A24,MFMaster!$A$2:$CG$232,85,FALSE)</f>
        <v/>
      </c>
      <c r="R24"/>
      <c r="S24"/>
      <c r="T24"/>
    </row>
    <row r="25" spans="1:34">
      <c r="A25">
        <v>22058</v>
      </c>
      <c r="B25" t="s">
        <v>1922</v>
      </c>
      <c r="C25" t="s">
        <v>280</v>
      </c>
      <c r="D25">
        <v>0.89999997615814198</v>
      </c>
      <c r="E25"/>
      <c r="F25">
        <v>11880</v>
      </c>
      <c r="G25" t="s">
        <v>274</v>
      </c>
      <c r="H25" t="s">
        <v>275</v>
      </c>
      <c r="I25">
        <v>0.10000000149011599</v>
      </c>
      <c r="J25">
        <v>3.0999999046325701</v>
      </c>
      <c r="K25" t="b">
        <v>0</v>
      </c>
      <c r="L25" t="b">
        <v>1</v>
      </c>
      <c r="M25" t="s">
        <v>270</v>
      </c>
      <c r="N25" t="b">
        <v>1</v>
      </c>
      <c r="O25" s="67" t="str">
        <f>VLOOKUP($A25,MFMaster!$A$2:$C$300,2,FALSE)</f>
        <v>1-3 stories</v>
      </c>
      <c r="P25" s="67">
        <f>VLOOKUP($A25,MFMaster!$A$2:$CG$232,85,FALSE)</f>
        <v>251.48811340332</v>
      </c>
      <c r="R25"/>
      <c r="S25"/>
      <c r="T25"/>
    </row>
    <row r="26" spans="1:34">
      <c r="A26">
        <v>22450</v>
      </c>
      <c r="B26" t="s">
        <v>1922</v>
      </c>
      <c r="C26" t="s">
        <v>276</v>
      </c>
      <c r="D26">
        <v>0.89999997615814198</v>
      </c>
      <c r="E26" t="s">
        <v>282</v>
      </c>
      <c r="F26">
        <v>5123</v>
      </c>
      <c r="G26" t="s">
        <v>274</v>
      </c>
      <c r="H26"/>
      <c r="I26">
        <v>6.4999997615814195E-2</v>
      </c>
      <c r="J26">
        <v>7.5999999046325701</v>
      </c>
      <c r="K26" t="b">
        <v>1</v>
      </c>
      <c r="L26" t="b">
        <v>1</v>
      </c>
      <c r="M26" t="s">
        <v>273</v>
      </c>
      <c r="N26" t="b">
        <v>0</v>
      </c>
      <c r="O26" s="67" t="str">
        <f>VLOOKUP($A26,MFMaster!$A$2:$C$300,2,FALSE)</f>
        <v>1-3 stories</v>
      </c>
      <c r="P26" s="67">
        <f>VLOOKUP($A26,MFMaster!$A$2:$CG$232,85,FALSE)</f>
        <v>538.903076171875</v>
      </c>
      <c r="R26"/>
      <c r="S26"/>
      <c r="T26"/>
    </row>
    <row r="27" spans="1:34">
      <c r="A27">
        <v>23425</v>
      </c>
      <c r="B27" t="s">
        <v>1922</v>
      </c>
      <c r="C27" t="s">
        <v>280</v>
      </c>
      <c r="D27">
        <v>0.89999997615814198</v>
      </c>
      <c r="E27"/>
      <c r="F27">
        <v>3340</v>
      </c>
      <c r="G27" t="s">
        <v>274</v>
      </c>
      <c r="H27"/>
      <c r="I27">
        <v>0.10000000149011599</v>
      </c>
      <c r="J27">
        <v>4.5</v>
      </c>
      <c r="K27" t="b">
        <v>0</v>
      </c>
      <c r="L27" t="b">
        <v>1</v>
      </c>
      <c r="M27" t="s">
        <v>273</v>
      </c>
      <c r="N27" t="b">
        <v>0</v>
      </c>
      <c r="O27" s="67" t="str">
        <f>VLOOKUP($A27,MFMaster!$A$2:$C$300,2,FALSE)</f>
        <v>1-3 stories</v>
      </c>
      <c r="P27" s="67">
        <f>VLOOKUP($A27,MFMaster!$A$2:$CG$232,85,FALSE)</f>
        <v>754.46429443359398</v>
      </c>
      <c r="R27"/>
      <c r="S27"/>
      <c r="T27"/>
    </row>
    <row r="28" spans="1:34">
      <c r="A28">
        <v>24139</v>
      </c>
      <c r="B28" t="s">
        <v>1922</v>
      </c>
      <c r="C28" t="s">
        <v>281</v>
      </c>
      <c r="D28"/>
      <c r="E28"/>
      <c r="F28">
        <v>7280</v>
      </c>
      <c r="G28" t="s">
        <v>269</v>
      </c>
      <c r="H28"/>
      <c r="I28">
        <v>0.230000004172325</v>
      </c>
      <c r="J28">
        <v>4.5</v>
      </c>
      <c r="K28" t="b">
        <v>0</v>
      </c>
      <c r="L28" t="b">
        <v>1</v>
      </c>
      <c r="M28" t="s">
        <v>273</v>
      </c>
      <c r="N28" t="b">
        <v>1</v>
      </c>
      <c r="O28" s="67" t="str">
        <f>VLOOKUP($A28,MFMaster!$A$2:$C$300,2,FALSE)</f>
        <v>1-3 stories</v>
      </c>
      <c r="P28" s="67">
        <f>VLOOKUP($A28,MFMaster!$A$2:$CG$232,85,FALSE)</f>
        <v>471.54019165039102</v>
      </c>
    </row>
    <row r="29" spans="1:34">
      <c r="A29">
        <v>24637</v>
      </c>
      <c r="B29" t="s">
        <v>1922</v>
      </c>
      <c r="C29" t="s">
        <v>276</v>
      </c>
      <c r="D29">
        <v>1</v>
      </c>
      <c r="E29" t="s">
        <v>282</v>
      </c>
      <c r="F29">
        <v>26980</v>
      </c>
      <c r="G29" t="s">
        <v>274</v>
      </c>
      <c r="H29" t="s">
        <v>272</v>
      </c>
      <c r="I29">
        <v>4.5000001788139302E-2</v>
      </c>
      <c r="J29">
        <v>7.5999999046325701</v>
      </c>
      <c r="K29" t="b">
        <v>1</v>
      </c>
      <c r="L29" t="b">
        <v>1</v>
      </c>
      <c r="M29" t="s">
        <v>273</v>
      </c>
      <c r="N29" t="b">
        <v>0</v>
      </c>
      <c r="O29" s="67" t="str">
        <f>VLOOKUP($A29,MFMaster!$A$2:$C$300,2,FALSE)</f>
        <v>1-3 stories</v>
      </c>
      <c r="P29" s="67">
        <f>VLOOKUP($A29,MFMaster!$A$2:$CG$232,85,FALSE)</f>
        <v>209.57342529296901</v>
      </c>
    </row>
    <row r="30" spans="1:34">
      <c r="A30">
        <v>71003</v>
      </c>
      <c r="B30" t="s">
        <v>1922</v>
      </c>
      <c r="C30" t="s">
        <v>276</v>
      </c>
      <c r="D30">
        <v>1</v>
      </c>
      <c r="E30"/>
      <c r="F30">
        <v>2290</v>
      </c>
      <c r="G30" t="s">
        <v>274</v>
      </c>
      <c r="H30" t="s">
        <v>207</v>
      </c>
      <c r="I30">
        <v>4.5000001788139302E-2</v>
      </c>
      <c r="J30">
        <v>3.0999999046325701</v>
      </c>
      <c r="K30" t="b">
        <v>0</v>
      </c>
      <c r="L30" t="b">
        <v>1</v>
      </c>
      <c r="M30" t="s">
        <v>270</v>
      </c>
      <c r="N30" t="b">
        <v>0</v>
      </c>
      <c r="O30" s="67" t="str">
        <f>VLOOKUP($A30,MFMaster!$A$2:$C$300,2,FALSE)</f>
        <v>1-3 stories</v>
      </c>
      <c r="P30" s="67">
        <f>VLOOKUP($A30,MFMaster!$A$2:$CG$232,85,FALSE)</f>
        <v>182.53904724121099</v>
      </c>
    </row>
    <row r="31" spans="1:34">
      <c r="A31">
        <v>71014</v>
      </c>
      <c r="B31" t="s">
        <v>1922</v>
      </c>
      <c r="C31" t="s">
        <v>197</v>
      </c>
      <c r="D31">
        <v>0.89999997615814198</v>
      </c>
      <c r="E31"/>
      <c r="F31">
        <v>2992</v>
      </c>
      <c r="G31" t="s">
        <v>274</v>
      </c>
      <c r="H31" t="s">
        <v>207</v>
      </c>
      <c r="I31">
        <v>7.5000002980232197E-2</v>
      </c>
      <c r="J31">
        <v>3.0999999046325701</v>
      </c>
      <c r="K31" t="b">
        <v>0</v>
      </c>
      <c r="L31" t="b">
        <v>1</v>
      </c>
      <c r="M31" t="s">
        <v>270</v>
      </c>
      <c r="N31" t="b">
        <v>0</v>
      </c>
      <c r="O31" s="67" t="str">
        <f>VLOOKUP($A31,MFMaster!$A$2:$C$300,2,FALSE)</f>
        <v>1-3 stories</v>
      </c>
      <c r="P31" s="67">
        <f>VLOOKUP($A31,MFMaster!$A$2:$CG$232,85,FALSE)</f>
        <v>136.90428161621099</v>
      </c>
    </row>
    <row r="32" spans="1:34">
      <c r="A32">
        <v>72001</v>
      </c>
      <c r="B32" t="s">
        <v>1922</v>
      </c>
      <c r="C32" t="s">
        <v>197</v>
      </c>
      <c r="D32">
        <v>0.5</v>
      </c>
      <c r="E32"/>
      <c r="F32">
        <v>4522</v>
      </c>
      <c r="G32" t="s">
        <v>274</v>
      </c>
      <c r="H32" t="s">
        <v>275</v>
      </c>
      <c r="I32">
        <v>0.144999995827675</v>
      </c>
      <c r="J32">
        <v>3.0999999046325701</v>
      </c>
      <c r="K32" t="b">
        <v>0</v>
      </c>
      <c r="L32" t="b">
        <v>1</v>
      </c>
      <c r="M32" t="s">
        <v>270</v>
      </c>
      <c r="N32" t="b">
        <v>1</v>
      </c>
      <c r="O32" s="67" t="str">
        <f>VLOOKUP($A32,MFMaster!$A$2:$C$300,2,FALSE)</f>
        <v>1-3 stories</v>
      </c>
      <c r="P32" s="67">
        <f>VLOOKUP($A32,MFMaster!$A$2:$CG$232,85,FALSE)</f>
        <v>78.231018066406307</v>
      </c>
    </row>
    <row r="33" spans="1:16">
      <c r="A33">
        <v>72007</v>
      </c>
      <c r="B33" t="s">
        <v>1922</v>
      </c>
      <c r="C33" t="s">
        <v>279</v>
      </c>
      <c r="D33">
        <v>1</v>
      </c>
      <c r="E33"/>
      <c r="F33">
        <v>4836</v>
      </c>
      <c r="G33" t="s">
        <v>274</v>
      </c>
      <c r="H33" t="s">
        <v>207</v>
      </c>
      <c r="I33">
        <v>2.9999999329447701E-2</v>
      </c>
      <c r="J33">
        <v>3.0999999046325701</v>
      </c>
      <c r="K33" t="b">
        <v>0</v>
      </c>
      <c r="L33" t="b">
        <v>1</v>
      </c>
      <c r="M33" t="s">
        <v>270</v>
      </c>
      <c r="N33" t="b">
        <v>0</v>
      </c>
      <c r="O33" s="67" t="str">
        <f>VLOOKUP($A33,MFMaster!$A$2:$C$300,2,FALSE)</f>
        <v>1-3 stories</v>
      </c>
      <c r="P33" s="67">
        <f>VLOOKUP($A33,MFMaster!$A$2:$CG$232,85,FALSE)</f>
        <v>91.269523620605497</v>
      </c>
    </row>
    <row r="34" spans="1:16">
      <c r="A34">
        <v>72010</v>
      </c>
      <c r="B34" t="s">
        <v>1922</v>
      </c>
      <c r="C34" t="s">
        <v>281</v>
      </c>
      <c r="D34"/>
      <c r="E34"/>
      <c r="F34">
        <v>870</v>
      </c>
      <c r="G34" t="s">
        <v>274</v>
      </c>
      <c r="H34" t="s">
        <v>207</v>
      </c>
      <c r="I34">
        <v>0.230000004172325</v>
      </c>
      <c r="J34">
        <v>3.0999999046325701</v>
      </c>
      <c r="K34" t="b">
        <v>0</v>
      </c>
      <c r="L34" t="b">
        <v>1</v>
      </c>
      <c r="M34" t="s">
        <v>270</v>
      </c>
      <c r="N34" t="b">
        <v>1</v>
      </c>
      <c r="O34" s="67" t="str">
        <f>VLOOKUP($A34,MFMaster!$A$2:$C$300,2,FALSE)</f>
        <v>4-6 stories</v>
      </c>
      <c r="P34" s="67" t="str">
        <f>VLOOKUP($A34,MFMaster!$A$2:$CG$232,85,FALSE)</f>
        <v/>
      </c>
    </row>
    <row r="35" spans="1:16">
      <c r="A35">
        <v>73001</v>
      </c>
      <c r="B35" t="s">
        <v>1922</v>
      </c>
      <c r="C35" t="s">
        <v>281</v>
      </c>
      <c r="D35"/>
      <c r="E35"/>
      <c r="F35">
        <v>4879</v>
      </c>
      <c r="G35" t="s">
        <v>274</v>
      </c>
      <c r="H35" t="s">
        <v>275</v>
      </c>
      <c r="I35">
        <v>0.230000004172325</v>
      </c>
      <c r="J35">
        <v>3.0999999046325701</v>
      </c>
      <c r="K35" t="b">
        <v>0</v>
      </c>
      <c r="L35" t="b">
        <v>1</v>
      </c>
      <c r="M35" t="s">
        <v>270</v>
      </c>
      <c r="N35" t="b">
        <v>1</v>
      </c>
      <c r="O35" s="67" t="str">
        <f>VLOOKUP($A35,MFMaster!$A$2:$C$300,2,FALSE)</f>
        <v>4-6 stories</v>
      </c>
      <c r="P35" s="67" t="str">
        <f>VLOOKUP($A35,MFMaster!$A$2:$CG$232,85,FALSE)</f>
        <v/>
      </c>
    </row>
    <row r="36" spans="1:16">
      <c r="A36">
        <v>73002</v>
      </c>
      <c r="B36" t="s">
        <v>1922</v>
      </c>
      <c r="C36" t="s">
        <v>277</v>
      </c>
      <c r="D36">
        <v>0.89999997615814198</v>
      </c>
      <c r="E36"/>
      <c r="F36">
        <v>3287</v>
      </c>
      <c r="G36" t="s">
        <v>274</v>
      </c>
      <c r="H36" t="s">
        <v>207</v>
      </c>
      <c r="I36">
        <v>5.9999998658895499E-2</v>
      </c>
      <c r="J36">
        <v>3.0999999046325701</v>
      </c>
      <c r="K36" t="b">
        <v>0</v>
      </c>
      <c r="L36" t="b">
        <v>1</v>
      </c>
      <c r="M36" t="s">
        <v>270</v>
      </c>
      <c r="N36" t="b">
        <v>0</v>
      </c>
      <c r="O36" s="67" t="str">
        <f>VLOOKUP($A36,MFMaster!$A$2:$C$300,2,FALSE)</f>
        <v>4-6 stories</v>
      </c>
      <c r="P36" s="67" t="str">
        <f>VLOOKUP($A36,MFMaster!$A$2:$CG$232,85,FALSE)</f>
        <v/>
      </c>
    </row>
    <row r="37" spans="1:16">
      <c r="A37">
        <v>73006</v>
      </c>
      <c r="B37" t="s">
        <v>1922</v>
      </c>
      <c r="C37" t="s">
        <v>281</v>
      </c>
      <c r="D37"/>
      <c r="E37"/>
      <c r="F37">
        <v>5900</v>
      </c>
      <c r="G37" t="s">
        <v>274</v>
      </c>
      <c r="H37" t="s">
        <v>275</v>
      </c>
      <c r="I37">
        <v>0.230000004172325</v>
      </c>
      <c r="J37">
        <v>3.0999999046325701</v>
      </c>
      <c r="K37" t="b">
        <v>0</v>
      </c>
      <c r="L37" t="b">
        <v>1</v>
      </c>
      <c r="M37" t="s">
        <v>270</v>
      </c>
      <c r="N37" t="b">
        <v>1</v>
      </c>
      <c r="O37" s="67" t="str">
        <f>VLOOKUP($A37,MFMaster!$A$2:$C$300,2,FALSE)</f>
        <v>1-3 stories</v>
      </c>
      <c r="P37" s="67">
        <f>VLOOKUP($A37,MFMaster!$A$2:$CG$232,85,FALSE)</f>
        <v>73.015617370605497</v>
      </c>
    </row>
    <row r="38" spans="1:16">
      <c r="A38">
        <v>74005</v>
      </c>
      <c r="B38" t="s">
        <v>1922</v>
      </c>
      <c r="C38" t="s">
        <v>280</v>
      </c>
      <c r="D38">
        <v>0.89999997615814198</v>
      </c>
      <c r="E38"/>
      <c r="F38">
        <v>245</v>
      </c>
      <c r="G38" t="s">
        <v>274</v>
      </c>
      <c r="H38"/>
      <c r="I38">
        <v>0.10000000149011599</v>
      </c>
      <c r="J38">
        <v>3.0999999046325701</v>
      </c>
      <c r="K38" t="b">
        <v>0</v>
      </c>
      <c r="L38" t="b">
        <v>1</v>
      </c>
      <c r="M38" t="s">
        <v>270</v>
      </c>
      <c r="N38" t="b">
        <v>1</v>
      </c>
      <c r="O38" s="67" t="str">
        <f>VLOOKUP($A38,MFMaster!$A$2:$C$300,2,FALSE)</f>
        <v>1-3 stories</v>
      </c>
      <c r="P38" s="67">
        <f>VLOOKUP($A38,MFMaster!$A$2:$CG$232,85,FALSE)</f>
        <v>40.564231872558601</v>
      </c>
    </row>
    <row r="39" spans="1:16">
      <c r="A39">
        <v>74006</v>
      </c>
      <c r="B39" t="s">
        <v>1922</v>
      </c>
      <c r="C39" t="s">
        <v>280</v>
      </c>
      <c r="D39">
        <v>0.89999997615814198</v>
      </c>
      <c r="E39"/>
      <c r="F39">
        <v>7146</v>
      </c>
      <c r="G39"/>
      <c r="H39" t="s">
        <v>272</v>
      </c>
      <c r="I39">
        <v>0.10000000149011599</v>
      </c>
      <c r="J39">
        <v>3.0999999046325701</v>
      </c>
      <c r="K39" t="b">
        <v>0</v>
      </c>
      <c r="L39" t="b">
        <v>1</v>
      </c>
      <c r="M39" t="s">
        <v>270</v>
      </c>
      <c r="N39" t="b">
        <v>0</v>
      </c>
      <c r="O39" s="67" t="str">
        <f>VLOOKUP($A39,MFMaster!$A$2:$C$300,2,FALSE)</f>
        <v>1-3 stories</v>
      </c>
      <c r="P39" s="67">
        <f>VLOOKUP($A39,MFMaster!$A$2:$CG$232,85,FALSE)</f>
        <v>47.6188774108887</v>
      </c>
    </row>
    <row r="40" spans="1:16">
      <c r="A40">
        <v>75005</v>
      </c>
      <c r="B40" t="s">
        <v>1922</v>
      </c>
      <c r="C40" t="s">
        <v>277</v>
      </c>
      <c r="D40">
        <v>1</v>
      </c>
      <c r="E40"/>
      <c r="F40">
        <v>5575</v>
      </c>
      <c r="G40" t="s">
        <v>274</v>
      </c>
      <c r="H40" t="s">
        <v>275</v>
      </c>
      <c r="I40">
        <v>3.5000000149011598E-2</v>
      </c>
      <c r="J40">
        <v>3.0999999046325701</v>
      </c>
      <c r="K40" t="b">
        <v>0</v>
      </c>
      <c r="L40" t="b">
        <v>1</v>
      </c>
      <c r="M40" t="s">
        <v>270</v>
      </c>
      <c r="N40" t="b">
        <v>1</v>
      </c>
      <c r="O40" s="67" t="str">
        <f>VLOOKUP($A40,MFMaster!$A$2:$C$300,2,FALSE)</f>
        <v>4-6 stories</v>
      </c>
      <c r="P40" s="67" t="str">
        <f>VLOOKUP($A40,MFMaster!$A$2:$CG$232,85,FALSE)</f>
        <v/>
      </c>
    </row>
    <row r="41" spans="1:16">
      <c r="A41">
        <v>75008</v>
      </c>
      <c r="B41" t="s">
        <v>1922</v>
      </c>
      <c r="C41" t="s">
        <v>276</v>
      </c>
      <c r="D41">
        <v>0.89999997615814198</v>
      </c>
      <c r="E41"/>
      <c r="F41">
        <v>6358</v>
      </c>
      <c r="G41" t="s">
        <v>274</v>
      </c>
      <c r="H41" t="s">
        <v>275</v>
      </c>
      <c r="I41">
        <v>6.4999997615814195E-2</v>
      </c>
      <c r="J41">
        <v>3.0999999046325701</v>
      </c>
      <c r="K41" t="b">
        <v>0</v>
      </c>
      <c r="L41" t="b">
        <v>1</v>
      </c>
      <c r="M41" t="s">
        <v>270</v>
      </c>
      <c r="N41" t="b">
        <v>1</v>
      </c>
      <c r="O41" s="67" t="str">
        <f>VLOOKUP($A41,MFMaster!$A$2:$C$300,2,FALSE)</f>
        <v>1-3 stories</v>
      </c>
      <c r="P41" s="67">
        <f>VLOOKUP($A41,MFMaster!$A$2:$CG$232,85,FALSE)</f>
        <v>26.7130317687988</v>
      </c>
    </row>
    <row r="42" spans="1:16">
      <c r="A42">
        <v>75009</v>
      </c>
      <c r="B42" t="s">
        <v>1923</v>
      </c>
      <c r="C42" t="s">
        <v>280</v>
      </c>
      <c r="D42">
        <v>0.89999997615814198</v>
      </c>
      <c r="E42"/>
      <c r="F42">
        <v>4071</v>
      </c>
      <c r="G42" t="s">
        <v>274</v>
      </c>
      <c r="H42"/>
      <c r="I42">
        <v>0.10000000149011599</v>
      </c>
      <c r="J42">
        <v>3.0999999046325701</v>
      </c>
      <c r="K42" t="b">
        <v>0</v>
      </c>
      <c r="L42" t="b">
        <v>1</v>
      </c>
      <c r="M42" t="s">
        <v>270</v>
      </c>
      <c r="N42" t="b">
        <v>0</v>
      </c>
      <c r="O42" s="67" t="str">
        <f>VLOOKUP($A42,MFMaster!$A$2:$C$300,2,FALSE)</f>
        <v>1-3 stories</v>
      </c>
      <c r="P42" s="67" t="str">
        <f>VLOOKUP($A42,MFMaster!$A$2:$CG$232,85,FALSE)</f>
        <v/>
      </c>
    </row>
    <row r="43" spans="1:16">
      <c r="A43">
        <v>75010</v>
      </c>
      <c r="B43" t="s">
        <v>1922</v>
      </c>
      <c r="C43" t="s">
        <v>276</v>
      </c>
      <c r="D43">
        <v>0.75</v>
      </c>
      <c r="E43"/>
      <c r="F43">
        <v>7972</v>
      </c>
      <c r="G43" t="s">
        <v>274</v>
      </c>
      <c r="H43" t="s">
        <v>278</v>
      </c>
      <c r="I43">
        <v>9.00000035762787E-2</v>
      </c>
      <c r="J43">
        <v>3.0999999046325701</v>
      </c>
      <c r="K43" t="b">
        <v>0</v>
      </c>
      <c r="L43" t="b">
        <v>1</v>
      </c>
      <c r="M43" t="s">
        <v>270</v>
      </c>
      <c r="N43" t="b">
        <v>1</v>
      </c>
      <c r="O43" s="67" t="str">
        <f>VLOOKUP($A43,MFMaster!$A$2:$C$300,2,FALSE)</f>
        <v>1-3 stories</v>
      </c>
      <c r="P43" s="67">
        <f>VLOOKUP($A43,MFMaster!$A$2:$CG$232,85,FALSE)</f>
        <v>30.423171997070298</v>
      </c>
    </row>
    <row r="44" spans="1:16">
      <c r="A44">
        <v>76005</v>
      </c>
      <c r="B44" t="s">
        <v>1922</v>
      </c>
      <c r="C44" t="s">
        <v>277</v>
      </c>
      <c r="D44">
        <v>0.89999997615814198</v>
      </c>
      <c r="E44"/>
      <c r="F44">
        <v>12151</v>
      </c>
      <c r="G44" t="s">
        <v>274</v>
      </c>
      <c r="H44" t="s">
        <v>275</v>
      </c>
      <c r="I44">
        <v>5.9999998658895499E-2</v>
      </c>
      <c r="J44">
        <v>3.0999999046325701</v>
      </c>
      <c r="K44" t="b">
        <v>0</v>
      </c>
      <c r="L44" t="b">
        <v>1</v>
      </c>
      <c r="M44" t="s">
        <v>270</v>
      </c>
      <c r="N44" t="b">
        <v>0</v>
      </c>
      <c r="O44" s="67" t="str">
        <f>VLOOKUP($A44,MFMaster!$A$2:$C$300,2,FALSE)</f>
        <v>4-6 stories</v>
      </c>
      <c r="P44" s="67" t="str">
        <f>VLOOKUP($A44,MFMaster!$A$2:$CG$232,85,FALSE)</f>
        <v/>
      </c>
    </row>
    <row r="45" spans="1:16">
      <c r="A45">
        <v>76007</v>
      </c>
      <c r="B45" t="s">
        <v>1922</v>
      </c>
      <c r="C45" t="s">
        <v>276</v>
      </c>
      <c r="D45">
        <v>0.89999997615814198</v>
      </c>
      <c r="E45"/>
      <c r="F45">
        <v>11717</v>
      </c>
      <c r="G45" t="s">
        <v>274</v>
      </c>
      <c r="H45" t="s">
        <v>278</v>
      </c>
      <c r="I45">
        <v>6.4999997615814195E-2</v>
      </c>
      <c r="J45">
        <v>3.0999999046325701</v>
      </c>
      <c r="K45" t="b">
        <v>0</v>
      </c>
      <c r="L45" t="b">
        <v>1</v>
      </c>
      <c r="M45" t="s">
        <v>270</v>
      </c>
      <c r="N45" t="b">
        <v>0</v>
      </c>
      <c r="O45" s="67" t="str">
        <f>VLOOKUP($A45,MFMaster!$A$2:$C$300,2,FALSE)</f>
        <v>4-6 stories</v>
      </c>
      <c r="P45" s="67" t="str">
        <f>VLOOKUP($A45,MFMaster!$A$2:$CG$232,85,FALSE)</f>
        <v/>
      </c>
    </row>
    <row r="46" spans="1:16">
      <c r="A46">
        <v>80073</v>
      </c>
      <c r="B46" t="s">
        <v>1922</v>
      </c>
      <c r="C46" t="s">
        <v>276</v>
      </c>
      <c r="D46">
        <v>0.75</v>
      </c>
      <c r="E46"/>
      <c r="F46">
        <v>1641</v>
      </c>
      <c r="G46" t="s">
        <v>269</v>
      </c>
      <c r="H46"/>
      <c r="I46">
        <v>9.00000035762787E-2</v>
      </c>
      <c r="J46">
        <v>3.0999999046325701</v>
      </c>
      <c r="K46" t="b">
        <v>0</v>
      </c>
      <c r="L46" t="b">
        <v>1</v>
      </c>
      <c r="M46" t="s">
        <v>270</v>
      </c>
      <c r="N46" t="b">
        <v>0</v>
      </c>
      <c r="O46" s="67" t="str">
        <f>VLOOKUP($A46,MFMaster!$A$2:$C$300,2,FALSE)</f>
        <v>1-3 stories</v>
      </c>
      <c r="P46" s="67">
        <f>VLOOKUP($A46,MFMaster!$A$2:$CG$232,85,FALSE)</f>
        <v>128.79620361328099</v>
      </c>
    </row>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1:CL232"/>
  <sheetViews>
    <sheetView workbookViewId="0">
      <selection activeCell="O2" sqref="O2"/>
    </sheetView>
  </sheetViews>
  <sheetFormatPr defaultRowHeight="12.75"/>
  <cols>
    <col min="2" max="2" width="16.7109375" customWidth="1"/>
    <col min="3" max="3" width="12.7109375" customWidth="1"/>
    <col min="85" max="85" width="17.7109375" customWidth="1"/>
    <col min="86" max="86" width="9.42578125" customWidth="1"/>
    <col min="87" max="313" width="17.7109375" bestFit="1" customWidth="1"/>
    <col min="314" max="314" width="11.7109375" customWidth="1"/>
    <col min="315" max="315" width="12" bestFit="1" customWidth="1"/>
  </cols>
  <sheetData>
    <row r="1" spans="1:90">
      <c r="A1" t="s">
        <v>1914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row>
    <row r="2" spans="1:90">
      <c r="A2" t="s">
        <v>168</v>
      </c>
      <c r="B2" t="s">
        <v>1687</v>
      </c>
      <c r="C2" t="s">
        <v>1688</v>
      </c>
      <c r="D2" t="s">
        <v>1689</v>
      </c>
      <c r="E2" t="s">
        <v>1690</v>
      </c>
      <c r="F2" t="s">
        <v>1691</v>
      </c>
      <c r="G2" t="s">
        <v>1692</v>
      </c>
      <c r="H2" t="s">
        <v>1693</v>
      </c>
      <c r="I2" t="s">
        <v>1694</v>
      </c>
      <c r="J2" t="s">
        <v>1695</v>
      </c>
      <c r="K2" t="s">
        <v>1696</v>
      </c>
      <c r="L2" t="s">
        <v>1697</v>
      </c>
      <c r="M2" t="s">
        <v>1698</v>
      </c>
      <c r="N2" t="s">
        <v>1699</v>
      </c>
      <c r="O2" t="s">
        <v>1700</v>
      </c>
      <c r="P2" t="s">
        <v>1701</v>
      </c>
      <c r="Q2" t="s">
        <v>1702</v>
      </c>
      <c r="R2" t="s">
        <v>1703</v>
      </c>
      <c r="S2" t="s">
        <v>1704</v>
      </c>
      <c r="T2" t="s">
        <v>1705</v>
      </c>
      <c r="U2" t="s">
        <v>1706</v>
      </c>
      <c r="V2" t="s">
        <v>1707</v>
      </c>
      <c r="W2" t="s">
        <v>1708</v>
      </c>
      <c r="X2" t="s">
        <v>1709</v>
      </c>
      <c r="Y2" t="s">
        <v>1710</v>
      </c>
      <c r="Z2" t="s">
        <v>1711</v>
      </c>
      <c r="AA2" t="s">
        <v>1712</v>
      </c>
      <c r="AB2" t="s">
        <v>1713</v>
      </c>
      <c r="AC2" t="s">
        <v>1714</v>
      </c>
      <c r="AD2" t="s">
        <v>1715</v>
      </c>
      <c r="AE2" t="s">
        <v>1716</v>
      </c>
      <c r="AF2" t="s">
        <v>1717</v>
      </c>
      <c r="AG2" t="s">
        <v>1718</v>
      </c>
      <c r="AH2" t="s">
        <v>1719</v>
      </c>
      <c r="AI2" t="s">
        <v>1720</v>
      </c>
      <c r="AJ2" t="s">
        <v>1721</v>
      </c>
      <c r="AK2" t="s">
        <v>1722</v>
      </c>
      <c r="AL2" t="s">
        <v>1723</v>
      </c>
      <c r="AM2" t="s">
        <v>1724</v>
      </c>
      <c r="AN2" t="s">
        <v>1725</v>
      </c>
      <c r="AO2" t="s">
        <v>1726</v>
      </c>
      <c r="AP2" t="s">
        <v>1727</v>
      </c>
      <c r="AQ2" t="s">
        <v>1728</v>
      </c>
      <c r="AR2" t="s">
        <v>1729</v>
      </c>
      <c r="AS2" t="s">
        <v>1730</v>
      </c>
      <c r="AT2" t="s">
        <v>1731</v>
      </c>
      <c r="AU2" t="s">
        <v>1732</v>
      </c>
      <c r="AV2" t="s">
        <v>1733</v>
      </c>
      <c r="AW2" t="s">
        <v>1734</v>
      </c>
      <c r="AX2" t="s">
        <v>1735</v>
      </c>
      <c r="AY2" t="s">
        <v>1736</v>
      </c>
      <c r="AZ2" t="s">
        <v>1737</v>
      </c>
      <c r="BA2" t="s">
        <v>1738</v>
      </c>
      <c r="BB2" t="s">
        <v>1739</v>
      </c>
      <c r="BC2" t="s">
        <v>1740</v>
      </c>
      <c r="BD2" t="s">
        <v>1741</v>
      </c>
      <c r="BE2" t="s">
        <v>1742</v>
      </c>
      <c r="BF2" t="s">
        <v>1743</v>
      </c>
      <c r="BG2" t="s">
        <v>1744</v>
      </c>
      <c r="BH2" t="s">
        <v>1745</v>
      </c>
      <c r="BI2" t="s">
        <v>1746</v>
      </c>
      <c r="BJ2" t="s">
        <v>1747</v>
      </c>
      <c r="BK2" t="s">
        <v>1748</v>
      </c>
      <c r="BL2" t="s">
        <v>1749</v>
      </c>
      <c r="BM2" t="s">
        <v>1750</v>
      </c>
      <c r="BN2" t="s">
        <v>1751</v>
      </c>
      <c r="BO2" t="s">
        <v>1752</v>
      </c>
      <c r="BP2" t="s">
        <v>1753</v>
      </c>
      <c r="BQ2" t="s">
        <v>1754</v>
      </c>
      <c r="BR2" t="s">
        <v>1755</v>
      </c>
      <c r="BS2" t="s">
        <v>1756</v>
      </c>
      <c r="BT2" t="s">
        <v>1757</v>
      </c>
      <c r="BU2" t="s">
        <v>1758</v>
      </c>
      <c r="BV2" t="s">
        <v>1759</v>
      </c>
      <c r="BW2" t="s">
        <v>1760</v>
      </c>
      <c r="BX2" t="s">
        <v>1761</v>
      </c>
      <c r="BY2" t="s">
        <v>1762</v>
      </c>
      <c r="BZ2" t="s">
        <v>1763</v>
      </c>
      <c r="CA2" t="s">
        <v>1764</v>
      </c>
      <c r="CB2" t="s">
        <v>1765</v>
      </c>
      <c r="CC2" t="s">
        <v>1766</v>
      </c>
      <c r="CD2" t="s">
        <v>1767</v>
      </c>
      <c r="CE2" t="s">
        <v>1768</v>
      </c>
      <c r="CF2" t="s">
        <v>1769</v>
      </c>
      <c r="CG2" t="s">
        <v>2125</v>
      </c>
      <c r="CH2" t="s">
        <v>2126</v>
      </c>
      <c r="CI2" t="s">
        <v>2127</v>
      </c>
      <c r="CJ2" t="s">
        <v>2128</v>
      </c>
      <c r="CK2" t="s">
        <v>2130</v>
      </c>
      <c r="CL2" t="s">
        <v>2129</v>
      </c>
    </row>
    <row r="3" spans="1:90">
      <c r="A3">
        <v>128</v>
      </c>
      <c r="B3" t="s">
        <v>1770</v>
      </c>
      <c r="C3">
        <v>443.80252075195301</v>
      </c>
      <c r="D3" t="s">
        <v>1771</v>
      </c>
      <c r="E3">
        <v>1989</v>
      </c>
      <c r="F3" t="s">
        <v>1772</v>
      </c>
      <c r="G3" t="s">
        <v>169</v>
      </c>
      <c r="H3">
        <v>98499</v>
      </c>
      <c r="I3" t="s">
        <v>1773</v>
      </c>
      <c r="K3" t="s">
        <v>1774</v>
      </c>
      <c r="L3">
        <v>17</v>
      </c>
      <c r="M3">
        <v>3</v>
      </c>
      <c r="N3">
        <v>0</v>
      </c>
      <c r="O3">
        <v>3</v>
      </c>
      <c r="P3">
        <v>0</v>
      </c>
      <c r="Q3">
        <v>13515</v>
      </c>
      <c r="R3">
        <v>13515</v>
      </c>
      <c r="S3">
        <v>0</v>
      </c>
      <c r="T3">
        <v>0</v>
      </c>
      <c r="U3">
        <v>0</v>
      </c>
      <c r="V3">
        <v>17</v>
      </c>
      <c r="W3">
        <v>0</v>
      </c>
      <c r="X3">
        <v>0</v>
      </c>
      <c r="Y3">
        <v>17</v>
      </c>
      <c r="Z3" t="b">
        <v>0</v>
      </c>
      <c r="AA3" t="b">
        <v>0</v>
      </c>
      <c r="AB3">
        <v>8</v>
      </c>
      <c r="AC3">
        <v>4153.88037109375</v>
      </c>
      <c r="AD3">
        <v>158190.546875</v>
      </c>
      <c r="AE3">
        <v>162344.421875</v>
      </c>
      <c r="AI3">
        <v>553919.1875</v>
      </c>
      <c r="AJ3" t="s">
        <v>270</v>
      </c>
      <c r="AK3">
        <v>0</v>
      </c>
      <c r="AL3">
        <v>4</v>
      </c>
      <c r="AM3">
        <v>0</v>
      </c>
      <c r="AN3">
        <v>58</v>
      </c>
      <c r="AO3">
        <v>0</v>
      </c>
      <c r="AP3">
        <v>35</v>
      </c>
      <c r="AQ3">
        <v>0</v>
      </c>
      <c r="AR3">
        <v>0</v>
      </c>
      <c r="AS3">
        <v>3</v>
      </c>
      <c r="AT3" t="b">
        <v>1</v>
      </c>
      <c r="AU3">
        <v>0</v>
      </c>
      <c r="AV3">
        <v>0</v>
      </c>
      <c r="AW3">
        <v>0</v>
      </c>
      <c r="AX3" t="b">
        <v>0</v>
      </c>
      <c r="AY3" t="b">
        <v>0</v>
      </c>
      <c r="AZ3" t="b">
        <v>0</v>
      </c>
      <c r="BA3" t="b">
        <v>0</v>
      </c>
      <c r="BB3" t="s">
        <v>270</v>
      </c>
      <c r="BC3" t="s">
        <v>270</v>
      </c>
      <c r="BD3" t="s">
        <v>273</v>
      </c>
      <c r="BE3" t="s">
        <v>1775</v>
      </c>
      <c r="BF3" t="s">
        <v>1776</v>
      </c>
      <c r="BG3" t="s">
        <v>1777</v>
      </c>
      <c r="BH3" t="s">
        <v>1778</v>
      </c>
      <c r="BI3" t="s">
        <v>1779</v>
      </c>
      <c r="BJ3" t="b">
        <v>0</v>
      </c>
      <c r="BK3" t="b">
        <v>1</v>
      </c>
      <c r="BL3" t="b">
        <v>0</v>
      </c>
      <c r="BM3" t="b">
        <v>0</v>
      </c>
      <c r="BN3" t="b">
        <v>0</v>
      </c>
      <c r="BO3" t="b">
        <v>0</v>
      </c>
      <c r="BP3">
        <v>1</v>
      </c>
      <c r="BQ3">
        <v>18</v>
      </c>
      <c r="BR3">
        <v>0</v>
      </c>
      <c r="BS3">
        <v>0</v>
      </c>
      <c r="BT3" t="b">
        <v>1</v>
      </c>
      <c r="BU3">
        <v>0</v>
      </c>
      <c r="BV3">
        <v>32</v>
      </c>
      <c r="BW3">
        <v>10228</v>
      </c>
      <c r="BX3">
        <v>0</v>
      </c>
      <c r="BY3" t="s">
        <v>270</v>
      </c>
      <c r="BZ3" t="s">
        <v>270</v>
      </c>
      <c r="CA3" t="s">
        <v>273</v>
      </c>
      <c r="CB3" t="s">
        <v>273</v>
      </c>
      <c r="CC3" t="s">
        <v>1780</v>
      </c>
      <c r="CD3" t="s">
        <v>1781</v>
      </c>
      <c r="CE3" t="s">
        <v>1782</v>
      </c>
      <c r="CF3" t="s">
        <v>1783</v>
      </c>
      <c r="CG3">
        <f>IF(AND($B3="1-3 stories",$BF3="electric"),$C3,"")</f>
        <v>443.80252075195301</v>
      </c>
      <c r="CH3">
        <f>IF(CG3="","",$Q3)</f>
        <v>13515</v>
      </c>
      <c r="CI3">
        <f>IF($CG3="","",$M3)</f>
        <v>3</v>
      </c>
      <c r="CJ3">
        <f>IFERROR($CG3*CH3,"")</f>
        <v>5997991.0679626446</v>
      </c>
      <c r="CK3">
        <f>IFERROR($CG3*CI3,"")</f>
        <v>1331.4075622558589</v>
      </c>
      <c r="CL3" s="31">
        <f>SUM(CJ3:CJ232)/SUM(CG3:CG232)</f>
        <v>10292.924453971691</v>
      </c>
    </row>
    <row r="4" spans="1:90">
      <c r="A4">
        <v>10137</v>
      </c>
      <c r="B4" t="s">
        <v>1770</v>
      </c>
      <c r="C4">
        <v>300.26898193359398</v>
      </c>
      <c r="D4" t="s">
        <v>1771</v>
      </c>
      <c r="E4">
        <v>1984</v>
      </c>
      <c r="F4" t="s">
        <v>1784</v>
      </c>
      <c r="G4" t="s">
        <v>169</v>
      </c>
      <c r="H4">
        <v>98034</v>
      </c>
      <c r="I4" t="s">
        <v>1785</v>
      </c>
      <c r="K4" t="s">
        <v>1774</v>
      </c>
      <c r="L4">
        <v>16</v>
      </c>
      <c r="M4">
        <v>2</v>
      </c>
      <c r="N4">
        <v>0</v>
      </c>
      <c r="O4">
        <v>2</v>
      </c>
      <c r="P4">
        <v>0</v>
      </c>
      <c r="Q4">
        <v>12920</v>
      </c>
      <c r="R4">
        <v>12920</v>
      </c>
      <c r="S4">
        <v>0</v>
      </c>
      <c r="T4">
        <v>0</v>
      </c>
      <c r="U4">
        <v>0</v>
      </c>
      <c r="V4">
        <v>16</v>
      </c>
      <c r="W4">
        <v>0</v>
      </c>
      <c r="X4">
        <v>0</v>
      </c>
      <c r="Y4">
        <v>0</v>
      </c>
      <c r="Z4" t="b">
        <v>0</v>
      </c>
      <c r="AA4" t="b">
        <v>0</v>
      </c>
      <c r="AB4">
        <v>8</v>
      </c>
      <c r="AD4">
        <v>140968.328125</v>
      </c>
      <c r="AE4">
        <v>140968.328125</v>
      </c>
      <c r="AI4">
        <v>480983.9375</v>
      </c>
      <c r="AJ4" t="s">
        <v>270</v>
      </c>
      <c r="AK4">
        <v>0</v>
      </c>
      <c r="AL4">
        <v>0</v>
      </c>
      <c r="AM4">
        <v>46</v>
      </c>
      <c r="AN4">
        <v>4</v>
      </c>
      <c r="AO4">
        <v>0</v>
      </c>
      <c r="AP4">
        <v>0</v>
      </c>
      <c r="AQ4">
        <v>40</v>
      </c>
      <c r="AR4">
        <v>0</v>
      </c>
      <c r="AS4">
        <v>10</v>
      </c>
      <c r="AT4" t="b">
        <v>1</v>
      </c>
      <c r="AU4">
        <v>0</v>
      </c>
      <c r="AV4">
        <v>0</v>
      </c>
      <c r="AW4">
        <v>0</v>
      </c>
      <c r="AX4" t="b">
        <v>0</v>
      </c>
      <c r="AY4" t="b">
        <v>0</v>
      </c>
      <c r="AZ4" t="b">
        <v>0</v>
      </c>
      <c r="BA4" t="b">
        <v>0</v>
      </c>
      <c r="BB4" t="s">
        <v>270</v>
      </c>
      <c r="BC4" t="s">
        <v>270</v>
      </c>
      <c r="BD4" t="s">
        <v>270</v>
      </c>
      <c r="BE4" t="s">
        <v>1775</v>
      </c>
      <c r="BF4" t="s">
        <v>1776</v>
      </c>
      <c r="BG4" t="s">
        <v>1777</v>
      </c>
      <c r="BH4" t="s">
        <v>1778</v>
      </c>
      <c r="BI4" t="s">
        <v>1779</v>
      </c>
      <c r="BJ4" t="b">
        <v>0</v>
      </c>
      <c r="BK4" t="b">
        <v>1</v>
      </c>
      <c r="BL4" t="b">
        <v>0</v>
      </c>
      <c r="BM4" t="b">
        <v>0</v>
      </c>
      <c r="BN4" t="b">
        <v>0</v>
      </c>
      <c r="BO4" t="b">
        <v>0</v>
      </c>
      <c r="BP4">
        <v>4</v>
      </c>
      <c r="BQ4">
        <v>297</v>
      </c>
      <c r="BR4">
        <v>0</v>
      </c>
      <c r="BS4">
        <v>0</v>
      </c>
      <c r="BT4" t="b">
        <v>1</v>
      </c>
      <c r="BU4">
        <v>0</v>
      </c>
      <c r="BV4">
        <v>30</v>
      </c>
      <c r="BW4">
        <v>10459</v>
      </c>
      <c r="BX4">
        <v>0</v>
      </c>
      <c r="BY4" t="s">
        <v>270</v>
      </c>
      <c r="BZ4" t="s">
        <v>270</v>
      </c>
      <c r="CA4" t="s">
        <v>273</v>
      </c>
      <c r="CB4" t="s">
        <v>273</v>
      </c>
      <c r="CC4" t="s">
        <v>1780</v>
      </c>
      <c r="CD4" t="s">
        <v>1781</v>
      </c>
      <c r="CE4" t="s">
        <v>1782</v>
      </c>
      <c r="CF4" t="s">
        <v>1783</v>
      </c>
      <c r="CG4">
        <f t="shared" ref="CG4:CG67" si="0">IF(AND($B4="1-3 stories",$BF4="electric"),$C4,"")</f>
        <v>300.26898193359398</v>
      </c>
      <c r="CH4">
        <f t="shared" ref="CH4:CH67" si="1">IF(CG4="","",$Q4)</f>
        <v>12920</v>
      </c>
      <c r="CI4">
        <f t="shared" ref="CI4:CI67" si="2">IF($CG4="","",$M4)</f>
        <v>2</v>
      </c>
      <c r="CJ4">
        <f t="shared" ref="CJ4:CJ67" si="3">IFERROR($CG4*CH4,"")</f>
        <v>3879475.246582034</v>
      </c>
      <c r="CK4">
        <f t="shared" ref="CK4:CK67" si="4">IFERROR($CG4*CI4,"")</f>
        <v>600.53796386718795</v>
      </c>
    </row>
    <row r="5" spans="1:90">
      <c r="A5">
        <v>10238</v>
      </c>
      <c r="B5" t="s">
        <v>1770</v>
      </c>
      <c r="C5">
        <v>160.14344787597699</v>
      </c>
      <c r="D5" t="s">
        <v>1771</v>
      </c>
      <c r="E5">
        <v>1989</v>
      </c>
      <c r="F5" t="s">
        <v>1786</v>
      </c>
      <c r="G5" t="s">
        <v>169</v>
      </c>
      <c r="H5">
        <v>98383</v>
      </c>
      <c r="I5" t="s">
        <v>1785</v>
      </c>
      <c r="K5" t="s">
        <v>1774</v>
      </c>
      <c r="L5">
        <v>30</v>
      </c>
      <c r="M5">
        <v>3</v>
      </c>
      <c r="N5">
        <v>0</v>
      </c>
      <c r="O5">
        <v>3</v>
      </c>
      <c r="P5">
        <v>0</v>
      </c>
      <c r="Q5">
        <v>25924</v>
      </c>
      <c r="R5">
        <v>25924</v>
      </c>
      <c r="S5">
        <v>1583</v>
      </c>
      <c r="T5">
        <v>0</v>
      </c>
      <c r="U5">
        <v>3</v>
      </c>
      <c r="V5">
        <v>24</v>
      </c>
      <c r="W5">
        <v>3</v>
      </c>
      <c r="X5">
        <v>0</v>
      </c>
      <c r="Y5">
        <v>0</v>
      </c>
      <c r="Z5" t="b">
        <v>0</v>
      </c>
      <c r="AA5" t="b">
        <v>1</v>
      </c>
      <c r="AB5">
        <v>8</v>
      </c>
      <c r="AC5">
        <v>10292.6591796875</v>
      </c>
      <c r="AD5">
        <v>376892.5625</v>
      </c>
      <c r="AE5">
        <v>387185.21875</v>
      </c>
      <c r="AI5">
        <v>1321076</v>
      </c>
      <c r="AJ5" t="s">
        <v>270</v>
      </c>
      <c r="AK5">
        <v>0</v>
      </c>
      <c r="AL5">
        <v>17</v>
      </c>
      <c r="AM5">
        <v>0</v>
      </c>
      <c r="AN5">
        <v>22</v>
      </c>
      <c r="AO5">
        <v>0</v>
      </c>
      <c r="AP5">
        <v>20</v>
      </c>
      <c r="AQ5">
        <v>0</v>
      </c>
      <c r="AR5">
        <v>0</v>
      </c>
      <c r="AS5">
        <v>41</v>
      </c>
      <c r="AT5" t="b">
        <v>1</v>
      </c>
      <c r="AU5">
        <v>0</v>
      </c>
      <c r="AV5">
        <v>0</v>
      </c>
      <c r="AW5">
        <v>0</v>
      </c>
      <c r="AX5" t="b">
        <v>0</v>
      </c>
      <c r="AY5" t="b">
        <v>0</v>
      </c>
      <c r="AZ5" t="b">
        <v>0</v>
      </c>
      <c r="BA5" t="b">
        <v>0</v>
      </c>
      <c r="BB5" t="s">
        <v>270</v>
      </c>
      <c r="BC5" t="s">
        <v>270</v>
      </c>
      <c r="BD5" t="s">
        <v>270</v>
      </c>
      <c r="BE5" t="s">
        <v>1775</v>
      </c>
      <c r="BF5" t="s">
        <v>1776</v>
      </c>
      <c r="BG5" t="s">
        <v>1777</v>
      </c>
      <c r="BH5" t="s">
        <v>1778</v>
      </c>
      <c r="BI5" t="s">
        <v>1779</v>
      </c>
      <c r="BJ5" t="b">
        <v>0</v>
      </c>
      <c r="BK5" t="b">
        <v>1</v>
      </c>
      <c r="BL5" t="b">
        <v>0</v>
      </c>
      <c r="BM5" t="b">
        <v>0</v>
      </c>
      <c r="BN5" t="b">
        <v>0</v>
      </c>
      <c r="BO5" t="b">
        <v>0</v>
      </c>
      <c r="BP5">
        <v>6</v>
      </c>
      <c r="BQ5">
        <v>31</v>
      </c>
      <c r="BR5">
        <v>0</v>
      </c>
      <c r="BS5">
        <v>0</v>
      </c>
      <c r="BT5" t="b">
        <v>1</v>
      </c>
      <c r="BU5">
        <v>0</v>
      </c>
      <c r="BV5">
        <v>30</v>
      </c>
      <c r="BW5">
        <v>7500</v>
      </c>
      <c r="BX5">
        <v>0</v>
      </c>
      <c r="BY5" t="s">
        <v>270</v>
      </c>
      <c r="BZ5" t="s">
        <v>270</v>
      </c>
      <c r="CA5" t="s">
        <v>270</v>
      </c>
      <c r="CB5" t="s">
        <v>270</v>
      </c>
      <c r="CC5" t="s">
        <v>1787</v>
      </c>
      <c r="CD5" t="s">
        <v>1781</v>
      </c>
      <c r="CE5" t="s">
        <v>1782</v>
      </c>
      <c r="CF5" t="s">
        <v>1783</v>
      </c>
      <c r="CG5">
        <f t="shared" si="0"/>
        <v>160.14344787597699</v>
      </c>
      <c r="CH5">
        <f t="shared" si="1"/>
        <v>25924</v>
      </c>
      <c r="CI5">
        <f t="shared" si="2"/>
        <v>3</v>
      </c>
      <c r="CJ5">
        <f t="shared" si="3"/>
        <v>4151558.7427368276</v>
      </c>
      <c r="CK5">
        <f t="shared" si="4"/>
        <v>480.43034362793094</v>
      </c>
      <c r="CL5" t="s">
        <v>2131</v>
      </c>
    </row>
    <row r="6" spans="1:90">
      <c r="A6">
        <v>10260</v>
      </c>
      <c r="B6" t="s">
        <v>1770</v>
      </c>
      <c r="C6">
        <v>480.43035888671898</v>
      </c>
      <c r="D6" t="s">
        <v>1771</v>
      </c>
      <c r="E6">
        <v>1981</v>
      </c>
      <c r="F6" t="s">
        <v>1788</v>
      </c>
      <c r="G6" t="s">
        <v>169</v>
      </c>
      <c r="H6">
        <v>98105</v>
      </c>
      <c r="I6" t="s">
        <v>1789</v>
      </c>
      <c r="K6" t="s">
        <v>1774</v>
      </c>
      <c r="L6">
        <v>10</v>
      </c>
      <c r="M6">
        <v>3</v>
      </c>
      <c r="N6">
        <v>0</v>
      </c>
      <c r="O6">
        <v>3</v>
      </c>
      <c r="P6">
        <v>0</v>
      </c>
      <c r="Q6">
        <v>6800</v>
      </c>
      <c r="R6">
        <v>6800</v>
      </c>
      <c r="S6">
        <v>30</v>
      </c>
      <c r="T6">
        <v>0</v>
      </c>
      <c r="U6">
        <v>0</v>
      </c>
      <c r="V6">
        <v>7</v>
      </c>
      <c r="W6">
        <v>3</v>
      </c>
      <c r="X6">
        <v>0</v>
      </c>
      <c r="Y6">
        <v>0</v>
      </c>
      <c r="Z6" t="b">
        <v>0</v>
      </c>
      <c r="AA6" t="b">
        <v>1</v>
      </c>
      <c r="AB6">
        <v>8</v>
      </c>
      <c r="AC6">
        <v>8326.4853515625</v>
      </c>
      <c r="AD6">
        <v>62302.07421875</v>
      </c>
      <c r="AE6">
        <v>70628.5625</v>
      </c>
      <c r="AI6">
        <v>240984.65625</v>
      </c>
      <c r="AJ6" t="s">
        <v>270</v>
      </c>
      <c r="AK6">
        <v>0</v>
      </c>
      <c r="AL6">
        <v>12</v>
      </c>
      <c r="AM6">
        <v>0</v>
      </c>
      <c r="AN6">
        <v>23</v>
      </c>
      <c r="AO6">
        <v>0</v>
      </c>
      <c r="AP6">
        <v>53</v>
      </c>
      <c r="AQ6">
        <v>0</v>
      </c>
      <c r="AR6">
        <v>0</v>
      </c>
      <c r="AS6">
        <v>12</v>
      </c>
      <c r="AT6" t="b">
        <v>0</v>
      </c>
      <c r="AU6">
        <v>2</v>
      </c>
      <c r="AV6">
        <v>2</v>
      </c>
      <c r="AW6">
        <v>0</v>
      </c>
      <c r="AX6" t="b">
        <v>0</v>
      </c>
      <c r="AY6" t="b">
        <v>0</v>
      </c>
      <c r="AZ6" t="b">
        <v>0</v>
      </c>
      <c r="BA6" t="b">
        <v>0</v>
      </c>
      <c r="BB6" t="s">
        <v>270</v>
      </c>
      <c r="BC6" t="s">
        <v>270</v>
      </c>
      <c r="BD6" t="s">
        <v>270</v>
      </c>
      <c r="BE6" t="s">
        <v>1775</v>
      </c>
      <c r="BF6" t="s">
        <v>1776</v>
      </c>
      <c r="BG6" t="s">
        <v>1777</v>
      </c>
      <c r="BH6" t="s">
        <v>1778</v>
      </c>
      <c r="BI6" t="s">
        <v>1790</v>
      </c>
      <c r="BJ6" t="b">
        <v>0</v>
      </c>
      <c r="BK6" t="b">
        <v>1</v>
      </c>
      <c r="BL6" t="b">
        <v>0</v>
      </c>
      <c r="BM6" t="b">
        <v>0</v>
      </c>
      <c r="BN6" t="b">
        <v>0</v>
      </c>
      <c r="BO6" t="b">
        <v>0</v>
      </c>
      <c r="BP6">
        <v>1</v>
      </c>
      <c r="BQ6">
        <v>12</v>
      </c>
      <c r="BR6">
        <v>0</v>
      </c>
      <c r="BS6">
        <v>0</v>
      </c>
      <c r="BT6" t="b">
        <v>1</v>
      </c>
      <c r="BU6">
        <v>0</v>
      </c>
      <c r="BV6">
        <v>10</v>
      </c>
      <c r="BW6">
        <v>2000</v>
      </c>
      <c r="BX6">
        <v>1</v>
      </c>
      <c r="BY6" t="s">
        <v>270</v>
      </c>
      <c r="BZ6" t="s">
        <v>273</v>
      </c>
      <c r="CA6" t="s">
        <v>270</v>
      </c>
      <c r="CB6" t="s">
        <v>270</v>
      </c>
      <c r="CC6" t="s">
        <v>1787</v>
      </c>
      <c r="CD6" t="s">
        <v>1781</v>
      </c>
      <c r="CE6" t="s">
        <v>1791</v>
      </c>
      <c r="CF6" t="s">
        <v>1783</v>
      </c>
      <c r="CG6">
        <f t="shared" si="0"/>
        <v>480.43035888671898</v>
      </c>
      <c r="CH6">
        <f t="shared" si="1"/>
        <v>6800</v>
      </c>
      <c r="CI6">
        <f t="shared" si="2"/>
        <v>3</v>
      </c>
      <c r="CJ6">
        <f t="shared" si="3"/>
        <v>3266926.4404296889</v>
      </c>
      <c r="CK6">
        <f t="shared" si="4"/>
        <v>1441.2910766601569</v>
      </c>
      <c r="CL6" s="72">
        <f>SUM(CK3:CK232)/SUM(CG3:CG232)</f>
        <v>2.2343753700876618</v>
      </c>
    </row>
    <row r="7" spans="1:90">
      <c r="A7">
        <v>10323</v>
      </c>
      <c r="B7" t="s">
        <v>1770</v>
      </c>
      <c r="C7">
        <v>256.24374389648398</v>
      </c>
      <c r="D7" t="s">
        <v>1792</v>
      </c>
      <c r="E7">
        <v>1965</v>
      </c>
      <c r="F7" t="s">
        <v>1793</v>
      </c>
      <c r="G7" t="s">
        <v>170</v>
      </c>
      <c r="H7">
        <v>97401</v>
      </c>
      <c r="I7" t="s">
        <v>1794</v>
      </c>
      <c r="K7" t="s">
        <v>1774</v>
      </c>
      <c r="L7">
        <v>7</v>
      </c>
      <c r="M7">
        <v>2</v>
      </c>
      <c r="N7">
        <v>0</v>
      </c>
      <c r="O7">
        <v>2</v>
      </c>
      <c r="P7">
        <v>0</v>
      </c>
      <c r="Q7">
        <v>6229</v>
      </c>
      <c r="R7">
        <v>6229</v>
      </c>
      <c r="S7">
        <v>153</v>
      </c>
      <c r="T7">
        <v>0</v>
      </c>
      <c r="U7">
        <v>0</v>
      </c>
      <c r="V7">
        <v>5</v>
      </c>
      <c r="W7">
        <v>2</v>
      </c>
      <c r="X7">
        <v>0</v>
      </c>
      <c r="Y7">
        <v>0</v>
      </c>
      <c r="Z7" t="b">
        <v>0</v>
      </c>
      <c r="AA7" t="b">
        <v>1</v>
      </c>
      <c r="AB7">
        <v>7.5</v>
      </c>
      <c r="AC7">
        <v>4039.81030273438</v>
      </c>
      <c r="AD7">
        <v>42693.82421875</v>
      </c>
      <c r="AE7">
        <v>46733.6328125</v>
      </c>
      <c r="AI7">
        <v>159455.15625</v>
      </c>
      <c r="AJ7" t="s">
        <v>270</v>
      </c>
      <c r="AK7">
        <v>0</v>
      </c>
      <c r="AL7">
        <v>6</v>
      </c>
      <c r="AM7">
        <v>0</v>
      </c>
      <c r="AN7">
        <v>34</v>
      </c>
      <c r="AO7">
        <v>0</v>
      </c>
      <c r="AP7">
        <v>54</v>
      </c>
      <c r="AQ7">
        <v>0</v>
      </c>
      <c r="AR7">
        <v>0</v>
      </c>
      <c r="AS7">
        <v>6</v>
      </c>
      <c r="AT7" t="b">
        <v>0</v>
      </c>
      <c r="AU7">
        <v>1</v>
      </c>
      <c r="AV7">
        <v>1</v>
      </c>
      <c r="AW7">
        <v>0</v>
      </c>
      <c r="AX7" t="b">
        <v>0</v>
      </c>
      <c r="AY7" t="b">
        <v>0</v>
      </c>
      <c r="AZ7" t="b">
        <v>0</v>
      </c>
      <c r="BA7" t="b">
        <v>0</v>
      </c>
      <c r="BB7" t="s">
        <v>270</v>
      </c>
      <c r="BC7" t="s">
        <v>270</v>
      </c>
      <c r="BD7" t="s">
        <v>270</v>
      </c>
      <c r="BE7" t="s">
        <v>1775</v>
      </c>
      <c r="BF7" t="s">
        <v>1776</v>
      </c>
      <c r="BG7" t="s">
        <v>1777</v>
      </c>
      <c r="BH7" t="s">
        <v>1778</v>
      </c>
      <c r="BI7" t="s">
        <v>1779</v>
      </c>
      <c r="BJ7" t="b">
        <v>0</v>
      </c>
      <c r="BK7" t="b">
        <v>1</v>
      </c>
      <c r="BL7" t="b">
        <v>0</v>
      </c>
      <c r="BM7" t="b">
        <v>0</v>
      </c>
      <c r="BN7" t="b">
        <v>0</v>
      </c>
      <c r="BO7" t="b">
        <v>0</v>
      </c>
      <c r="BP7">
        <v>1</v>
      </c>
      <c r="BQ7">
        <v>8</v>
      </c>
      <c r="BR7">
        <v>0</v>
      </c>
      <c r="BS7">
        <v>0</v>
      </c>
      <c r="BT7" t="b">
        <v>1</v>
      </c>
      <c r="BV7">
        <v>7</v>
      </c>
      <c r="BW7">
        <v>2975</v>
      </c>
      <c r="BX7">
        <v>0</v>
      </c>
      <c r="BY7" t="s">
        <v>270</v>
      </c>
      <c r="BZ7" t="s">
        <v>270</v>
      </c>
      <c r="CA7" t="s">
        <v>270</v>
      </c>
      <c r="CB7" t="s">
        <v>273</v>
      </c>
      <c r="CC7" t="s">
        <v>1787</v>
      </c>
      <c r="CD7" t="s">
        <v>1781</v>
      </c>
      <c r="CE7" t="s">
        <v>1795</v>
      </c>
      <c r="CF7" t="s">
        <v>1783</v>
      </c>
      <c r="CG7">
        <f t="shared" si="0"/>
        <v>256.24374389648398</v>
      </c>
      <c r="CH7">
        <f t="shared" si="1"/>
        <v>6229</v>
      </c>
      <c r="CI7">
        <f t="shared" si="2"/>
        <v>2</v>
      </c>
      <c r="CJ7">
        <f t="shared" si="3"/>
        <v>1596142.2807311986</v>
      </c>
      <c r="CK7">
        <f t="shared" si="4"/>
        <v>512.48748779296795</v>
      </c>
    </row>
    <row r="8" spans="1:90">
      <c r="A8">
        <v>10400</v>
      </c>
      <c r="B8" t="s">
        <v>1770</v>
      </c>
      <c r="C8">
        <v>34.345653533935497</v>
      </c>
      <c r="D8" t="s">
        <v>1792</v>
      </c>
      <c r="E8">
        <v>1968</v>
      </c>
      <c r="F8" t="s">
        <v>1796</v>
      </c>
      <c r="G8" t="s">
        <v>169</v>
      </c>
      <c r="H8">
        <v>98036</v>
      </c>
      <c r="I8" t="s">
        <v>1797</v>
      </c>
      <c r="K8" t="s">
        <v>1774</v>
      </c>
      <c r="L8">
        <v>60</v>
      </c>
      <c r="M8">
        <v>3</v>
      </c>
      <c r="N8">
        <v>0</v>
      </c>
      <c r="O8">
        <v>3</v>
      </c>
      <c r="P8">
        <v>0</v>
      </c>
      <c r="Q8">
        <v>51192</v>
      </c>
      <c r="R8">
        <v>51192</v>
      </c>
      <c r="S8">
        <v>9050</v>
      </c>
      <c r="T8">
        <v>0</v>
      </c>
      <c r="U8">
        <v>0</v>
      </c>
      <c r="V8">
        <v>30</v>
      </c>
      <c r="W8">
        <v>30</v>
      </c>
      <c r="X8">
        <v>0</v>
      </c>
      <c r="Y8">
        <v>5</v>
      </c>
      <c r="Z8" t="b">
        <v>0</v>
      </c>
      <c r="AA8" t="b">
        <v>1</v>
      </c>
      <c r="AB8">
        <v>8</v>
      </c>
      <c r="AC8">
        <v>106214.265625</v>
      </c>
      <c r="AD8">
        <v>317451.53125</v>
      </c>
      <c r="AE8">
        <v>423665.8125</v>
      </c>
      <c r="AI8">
        <v>1445547.75</v>
      </c>
      <c r="AJ8" t="s">
        <v>273</v>
      </c>
      <c r="AK8">
        <v>0</v>
      </c>
      <c r="AL8">
        <v>30</v>
      </c>
      <c r="AM8">
        <v>0</v>
      </c>
      <c r="AN8">
        <v>16</v>
      </c>
      <c r="AO8">
        <v>0</v>
      </c>
      <c r="AP8">
        <v>17</v>
      </c>
      <c r="AQ8">
        <v>0</v>
      </c>
      <c r="AR8">
        <v>0</v>
      </c>
      <c r="AS8">
        <v>37</v>
      </c>
      <c r="AT8" t="b">
        <v>1</v>
      </c>
      <c r="AU8">
        <v>6</v>
      </c>
      <c r="AV8">
        <v>6</v>
      </c>
      <c r="AW8">
        <v>1</v>
      </c>
      <c r="AX8" t="b">
        <v>0</v>
      </c>
      <c r="AY8" t="b">
        <v>0</v>
      </c>
      <c r="AZ8" t="b">
        <v>1</v>
      </c>
      <c r="BA8" t="b">
        <v>1</v>
      </c>
      <c r="BB8" t="s">
        <v>270</v>
      </c>
      <c r="BC8" t="s">
        <v>270</v>
      </c>
      <c r="BD8" t="s">
        <v>270</v>
      </c>
      <c r="BE8" t="s">
        <v>1775</v>
      </c>
      <c r="BF8" t="s">
        <v>1776</v>
      </c>
      <c r="BG8" t="s">
        <v>1777</v>
      </c>
      <c r="BH8" t="s">
        <v>1778</v>
      </c>
      <c r="BI8" t="s">
        <v>1790</v>
      </c>
      <c r="BJ8" t="b">
        <v>0</v>
      </c>
      <c r="BK8" t="b">
        <v>1</v>
      </c>
      <c r="BL8" t="b">
        <v>0</v>
      </c>
      <c r="BM8" t="b">
        <v>0</v>
      </c>
      <c r="BN8" t="b">
        <v>0</v>
      </c>
      <c r="BO8" t="b">
        <v>0</v>
      </c>
      <c r="BP8">
        <v>1</v>
      </c>
      <c r="BQ8">
        <v>62</v>
      </c>
      <c r="BR8">
        <v>0</v>
      </c>
      <c r="BS8">
        <v>0</v>
      </c>
      <c r="BT8" t="b">
        <v>1</v>
      </c>
      <c r="BU8">
        <v>0</v>
      </c>
      <c r="BV8">
        <v>95</v>
      </c>
      <c r="BW8">
        <v>37808</v>
      </c>
      <c r="BX8">
        <v>1</v>
      </c>
      <c r="BY8" t="s">
        <v>270</v>
      </c>
      <c r="BZ8" t="s">
        <v>273</v>
      </c>
      <c r="CA8" t="s">
        <v>270</v>
      </c>
      <c r="CB8" t="s">
        <v>273</v>
      </c>
      <c r="CC8" t="s">
        <v>1787</v>
      </c>
      <c r="CD8" t="s">
        <v>1781</v>
      </c>
      <c r="CE8" t="s">
        <v>1798</v>
      </c>
      <c r="CF8" t="s">
        <v>1783</v>
      </c>
      <c r="CG8">
        <f t="shared" si="0"/>
        <v>34.345653533935497</v>
      </c>
      <c r="CH8">
        <f t="shared" si="1"/>
        <v>51192</v>
      </c>
      <c r="CI8">
        <f t="shared" si="2"/>
        <v>3</v>
      </c>
      <c r="CJ8">
        <f t="shared" si="3"/>
        <v>1758222.695709226</v>
      </c>
      <c r="CK8">
        <f t="shared" si="4"/>
        <v>103.0369606018065</v>
      </c>
    </row>
    <row r="9" spans="1:90">
      <c r="A9">
        <v>10477</v>
      </c>
      <c r="B9" t="s">
        <v>1799</v>
      </c>
      <c r="C9">
        <v>30.423171997070298</v>
      </c>
      <c r="D9" t="s">
        <v>1771</v>
      </c>
      <c r="E9">
        <v>1987</v>
      </c>
      <c r="F9" t="s">
        <v>1788</v>
      </c>
      <c r="G9" t="s">
        <v>169</v>
      </c>
      <c r="H9">
        <v>98107</v>
      </c>
      <c r="I9" t="s">
        <v>1789</v>
      </c>
      <c r="K9" t="s">
        <v>1774</v>
      </c>
      <c r="L9">
        <v>36</v>
      </c>
      <c r="M9">
        <v>4</v>
      </c>
      <c r="N9">
        <v>0</v>
      </c>
      <c r="O9">
        <v>4</v>
      </c>
      <c r="P9">
        <v>0</v>
      </c>
      <c r="Q9">
        <v>31300</v>
      </c>
      <c r="R9">
        <v>31300</v>
      </c>
      <c r="S9">
        <v>3400</v>
      </c>
      <c r="T9">
        <v>0</v>
      </c>
      <c r="U9">
        <v>0</v>
      </c>
      <c r="V9">
        <v>8</v>
      </c>
      <c r="W9">
        <v>27</v>
      </c>
      <c r="X9">
        <v>1</v>
      </c>
      <c r="Y9">
        <v>0</v>
      </c>
      <c r="Z9" t="b">
        <v>0</v>
      </c>
      <c r="AA9" t="b">
        <v>1</v>
      </c>
      <c r="AB9">
        <v>9</v>
      </c>
      <c r="AC9">
        <v>34169.234375</v>
      </c>
      <c r="AD9">
        <v>219454.75</v>
      </c>
      <c r="AE9">
        <v>253623.984375</v>
      </c>
      <c r="AI9">
        <v>865365.0625</v>
      </c>
      <c r="AJ9" t="s">
        <v>270</v>
      </c>
      <c r="AK9">
        <v>0</v>
      </c>
      <c r="AL9">
        <v>6</v>
      </c>
      <c r="AM9">
        <v>0</v>
      </c>
      <c r="AN9">
        <v>40</v>
      </c>
      <c r="AO9">
        <v>0</v>
      </c>
      <c r="AP9">
        <v>40</v>
      </c>
      <c r="AQ9">
        <v>0</v>
      </c>
      <c r="AR9">
        <v>0</v>
      </c>
      <c r="AS9">
        <v>14</v>
      </c>
      <c r="AT9" t="b">
        <v>1</v>
      </c>
      <c r="AU9">
        <v>0</v>
      </c>
      <c r="AV9">
        <v>0</v>
      </c>
      <c r="AW9">
        <v>1</v>
      </c>
      <c r="AX9" t="b">
        <v>0</v>
      </c>
      <c r="AY9" t="b">
        <v>0</v>
      </c>
      <c r="AZ9" t="b">
        <v>0</v>
      </c>
      <c r="BA9" t="b">
        <v>0</v>
      </c>
      <c r="BB9" t="s">
        <v>270</v>
      </c>
      <c r="BC9" t="s">
        <v>273</v>
      </c>
      <c r="BD9" t="s">
        <v>270</v>
      </c>
      <c r="BE9" t="s">
        <v>1775</v>
      </c>
      <c r="BF9" t="s">
        <v>1776</v>
      </c>
      <c r="BG9" t="s">
        <v>1777</v>
      </c>
      <c r="BH9" t="s">
        <v>1778</v>
      </c>
      <c r="BI9" t="s">
        <v>1779</v>
      </c>
      <c r="BJ9" t="b">
        <v>0</v>
      </c>
      <c r="BK9" t="b">
        <v>1</v>
      </c>
      <c r="BL9" t="b">
        <v>0</v>
      </c>
      <c r="BM9" t="b">
        <v>0</v>
      </c>
      <c r="BN9" t="b">
        <v>0</v>
      </c>
      <c r="BO9" t="b">
        <v>0</v>
      </c>
      <c r="BR9">
        <v>0</v>
      </c>
      <c r="BS9">
        <v>0</v>
      </c>
      <c r="BT9" t="b">
        <v>1</v>
      </c>
      <c r="BU9">
        <v>0</v>
      </c>
      <c r="BV9">
        <v>36</v>
      </c>
      <c r="BW9">
        <v>11100</v>
      </c>
      <c r="BX9">
        <v>1</v>
      </c>
      <c r="BY9" t="s">
        <v>273</v>
      </c>
      <c r="BZ9" t="s">
        <v>270</v>
      </c>
      <c r="CA9" t="s">
        <v>270</v>
      </c>
      <c r="CB9" t="s">
        <v>270</v>
      </c>
      <c r="CC9" t="s">
        <v>1800</v>
      </c>
      <c r="CD9" t="s">
        <v>1781</v>
      </c>
      <c r="CE9" t="s">
        <v>1801</v>
      </c>
      <c r="CF9" t="s">
        <v>1783</v>
      </c>
      <c r="CG9" t="str">
        <f t="shared" si="0"/>
        <v/>
      </c>
      <c r="CH9" t="str">
        <f t="shared" si="1"/>
        <v/>
      </c>
      <c r="CI9" t="str">
        <f t="shared" si="2"/>
        <v/>
      </c>
      <c r="CJ9" t="str">
        <f t="shared" si="3"/>
        <v/>
      </c>
      <c r="CK9" t="str">
        <f t="shared" si="4"/>
        <v/>
      </c>
    </row>
    <row r="10" spans="1:90">
      <c r="A10">
        <v>10480</v>
      </c>
      <c r="B10" t="s">
        <v>1770</v>
      </c>
      <c r="C10">
        <v>400.358642578125</v>
      </c>
      <c r="D10" t="s">
        <v>1802</v>
      </c>
      <c r="E10">
        <v>1972</v>
      </c>
      <c r="F10" t="s">
        <v>1803</v>
      </c>
      <c r="G10" t="s">
        <v>169</v>
      </c>
      <c r="H10">
        <v>98005</v>
      </c>
      <c r="I10" t="s">
        <v>1785</v>
      </c>
      <c r="J10" t="s">
        <v>1785</v>
      </c>
      <c r="K10" t="s">
        <v>1774</v>
      </c>
      <c r="L10">
        <v>12</v>
      </c>
      <c r="M10">
        <v>2</v>
      </c>
      <c r="N10">
        <v>0</v>
      </c>
      <c r="O10">
        <v>2</v>
      </c>
      <c r="P10">
        <v>0</v>
      </c>
      <c r="Q10">
        <v>7300</v>
      </c>
      <c r="R10">
        <v>7300</v>
      </c>
      <c r="S10">
        <v>0</v>
      </c>
      <c r="T10">
        <v>0</v>
      </c>
      <c r="U10">
        <v>0</v>
      </c>
      <c r="V10">
        <v>0</v>
      </c>
      <c r="W10">
        <v>12</v>
      </c>
      <c r="X10">
        <v>0</v>
      </c>
      <c r="Y10">
        <v>0</v>
      </c>
      <c r="Z10" t="b">
        <v>0</v>
      </c>
      <c r="AA10" t="b">
        <v>0</v>
      </c>
      <c r="AB10">
        <v>8</v>
      </c>
      <c r="AC10">
        <v>9600.1513671875</v>
      </c>
      <c r="AD10">
        <v>95084.546875</v>
      </c>
      <c r="AE10">
        <v>104684.6953125</v>
      </c>
      <c r="AI10">
        <v>357184.1875</v>
      </c>
      <c r="AJ10" t="s">
        <v>270</v>
      </c>
      <c r="AK10">
        <v>0</v>
      </c>
      <c r="AL10">
        <v>77</v>
      </c>
      <c r="AM10">
        <v>0</v>
      </c>
      <c r="AN10">
        <v>1</v>
      </c>
      <c r="AO10">
        <v>0</v>
      </c>
      <c r="AP10">
        <v>1</v>
      </c>
      <c r="AQ10">
        <v>0</v>
      </c>
      <c r="AR10">
        <v>0</v>
      </c>
      <c r="AS10">
        <v>21</v>
      </c>
      <c r="AT10" t="b">
        <v>1</v>
      </c>
      <c r="AU10">
        <v>0</v>
      </c>
      <c r="AV10">
        <v>0</v>
      </c>
      <c r="AW10">
        <v>0</v>
      </c>
      <c r="AX10" t="b">
        <v>0</v>
      </c>
      <c r="AY10" t="b">
        <v>0</v>
      </c>
      <c r="AZ10" t="b">
        <v>0</v>
      </c>
      <c r="BA10" t="b">
        <v>0</v>
      </c>
      <c r="BB10" t="s">
        <v>270</v>
      </c>
      <c r="BC10" t="s">
        <v>270</v>
      </c>
      <c r="BD10" t="s">
        <v>270</v>
      </c>
      <c r="BE10" t="s">
        <v>1775</v>
      </c>
      <c r="BF10" t="s">
        <v>1776</v>
      </c>
      <c r="BG10" t="s">
        <v>1777</v>
      </c>
      <c r="BH10" t="s">
        <v>1804</v>
      </c>
      <c r="BI10" t="s">
        <v>1779</v>
      </c>
      <c r="BJ10" t="b">
        <v>0</v>
      </c>
      <c r="BK10" t="b">
        <v>1</v>
      </c>
      <c r="BL10" t="b">
        <v>0</v>
      </c>
      <c r="BM10" t="b">
        <v>0</v>
      </c>
      <c r="BN10" t="b">
        <v>0</v>
      </c>
      <c r="BO10" t="b">
        <v>0</v>
      </c>
      <c r="BP10">
        <v>3</v>
      </c>
      <c r="BQ10">
        <v>13</v>
      </c>
      <c r="BR10">
        <v>0</v>
      </c>
      <c r="BS10">
        <v>0</v>
      </c>
      <c r="BT10" t="b">
        <v>1</v>
      </c>
      <c r="BU10">
        <v>0</v>
      </c>
      <c r="BV10">
        <v>18</v>
      </c>
      <c r="BW10">
        <v>5075</v>
      </c>
      <c r="BX10">
        <v>0</v>
      </c>
      <c r="BY10" t="s">
        <v>270</v>
      </c>
      <c r="BZ10" t="s">
        <v>270</v>
      </c>
      <c r="CA10" t="s">
        <v>273</v>
      </c>
      <c r="CB10" t="s">
        <v>273</v>
      </c>
      <c r="CC10" t="s">
        <v>1780</v>
      </c>
      <c r="CD10" t="s">
        <v>1781</v>
      </c>
      <c r="CE10" t="s">
        <v>1782</v>
      </c>
      <c r="CF10" t="s">
        <v>1783</v>
      </c>
      <c r="CG10">
        <f t="shared" si="0"/>
        <v>400.358642578125</v>
      </c>
      <c r="CH10">
        <f t="shared" si="1"/>
        <v>7300</v>
      </c>
      <c r="CI10">
        <f t="shared" si="2"/>
        <v>2</v>
      </c>
      <c r="CJ10">
        <f t="shared" si="3"/>
        <v>2922618.0908203125</v>
      </c>
      <c r="CK10">
        <f t="shared" si="4"/>
        <v>800.71728515625</v>
      </c>
    </row>
    <row r="11" spans="1:90">
      <c r="A11">
        <v>10495</v>
      </c>
      <c r="B11" t="s">
        <v>1770</v>
      </c>
      <c r="C11">
        <v>206.07391357421901</v>
      </c>
      <c r="D11" t="s">
        <v>1802</v>
      </c>
      <c r="E11">
        <v>1980</v>
      </c>
      <c r="F11" t="s">
        <v>1805</v>
      </c>
      <c r="G11" t="s">
        <v>169</v>
      </c>
      <c r="H11">
        <v>98275</v>
      </c>
      <c r="I11" t="s">
        <v>1797</v>
      </c>
      <c r="K11" t="s">
        <v>1774</v>
      </c>
      <c r="L11">
        <v>10</v>
      </c>
      <c r="M11">
        <v>2</v>
      </c>
      <c r="N11">
        <v>0</v>
      </c>
      <c r="O11">
        <v>2</v>
      </c>
      <c r="P11">
        <v>0</v>
      </c>
      <c r="Q11">
        <v>9698</v>
      </c>
      <c r="R11">
        <v>9698</v>
      </c>
      <c r="S11">
        <v>0</v>
      </c>
      <c r="T11">
        <v>0</v>
      </c>
      <c r="U11">
        <v>0</v>
      </c>
      <c r="V11">
        <v>10</v>
      </c>
      <c r="W11">
        <v>0</v>
      </c>
      <c r="X11">
        <v>0</v>
      </c>
      <c r="Y11">
        <v>0</v>
      </c>
      <c r="Z11" t="b">
        <v>0</v>
      </c>
      <c r="AA11" t="b">
        <v>0</v>
      </c>
      <c r="AB11">
        <v>8</v>
      </c>
      <c r="AD11">
        <v>99157.203125</v>
      </c>
      <c r="AE11">
        <v>99157.203125</v>
      </c>
      <c r="AI11">
        <v>338324.375</v>
      </c>
      <c r="AJ11" t="s">
        <v>270</v>
      </c>
      <c r="AK11">
        <v>0</v>
      </c>
      <c r="AL11">
        <v>0</v>
      </c>
      <c r="AM11">
        <v>62</v>
      </c>
      <c r="AN11">
        <v>0</v>
      </c>
      <c r="AO11">
        <v>0</v>
      </c>
      <c r="AP11">
        <v>0</v>
      </c>
      <c r="AQ11">
        <v>0</v>
      </c>
      <c r="AR11">
        <v>38</v>
      </c>
      <c r="AS11">
        <v>0</v>
      </c>
      <c r="AT11" t="b">
        <v>1</v>
      </c>
      <c r="AU11">
        <v>0</v>
      </c>
      <c r="AV11">
        <v>0</v>
      </c>
      <c r="AW11">
        <v>0</v>
      </c>
      <c r="AX11" t="b">
        <v>0</v>
      </c>
      <c r="AY11" t="b">
        <v>0</v>
      </c>
      <c r="AZ11" t="b">
        <v>0</v>
      </c>
      <c r="BA11" t="b">
        <v>0</v>
      </c>
      <c r="BB11" t="s">
        <v>270</v>
      </c>
      <c r="BC11" t="s">
        <v>270</v>
      </c>
      <c r="BD11" t="s">
        <v>270</v>
      </c>
      <c r="BE11" t="s">
        <v>1775</v>
      </c>
      <c r="BF11" t="s">
        <v>1776</v>
      </c>
      <c r="BG11" t="s">
        <v>1777</v>
      </c>
      <c r="BH11" t="s">
        <v>1778</v>
      </c>
      <c r="BI11" t="s">
        <v>1779</v>
      </c>
      <c r="BJ11" t="b">
        <v>0</v>
      </c>
      <c r="BK11" t="b">
        <v>1</v>
      </c>
      <c r="BL11" t="b">
        <v>0</v>
      </c>
      <c r="BM11" t="b">
        <v>0</v>
      </c>
      <c r="BN11" t="b">
        <v>0</v>
      </c>
      <c r="BO11" t="b">
        <v>0</v>
      </c>
      <c r="BP11">
        <v>1</v>
      </c>
      <c r="BQ11">
        <v>12</v>
      </c>
      <c r="BR11">
        <v>0</v>
      </c>
      <c r="BS11">
        <v>0</v>
      </c>
      <c r="BT11" t="b">
        <v>1</v>
      </c>
      <c r="BU11">
        <v>0</v>
      </c>
      <c r="BV11">
        <v>17</v>
      </c>
      <c r="BW11">
        <v>5695</v>
      </c>
      <c r="BX11">
        <v>0</v>
      </c>
      <c r="BY11" t="s">
        <v>270</v>
      </c>
      <c r="BZ11" t="s">
        <v>270</v>
      </c>
      <c r="CA11" t="s">
        <v>273</v>
      </c>
      <c r="CB11" t="s">
        <v>273</v>
      </c>
      <c r="CC11" t="s">
        <v>1780</v>
      </c>
      <c r="CD11" t="s">
        <v>1781</v>
      </c>
      <c r="CE11" t="s">
        <v>1782</v>
      </c>
      <c r="CF11" t="s">
        <v>1783</v>
      </c>
      <c r="CG11">
        <f t="shared" si="0"/>
        <v>206.07391357421901</v>
      </c>
      <c r="CH11">
        <f t="shared" si="1"/>
        <v>9698</v>
      </c>
      <c r="CI11">
        <f t="shared" si="2"/>
        <v>2</v>
      </c>
      <c r="CJ11">
        <f t="shared" si="3"/>
        <v>1998504.813842776</v>
      </c>
      <c r="CK11">
        <f t="shared" si="4"/>
        <v>412.14782714843801</v>
      </c>
    </row>
    <row r="12" spans="1:90">
      <c r="A12">
        <v>10519</v>
      </c>
      <c r="B12" t="s">
        <v>1799</v>
      </c>
      <c r="C12">
        <v>8.55651760101318</v>
      </c>
      <c r="D12" t="s">
        <v>1806</v>
      </c>
      <c r="E12">
        <v>2001</v>
      </c>
      <c r="F12" t="s">
        <v>1788</v>
      </c>
      <c r="G12" t="s">
        <v>169</v>
      </c>
      <c r="H12">
        <v>98121</v>
      </c>
      <c r="I12" t="s">
        <v>1789</v>
      </c>
      <c r="J12" t="s">
        <v>1785</v>
      </c>
      <c r="K12" t="s">
        <v>1774</v>
      </c>
      <c r="L12">
        <v>128</v>
      </c>
      <c r="M12">
        <v>5</v>
      </c>
      <c r="N12">
        <v>1</v>
      </c>
      <c r="O12">
        <v>6</v>
      </c>
      <c r="P12">
        <v>0</v>
      </c>
      <c r="Q12">
        <v>118630</v>
      </c>
      <c r="R12">
        <v>111866</v>
      </c>
      <c r="S12">
        <v>15811</v>
      </c>
      <c r="T12">
        <v>0</v>
      </c>
      <c r="U12">
        <v>0</v>
      </c>
      <c r="V12">
        <v>18</v>
      </c>
      <c r="W12">
        <v>105</v>
      </c>
      <c r="X12">
        <v>5</v>
      </c>
      <c r="Y12">
        <v>6</v>
      </c>
      <c r="Z12" t="b">
        <v>1</v>
      </c>
      <c r="AA12" t="b">
        <v>1</v>
      </c>
      <c r="AB12">
        <v>8.6700000762939506</v>
      </c>
      <c r="AC12">
        <v>399910.53125</v>
      </c>
      <c r="AD12">
        <v>713183.25</v>
      </c>
      <c r="AE12">
        <v>1113093.75</v>
      </c>
      <c r="AH12">
        <v>2234.54516601563</v>
      </c>
      <c r="AI12">
        <v>4021330.5</v>
      </c>
      <c r="AJ12" t="s">
        <v>270</v>
      </c>
      <c r="AK12">
        <v>6764</v>
      </c>
      <c r="AL12">
        <v>2</v>
      </c>
      <c r="AM12">
        <v>13</v>
      </c>
      <c r="AN12">
        <v>1</v>
      </c>
      <c r="AO12">
        <v>22</v>
      </c>
      <c r="AP12">
        <v>7</v>
      </c>
      <c r="AQ12">
        <v>21</v>
      </c>
      <c r="AR12">
        <v>27</v>
      </c>
      <c r="AS12">
        <v>7</v>
      </c>
      <c r="AT12" t="b">
        <v>1</v>
      </c>
      <c r="AU12">
        <v>0</v>
      </c>
      <c r="AV12">
        <v>0</v>
      </c>
      <c r="AW12">
        <v>2</v>
      </c>
      <c r="AX12" t="b">
        <v>0</v>
      </c>
      <c r="AY12" t="b">
        <v>0</v>
      </c>
      <c r="AZ12" t="b">
        <v>1</v>
      </c>
      <c r="BA12" t="b">
        <v>1</v>
      </c>
      <c r="BB12" t="s">
        <v>273</v>
      </c>
      <c r="BC12" t="s">
        <v>273</v>
      </c>
      <c r="BD12" t="s">
        <v>273</v>
      </c>
      <c r="BE12" t="s">
        <v>1775</v>
      </c>
      <c r="BF12" t="s">
        <v>1776</v>
      </c>
      <c r="BG12" t="s">
        <v>1777</v>
      </c>
      <c r="BH12" t="s">
        <v>1804</v>
      </c>
      <c r="BI12" t="s">
        <v>1790</v>
      </c>
      <c r="BJ12" t="b">
        <v>1</v>
      </c>
      <c r="BK12" t="b">
        <v>1</v>
      </c>
      <c r="BL12" t="b">
        <v>1</v>
      </c>
      <c r="BM12" t="b">
        <v>0</v>
      </c>
      <c r="BN12" t="b">
        <v>0</v>
      </c>
      <c r="BO12" t="b">
        <v>0</v>
      </c>
      <c r="BP12">
        <v>1</v>
      </c>
      <c r="BQ12">
        <v>135</v>
      </c>
      <c r="BR12">
        <v>1</v>
      </c>
      <c r="BS12">
        <v>1</v>
      </c>
      <c r="BT12" t="b">
        <v>1</v>
      </c>
      <c r="BU12">
        <v>0</v>
      </c>
      <c r="BV12">
        <v>142</v>
      </c>
      <c r="BW12">
        <v>40377</v>
      </c>
      <c r="BX12">
        <v>2</v>
      </c>
      <c r="BY12" t="s">
        <v>273</v>
      </c>
      <c r="BZ12" t="s">
        <v>270</v>
      </c>
      <c r="CA12" t="s">
        <v>270</v>
      </c>
      <c r="CB12" t="s">
        <v>270</v>
      </c>
      <c r="CC12" t="s">
        <v>1780</v>
      </c>
      <c r="CD12" t="s">
        <v>1781</v>
      </c>
      <c r="CE12" t="s">
        <v>1801</v>
      </c>
      <c r="CF12" t="s">
        <v>1783</v>
      </c>
      <c r="CG12" t="str">
        <f t="shared" si="0"/>
        <v/>
      </c>
      <c r="CH12" t="str">
        <f t="shared" si="1"/>
        <v/>
      </c>
      <c r="CI12" t="str">
        <f t="shared" si="2"/>
        <v/>
      </c>
      <c r="CJ12" t="str">
        <f t="shared" si="3"/>
        <v/>
      </c>
      <c r="CK12" t="str">
        <f t="shared" si="4"/>
        <v/>
      </c>
    </row>
    <row r="13" spans="1:90">
      <c r="A13">
        <v>10587</v>
      </c>
      <c r="B13" t="s">
        <v>1770</v>
      </c>
      <c r="C13">
        <v>266.90576171875</v>
      </c>
      <c r="D13" t="s">
        <v>1802</v>
      </c>
      <c r="E13">
        <v>1980</v>
      </c>
      <c r="F13" t="s">
        <v>1807</v>
      </c>
      <c r="G13" t="s">
        <v>169</v>
      </c>
      <c r="H13">
        <v>98031</v>
      </c>
      <c r="I13" t="s">
        <v>1785</v>
      </c>
      <c r="J13" t="s">
        <v>1785</v>
      </c>
      <c r="K13" t="s">
        <v>1774</v>
      </c>
      <c r="L13">
        <v>18</v>
      </c>
      <c r="M13">
        <v>3</v>
      </c>
      <c r="N13">
        <v>0</v>
      </c>
      <c r="O13">
        <v>3</v>
      </c>
      <c r="P13">
        <v>0</v>
      </c>
      <c r="Q13">
        <v>14274</v>
      </c>
      <c r="R13">
        <v>14272</v>
      </c>
      <c r="S13">
        <v>0</v>
      </c>
      <c r="T13">
        <v>0</v>
      </c>
      <c r="U13">
        <v>0</v>
      </c>
      <c r="V13">
        <v>12</v>
      </c>
      <c r="W13">
        <v>6</v>
      </c>
      <c r="X13">
        <v>0</v>
      </c>
      <c r="Y13">
        <v>5</v>
      </c>
      <c r="Z13" t="b">
        <v>0</v>
      </c>
      <c r="AA13" t="b">
        <v>0</v>
      </c>
      <c r="AB13">
        <v>7.75</v>
      </c>
      <c r="AD13">
        <v>184230.6875</v>
      </c>
      <c r="AE13">
        <v>184230.6875</v>
      </c>
      <c r="AH13">
        <v>2456.5048828125</v>
      </c>
      <c r="AI13">
        <v>874245.625</v>
      </c>
      <c r="AJ13" t="s">
        <v>270</v>
      </c>
      <c r="AK13">
        <v>0</v>
      </c>
      <c r="AL13">
        <v>28</v>
      </c>
      <c r="AM13">
        <v>0</v>
      </c>
      <c r="AN13">
        <v>3</v>
      </c>
      <c r="AO13">
        <v>0</v>
      </c>
      <c r="AP13">
        <v>3</v>
      </c>
      <c r="AQ13">
        <v>0</v>
      </c>
      <c r="AR13">
        <v>0</v>
      </c>
      <c r="AS13">
        <v>66</v>
      </c>
      <c r="AT13" t="b">
        <v>1</v>
      </c>
      <c r="AU13">
        <v>4</v>
      </c>
      <c r="AV13">
        <v>4</v>
      </c>
      <c r="AW13">
        <v>0</v>
      </c>
      <c r="AX13" t="b">
        <v>0</v>
      </c>
      <c r="AY13" t="b">
        <v>0</v>
      </c>
      <c r="AZ13" t="b">
        <v>0</v>
      </c>
      <c r="BA13" t="b">
        <v>0</v>
      </c>
      <c r="BB13" t="s">
        <v>270</v>
      </c>
      <c r="BC13" t="s">
        <v>270</v>
      </c>
      <c r="BD13" t="s">
        <v>270</v>
      </c>
      <c r="BE13" t="s">
        <v>1775</v>
      </c>
      <c r="BF13" t="s">
        <v>1776</v>
      </c>
      <c r="BG13" t="s">
        <v>1777</v>
      </c>
      <c r="BH13" t="s">
        <v>1778</v>
      </c>
      <c r="BI13" t="s">
        <v>1779</v>
      </c>
      <c r="BJ13" t="b">
        <v>1</v>
      </c>
      <c r="BK13" t="b">
        <v>1</v>
      </c>
      <c r="BL13" t="b">
        <v>1</v>
      </c>
      <c r="BM13" t="b">
        <v>0</v>
      </c>
      <c r="BN13" t="b">
        <v>0</v>
      </c>
      <c r="BO13" t="b">
        <v>0</v>
      </c>
      <c r="BP13">
        <v>3</v>
      </c>
      <c r="BQ13">
        <v>18</v>
      </c>
      <c r="BR13">
        <v>1</v>
      </c>
      <c r="BS13">
        <v>3</v>
      </c>
      <c r="BT13" t="b">
        <v>1</v>
      </c>
      <c r="BU13">
        <v>0</v>
      </c>
      <c r="BV13">
        <v>45</v>
      </c>
      <c r="BW13">
        <v>14391</v>
      </c>
      <c r="BX13">
        <v>0</v>
      </c>
      <c r="BY13" t="s">
        <v>270</v>
      </c>
      <c r="BZ13" t="s">
        <v>270</v>
      </c>
      <c r="CA13" t="s">
        <v>273</v>
      </c>
      <c r="CB13" t="s">
        <v>273</v>
      </c>
      <c r="CC13" t="s">
        <v>1780</v>
      </c>
      <c r="CD13" t="s">
        <v>1781</v>
      </c>
      <c r="CE13" t="s">
        <v>1782</v>
      </c>
      <c r="CF13" t="s">
        <v>1783</v>
      </c>
      <c r="CG13">
        <f t="shared" si="0"/>
        <v>266.90576171875</v>
      </c>
      <c r="CH13">
        <f t="shared" si="1"/>
        <v>14274</v>
      </c>
      <c r="CI13">
        <f t="shared" si="2"/>
        <v>3</v>
      </c>
      <c r="CJ13">
        <f t="shared" si="3"/>
        <v>3809812.8427734375</v>
      </c>
      <c r="CK13">
        <f t="shared" si="4"/>
        <v>800.71728515625</v>
      </c>
    </row>
    <row r="14" spans="1:90">
      <c r="A14">
        <v>10614</v>
      </c>
      <c r="B14" t="s">
        <v>1799</v>
      </c>
      <c r="C14">
        <v>114.388175964355</v>
      </c>
      <c r="D14" t="s">
        <v>1808</v>
      </c>
      <c r="E14">
        <v>1994</v>
      </c>
      <c r="F14" t="s">
        <v>1803</v>
      </c>
      <c r="G14" t="s">
        <v>169</v>
      </c>
      <c r="H14">
        <v>98007</v>
      </c>
      <c r="I14" t="s">
        <v>1785</v>
      </c>
      <c r="J14" t="s">
        <v>1785</v>
      </c>
      <c r="K14" t="s">
        <v>1774</v>
      </c>
      <c r="L14">
        <v>42</v>
      </c>
      <c r="M14">
        <v>4</v>
      </c>
      <c r="N14">
        <v>0</v>
      </c>
      <c r="O14">
        <v>4</v>
      </c>
      <c r="P14">
        <v>0</v>
      </c>
      <c r="Q14">
        <v>63260</v>
      </c>
      <c r="R14">
        <v>63260</v>
      </c>
      <c r="S14">
        <v>20300</v>
      </c>
      <c r="T14">
        <v>0</v>
      </c>
      <c r="U14">
        <v>3</v>
      </c>
      <c r="V14">
        <v>24</v>
      </c>
      <c r="W14">
        <v>15</v>
      </c>
      <c r="X14">
        <v>0</v>
      </c>
      <c r="Y14">
        <v>19</v>
      </c>
      <c r="Z14" t="b">
        <v>0</v>
      </c>
      <c r="AA14" t="b">
        <v>1</v>
      </c>
      <c r="AB14">
        <v>8</v>
      </c>
      <c r="AC14">
        <v>219356.859375</v>
      </c>
      <c r="AD14">
        <v>116099.2265625</v>
      </c>
      <c r="AE14">
        <v>335456.09375</v>
      </c>
      <c r="AF14">
        <v>26.141162872314499</v>
      </c>
      <c r="AG14">
        <v>5356.06005859375</v>
      </c>
      <c r="AH14">
        <v>5382.201171875</v>
      </c>
      <c r="AI14">
        <v>1682796.25</v>
      </c>
      <c r="AJ14" t="s">
        <v>270</v>
      </c>
      <c r="AK14">
        <v>0</v>
      </c>
      <c r="AL14">
        <v>0</v>
      </c>
      <c r="AM14">
        <v>10</v>
      </c>
      <c r="AN14">
        <v>21</v>
      </c>
      <c r="AO14">
        <v>14</v>
      </c>
      <c r="AP14">
        <v>11</v>
      </c>
      <c r="AQ14">
        <v>21</v>
      </c>
      <c r="AR14">
        <v>23</v>
      </c>
      <c r="AS14">
        <v>0</v>
      </c>
      <c r="AT14" t="b">
        <v>1</v>
      </c>
      <c r="AU14">
        <v>0</v>
      </c>
      <c r="AV14">
        <v>0</v>
      </c>
      <c r="AW14">
        <v>1</v>
      </c>
      <c r="AX14" t="b">
        <v>0</v>
      </c>
      <c r="AY14" t="b">
        <v>0</v>
      </c>
      <c r="AZ14" t="b">
        <v>1</v>
      </c>
      <c r="BA14" t="b">
        <v>1</v>
      </c>
      <c r="BB14" t="s">
        <v>273</v>
      </c>
      <c r="BC14" t="s">
        <v>273</v>
      </c>
      <c r="BD14" t="s">
        <v>273</v>
      </c>
      <c r="BE14" t="s">
        <v>1809</v>
      </c>
      <c r="BF14" t="s">
        <v>1810</v>
      </c>
      <c r="BG14" t="s">
        <v>1777</v>
      </c>
      <c r="BH14" t="s">
        <v>1811</v>
      </c>
      <c r="BI14" t="s">
        <v>1812</v>
      </c>
      <c r="BJ14" t="b">
        <v>1</v>
      </c>
      <c r="BK14" t="b">
        <v>1</v>
      </c>
      <c r="BL14" t="b">
        <v>1</v>
      </c>
      <c r="BM14" t="b">
        <v>0</v>
      </c>
      <c r="BN14" t="b">
        <v>0</v>
      </c>
      <c r="BO14" t="b">
        <v>0</v>
      </c>
      <c r="BP14">
        <v>1</v>
      </c>
      <c r="BQ14">
        <v>45</v>
      </c>
      <c r="BR14">
        <v>4</v>
      </c>
      <c r="BS14">
        <v>44</v>
      </c>
      <c r="BT14" t="b">
        <v>1</v>
      </c>
      <c r="BU14">
        <v>0</v>
      </c>
      <c r="BV14">
        <v>49</v>
      </c>
      <c r="BW14">
        <v>19888</v>
      </c>
      <c r="BX14">
        <v>1</v>
      </c>
      <c r="BY14" t="s">
        <v>273</v>
      </c>
      <c r="BZ14" t="s">
        <v>270</v>
      </c>
      <c r="CA14" t="s">
        <v>270</v>
      </c>
      <c r="CB14" t="s">
        <v>273</v>
      </c>
      <c r="CC14" t="s">
        <v>1780</v>
      </c>
      <c r="CD14" t="s">
        <v>1781</v>
      </c>
      <c r="CE14" t="s">
        <v>1801</v>
      </c>
      <c r="CF14" t="s">
        <v>1783</v>
      </c>
      <c r="CG14" t="str">
        <f t="shared" si="0"/>
        <v/>
      </c>
      <c r="CH14" t="str">
        <f t="shared" si="1"/>
        <v/>
      </c>
      <c r="CI14" t="str">
        <f t="shared" si="2"/>
        <v/>
      </c>
      <c r="CJ14" t="str">
        <f t="shared" si="3"/>
        <v/>
      </c>
      <c r="CK14" t="str">
        <f t="shared" si="4"/>
        <v/>
      </c>
    </row>
    <row r="15" spans="1:90">
      <c r="A15">
        <v>10623</v>
      </c>
      <c r="B15" t="s">
        <v>1770</v>
      </c>
      <c r="C15">
        <v>219.04685974121099</v>
      </c>
      <c r="D15" t="s">
        <v>1806</v>
      </c>
      <c r="E15">
        <v>2008</v>
      </c>
      <c r="F15" t="s">
        <v>1788</v>
      </c>
      <c r="G15" t="s">
        <v>169</v>
      </c>
      <c r="H15">
        <v>98112</v>
      </c>
      <c r="I15" t="s">
        <v>1789</v>
      </c>
      <c r="J15" t="s">
        <v>1785</v>
      </c>
      <c r="K15" t="s">
        <v>1774</v>
      </c>
      <c r="L15">
        <v>5</v>
      </c>
      <c r="M15">
        <v>4</v>
      </c>
      <c r="N15">
        <v>0</v>
      </c>
      <c r="O15">
        <v>3</v>
      </c>
      <c r="P15">
        <v>0</v>
      </c>
      <c r="Q15">
        <v>7455</v>
      </c>
      <c r="R15">
        <v>7455</v>
      </c>
      <c r="S15">
        <v>955</v>
      </c>
      <c r="T15">
        <v>0</v>
      </c>
      <c r="U15">
        <v>0</v>
      </c>
      <c r="V15">
        <v>3</v>
      </c>
      <c r="W15">
        <v>0</v>
      </c>
      <c r="X15">
        <v>2</v>
      </c>
      <c r="Y15">
        <v>0</v>
      </c>
      <c r="Z15" t="b">
        <v>0</v>
      </c>
      <c r="AA15" t="b">
        <v>1</v>
      </c>
      <c r="AB15">
        <v>9</v>
      </c>
      <c r="AC15">
        <v>10363.9091796875</v>
      </c>
      <c r="AD15">
        <v>19200.72265625</v>
      </c>
      <c r="AE15">
        <v>29564.6328125</v>
      </c>
      <c r="AH15">
        <v>3854.3994140625</v>
      </c>
      <c r="AI15">
        <v>486314.46875</v>
      </c>
      <c r="AJ15" t="s">
        <v>273</v>
      </c>
      <c r="AK15">
        <v>0</v>
      </c>
      <c r="AL15">
        <v>30</v>
      </c>
      <c r="AM15">
        <v>0</v>
      </c>
      <c r="AN15">
        <v>14</v>
      </c>
      <c r="AO15">
        <v>0</v>
      </c>
      <c r="AP15">
        <v>25</v>
      </c>
      <c r="AQ15">
        <v>0</v>
      </c>
      <c r="AR15">
        <v>0</v>
      </c>
      <c r="AS15">
        <v>31</v>
      </c>
      <c r="AT15" t="b">
        <v>1</v>
      </c>
      <c r="AU15">
        <v>0</v>
      </c>
      <c r="AV15">
        <v>0</v>
      </c>
      <c r="AW15">
        <v>1</v>
      </c>
      <c r="AX15" t="b">
        <v>1</v>
      </c>
      <c r="AY15" t="b">
        <v>0</v>
      </c>
      <c r="AZ15" t="b">
        <v>0</v>
      </c>
      <c r="BA15" t="b">
        <v>0</v>
      </c>
      <c r="BB15" t="s">
        <v>270</v>
      </c>
      <c r="BC15" t="s">
        <v>273</v>
      </c>
      <c r="BD15" t="s">
        <v>270</v>
      </c>
      <c r="BE15" t="s">
        <v>1813</v>
      </c>
      <c r="BF15" t="s">
        <v>1810</v>
      </c>
      <c r="BG15" t="s">
        <v>1814</v>
      </c>
      <c r="BH15" t="s">
        <v>1778</v>
      </c>
      <c r="BI15" t="s">
        <v>1779</v>
      </c>
      <c r="BJ15" t="b">
        <v>1</v>
      </c>
      <c r="BK15" t="b">
        <v>1</v>
      </c>
      <c r="BL15" t="b">
        <v>1</v>
      </c>
      <c r="BM15" t="b">
        <v>0</v>
      </c>
      <c r="BN15" t="b">
        <v>0</v>
      </c>
      <c r="BO15" t="b">
        <v>0</v>
      </c>
      <c r="BP15">
        <v>1</v>
      </c>
      <c r="BQ15">
        <v>6</v>
      </c>
      <c r="BR15">
        <v>1</v>
      </c>
      <c r="BS15">
        <v>1</v>
      </c>
      <c r="BT15" t="b">
        <v>1</v>
      </c>
      <c r="BU15">
        <v>0</v>
      </c>
      <c r="BV15">
        <v>7</v>
      </c>
      <c r="BW15">
        <v>1968</v>
      </c>
      <c r="BX15">
        <v>1</v>
      </c>
      <c r="BY15" t="s">
        <v>273</v>
      </c>
      <c r="BZ15" t="s">
        <v>270</v>
      </c>
      <c r="CA15" t="s">
        <v>270</v>
      </c>
      <c r="CB15" t="s">
        <v>270</v>
      </c>
      <c r="CC15" t="s">
        <v>1787</v>
      </c>
      <c r="CD15" t="s">
        <v>1781</v>
      </c>
      <c r="CE15" t="s">
        <v>1815</v>
      </c>
      <c r="CF15" t="s">
        <v>1783</v>
      </c>
      <c r="CG15" t="str">
        <f t="shared" si="0"/>
        <v/>
      </c>
      <c r="CH15" t="str">
        <f t="shared" si="1"/>
        <v/>
      </c>
      <c r="CI15" t="str">
        <f t="shared" si="2"/>
        <v/>
      </c>
      <c r="CJ15" t="str">
        <f t="shared" si="3"/>
        <v/>
      </c>
      <c r="CK15" t="str">
        <f t="shared" si="4"/>
        <v/>
      </c>
    </row>
    <row r="16" spans="1:90">
      <c r="A16">
        <v>10805</v>
      </c>
      <c r="B16" t="s">
        <v>1770</v>
      </c>
      <c r="C16">
        <v>686.32904052734398</v>
      </c>
      <c r="D16" t="s">
        <v>1808</v>
      </c>
      <c r="E16">
        <v>2000</v>
      </c>
      <c r="F16" t="s">
        <v>1816</v>
      </c>
      <c r="G16" t="s">
        <v>169</v>
      </c>
      <c r="H16">
        <v>98225</v>
      </c>
      <c r="I16" t="s">
        <v>1785</v>
      </c>
      <c r="K16" t="s">
        <v>1774</v>
      </c>
      <c r="L16">
        <v>7</v>
      </c>
      <c r="M16">
        <v>2</v>
      </c>
      <c r="N16">
        <v>0</v>
      </c>
      <c r="O16">
        <v>2</v>
      </c>
      <c r="P16">
        <v>0</v>
      </c>
      <c r="Q16">
        <v>6422</v>
      </c>
      <c r="R16">
        <v>6422</v>
      </c>
      <c r="S16">
        <v>0</v>
      </c>
      <c r="T16">
        <v>0</v>
      </c>
      <c r="U16">
        <v>3</v>
      </c>
      <c r="V16">
        <v>4</v>
      </c>
      <c r="W16">
        <v>0</v>
      </c>
      <c r="X16">
        <v>0</v>
      </c>
      <c r="Y16">
        <v>0</v>
      </c>
      <c r="Z16" t="b">
        <v>0</v>
      </c>
      <c r="AA16" t="b">
        <v>0</v>
      </c>
      <c r="AB16">
        <v>8</v>
      </c>
      <c r="AD16">
        <v>62563.53125</v>
      </c>
      <c r="AE16">
        <v>62563.53125</v>
      </c>
      <c r="AI16">
        <v>213466.765625</v>
      </c>
      <c r="AJ16" t="s">
        <v>270</v>
      </c>
      <c r="AK16">
        <v>0</v>
      </c>
      <c r="AL16">
        <v>30</v>
      </c>
      <c r="AM16">
        <v>0</v>
      </c>
      <c r="AN16">
        <v>6</v>
      </c>
      <c r="AO16">
        <v>0</v>
      </c>
      <c r="AP16">
        <v>8</v>
      </c>
      <c r="AQ16">
        <v>0</v>
      </c>
      <c r="AR16">
        <v>0</v>
      </c>
      <c r="AS16">
        <v>56</v>
      </c>
      <c r="AT16" t="b">
        <v>1</v>
      </c>
      <c r="AU16">
        <v>2</v>
      </c>
      <c r="AV16">
        <v>3</v>
      </c>
      <c r="AW16">
        <v>0</v>
      </c>
      <c r="AX16" t="b">
        <v>0</v>
      </c>
      <c r="AY16" t="b">
        <v>0</v>
      </c>
      <c r="AZ16" t="b">
        <v>0</v>
      </c>
      <c r="BA16" t="b">
        <v>0</v>
      </c>
      <c r="BB16" t="s">
        <v>270</v>
      </c>
      <c r="BC16" t="s">
        <v>270</v>
      </c>
      <c r="BD16" t="s">
        <v>270</v>
      </c>
      <c r="BE16" t="s">
        <v>1775</v>
      </c>
      <c r="BF16" t="s">
        <v>1776</v>
      </c>
      <c r="BG16" t="s">
        <v>1777</v>
      </c>
      <c r="BH16" t="s">
        <v>1804</v>
      </c>
      <c r="BI16" t="s">
        <v>1779</v>
      </c>
      <c r="BJ16" t="b">
        <v>0</v>
      </c>
      <c r="BK16" t="b">
        <v>1</v>
      </c>
      <c r="BL16" t="b">
        <v>0</v>
      </c>
      <c r="BM16" t="b">
        <v>0</v>
      </c>
      <c r="BN16" t="b">
        <v>0</v>
      </c>
      <c r="BO16" t="b">
        <v>0</v>
      </c>
      <c r="BP16">
        <v>1</v>
      </c>
      <c r="BQ16">
        <v>9</v>
      </c>
      <c r="BR16">
        <v>0</v>
      </c>
      <c r="BS16">
        <v>0</v>
      </c>
      <c r="BT16" t="b">
        <v>1</v>
      </c>
      <c r="BU16">
        <v>0</v>
      </c>
      <c r="BV16">
        <v>12</v>
      </c>
      <c r="BW16">
        <v>4855</v>
      </c>
      <c r="BX16">
        <v>1</v>
      </c>
      <c r="BY16" t="s">
        <v>270</v>
      </c>
      <c r="BZ16" t="s">
        <v>273</v>
      </c>
      <c r="CA16" t="s">
        <v>270</v>
      </c>
      <c r="CB16" t="s">
        <v>273</v>
      </c>
      <c r="CC16" t="s">
        <v>1787</v>
      </c>
      <c r="CD16" t="s">
        <v>1781</v>
      </c>
      <c r="CE16" t="s">
        <v>1782</v>
      </c>
      <c r="CF16" t="s">
        <v>1783</v>
      </c>
      <c r="CG16">
        <f t="shared" si="0"/>
        <v>686.32904052734398</v>
      </c>
      <c r="CH16">
        <f t="shared" si="1"/>
        <v>6422</v>
      </c>
      <c r="CI16">
        <f t="shared" si="2"/>
        <v>2</v>
      </c>
      <c r="CJ16">
        <f t="shared" si="3"/>
        <v>4407605.0982666034</v>
      </c>
      <c r="CK16">
        <f t="shared" si="4"/>
        <v>1372.658081054688</v>
      </c>
    </row>
    <row r="17" spans="1:89">
      <c r="A17">
        <v>10862</v>
      </c>
      <c r="B17" t="s">
        <v>1770</v>
      </c>
      <c r="C17">
        <v>85.864128112792997</v>
      </c>
      <c r="D17" t="s">
        <v>1802</v>
      </c>
      <c r="E17">
        <v>1979</v>
      </c>
      <c r="F17" t="s">
        <v>1817</v>
      </c>
      <c r="G17" t="s">
        <v>169</v>
      </c>
      <c r="H17">
        <v>98203</v>
      </c>
      <c r="I17" t="s">
        <v>1797</v>
      </c>
      <c r="J17" t="s">
        <v>1785</v>
      </c>
      <c r="K17" t="s">
        <v>1774</v>
      </c>
      <c r="L17">
        <v>24</v>
      </c>
      <c r="M17">
        <v>3</v>
      </c>
      <c r="N17">
        <v>0</v>
      </c>
      <c r="O17">
        <v>3</v>
      </c>
      <c r="P17">
        <v>0</v>
      </c>
      <c r="Q17">
        <v>24192</v>
      </c>
      <c r="R17">
        <v>24192</v>
      </c>
      <c r="S17">
        <v>0</v>
      </c>
      <c r="T17">
        <v>0</v>
      </c>
      <c r="U17">
        <v>6</v>
      </c>
      <c r="V17">
        <v>18</v>
      </c>
      <c r="W17">
        <v>0</v>
      </c>
      <c r="X17">
        <v>0</v>
      </c>
      <c r="Y17">
        <v>8</v>
      </c>
      <c r="Z17" t="b">
        <v>0</v>
      </c>
      <c r="AA17" t="b">
        <v>0</v>
      </c>
      <c r="AB17">
        <v>7.5</v>
      </c>
      <c r="AC17">
        <v>45038.921875</v>
      </c>
      <c r="AD17">
        <v>215787.140625</v>
      </c>
      <c r="AE17">
        <v>260826.0625</v>
      </c>
      <c r="AJ17" t="s">
        <v>270</v>
      </c>
      <c r="AK17">
        <v>0</v>
      </c>
      <c r="AL17">
        <v>0</v>
      </c>
      <c r="AM17">
        <v>5</v>
      </c>
      <c r="AN17">
        <v>0</v>
      </c>
      <c r="AO17">
        <v>31</v>
      </c>
      <c r="AP17">
        <v>0</v>
      </c>
      <c r="AQ17">
        <v>61</v>
      </c>
      <c r="AR17">
        <v>3</v>
      </c>
      <c r="AS17">
        <v>0</v>
      </c>
      <c r="AT17" t="b">
        <v>1</v>
      </c>
      <c r="AU17">
        <v>0</v>
      </c>
      <c r="AV17">
        <v>0</v>
      </c>
      <c r="AW17">
        <v>0</v>
      </c>
      <c r="AX17" t="b">
        <v>0</v>
      </c>
      <c r="AY17" t="b">
        <v>0</v>
      </c>
      <c r="AZ17" t="b">
        <v>0</v>
      </c>
      <c r="BA17" t="b">
        <v>0</v>
      </c>
      <c r="BB17" t="s">
        <v>270</v>
      </c>
      <c r="BC17" t="s">
        <v>270</v>
      </c>
      <c r="BD17" t="s">
        <v>270</v>
      </c>
      <c r="BE17" t="s">
        <v>1775</v>
      </c>
      <c r="BF17" t="s">
        <v>1776</v>
      </c>
      <c r="BG17" t="s">
        <v>1777</v>
      </c>
      <c r="BH17" t="s">
        <v>1778</v>
      </c>
      <c r="BI17" t="s">
        <v>1779</v>
      </c>
      <c r="BJ17" t="b">
        <v>1</v>
      </c>
      <c r="BK17" t="b">
        <v>1</v>
      </c>
      <c r="BL17" t="b">
        <v>0</v>
      </c>
      <c r="BM17" t="b">
        <v>0</v>
      </c>
      <c r="BN17" t="b">
        <v>0</v>
      </c>
      <c r="BO17" t="b">
        <v>0</v>
      </c>
      <c r="BP17">
        <v>24</v>
      </c>
      <c r="BQ17">
        <v>4</v>
      </c>
      <c r="BR17">
        <v>0</v>
      </c>
      <c r="BS17">
        <v>0</v>
      </c>
      <c r="BT17" t="b">
        <v>1</v>
      </c>
      <c r="BU17">
        <v>0</v>
      </c>
      <c r="BV17">
        <v>38</v>
      </c>
      <c r="BW17">
        <v>16150</v>
      </c>
      <c r="BX17">
        <v>0</v>
      </c>
      <c r="BY17" t="s">
        <v>270</v>
      </c>
      <c r="BZ17" t="s">
        <v>270</v>
      </c>
      <c r="CA17" t="s">
        <v>270</v>
      </c>
      <c r="CB17" t="s">
        <v>273</v>
      </c>
      <c r="CC17" t="s">
        <v>1780</v>
      </c>
      <c r="CD17" t="s">
        <v>1781</v>
      </c>
      <c r="CE17" t="s">
        <v>1795</v>
      </c>
      <c r="CF17" t="s">
        <v>1783</v>
      </c>
      <c r="CG17">
        <f t="shared" si="0"/>
        <v>85.864128112792997</v>
      </c>
      <c r="CH17">
        <f t="shared" si="1"/>
        <v>24192</v>
      </c>
      <c r="CI17">
        <f t="shared" si="2"/>
        <v>3</v>
      </c>
      <c r="CJ17">
        <f t="shared" si="3"/>
        <v>2077224.9873046882</v>
      </c>
      <c r="CK17">
        <f t="shared" si="4"/>
        <v>257.59238433837902</v>
      </c>
    </row>
    <row r="18" spans="1:89">
      <c r="A18">
        <v>10871</v>
      </c>
      <c r="B18" t="s">
        <v>1770</v>
      </c>
      <c r="C18">
        <v>200.17932128906301</v>
      </c>
      <c r="D18" t="s">
        <v>1802</v>
      </c>
      <c r="E18">
        <v>1978</v>
      </c>
      <c r="F18" t="s">
        <v>1803</v>
      </c>
      <c r="G18" t="s">
        <v>169</v>
      </c>
      <c r="H18">
        <v>98007</v>
      </c>
      <c r="I18" t="s">
        <v>1785</v>
      </c>
      <c r="K18" t="s">
        <v>1774</v>
      </c>
      <c r="L18">
        <v>24</v>
      </c>
      <c r="M18">
        <v>3</v>
      </c>
      <c r="N18">
        <v>0</v>
      </c>
      <c r="O18">
        <v>3</v>
      </c>
      <c r="P18">
        <v>0</v>
      </c>
      <c r="Q18">
        <v>32100</v>
      </c>
      <c r="R18">
        <v>32100</v>
      </c>
      <c r="S18">
        <v>4805</v>
      </c>
      <c r="T18">
        <v>0</v>
      </c>
      <c r="U18">
        <v>6</v>
      </c>
      <c r="V18">
        <v>18</v>
      </c>
      <c r="W18">
        <v>0</v>
      </c>
      <c r="X18">
        <v>0</v>
      </c>
      <c r="Y18">
        <v>5</v>
      </c>
      <c r="Z18" t="b">
        <v>0</v>
      </c>
      <c r="AA18" t="b">
        <v>1</v>
      </c>
      <c r="AB18">
        <v>8</v>
      </c>
      <c r="AC18">
        <v>30202.26171875</v>
      </c>
      <c r="AD18">
        <v>201599.953125</v>
      </c>
      <c r="AE18">
        <v>231802.21875</v>
      </c>
      <c r="AI18">
        <v>790909.1875</v>
      </c>
      <c r="AJ18" t="s">
        <v>270</v>
      </c>
      <c r="AK18">
        <v>0</v>
      </c>
      <c r="AL18">
        <v>44</v>
      </c>
      <c r="AM18">
        <v>0</v>
      </c>
      <c r="AN18">
        <v>6</v>
      </c>
      <c r="AO18">
        <v>0</v>
      </c>
      <c r="AP18">
        <v>6</v>
      </c>
      <c r="AQ18">
        <v>0</v>
      </c>
      <c r="AR18">
        <v>0</v>
      </c>
      <c r="AS18">
        <v>44</v>
      </c>
      <c r="AT18" t="b">
        <v>1</v>
      </c>
      <c r="AU18">
        <v>6</v>
      </c>
      <c r="AV18">
        <v>6</v>
      </c>
      <c r="AW18">
        <v>0</v>
      </c>
      <c r="AX18" t="b">
        <v>0</v>
      </c>
      <c r="AY18" t="b">
        <v>0</v>
      </c>
      <c r="AZ18" t="b">
        <v>1</v>
      </c>
      <c r="BA18" t="b">
        <v>0</v>
      </c>
      <c r="BB18" t="s">
        <v>270</v>
      </c>
      <c r="BC18" t="s">
        <v>270</v>
      </c>
      <c r="BD18" t="s">
        <v>270</v>
      </c>
      <c r="BE18" t="s">
        <v>1775</v>
      </c>
      <c r="BF18" t="s">
        <v>1776</v>
      </c>
      <c r="BG18" t="s">
        <v>1777</v>
      </c>
      <c r="BH18" t="s">
        <v>1778</v>
      </c>
      <c r="BI18" t="s">
        <v>1790</v>
      </c>
      <c r="BJ18" t="b">
        <v>0</v>
      </c>
      <c r="BK18" t="b">
        <v>1</v>
      </c>
      <c r="BL18" t="b">
        <v>0</v>
      </c>
      <c r="BM18" t="b">
        <v>0</v>
      </c>
      <c r="BN18" t="b">
        <v>0</v>
      </c>
      <c r="BO18" t="b">
        <v>0</v>
      </c>
      <c r="BQ18">
        <v>1</v>
      </c>
      <c r="BR18">
        <v>0</v>
      </c>
      <c r="BS18">
        <v>0</v>
      </c>
      <c r="BT18" t="b">
        <v>1</v>
      </c>
      <c r="BU18">
        <v>0</v>
      </c>
      <c r="BV18">
        <v>36</v>
      </c>
      <c r="BW18">
        <v>15300</v>
      </c>
      <c r="BX18">
        <v>0</v>
      </c>
      <c r="BY18" t="s">
        <v>270</v>
      </c>
      <c r="BZ18" t="s">
        <v>270</v>
      </c>
      <c r="CA18" t="s">
        <v>270</v>
      </c>
      <c r="CB18" t="s">
        <v>273</v>
      </c>
      <c r="CC18" t="s">
        <v>1787</v>
      </c>
      <c r="CD18" t="s">
        <v>1781</v>
      </c>
      <c r="CE18" t="s">
        <v>1782</v>
      </c>
      <c r="CF18" t="s">
        <v>1783</v>
      </c>
      <c r="CG18">
        <f t="shared" si="0"/>
        <v>200.17932128906301</v>
      </c>
      <c r="CH18">
        <f t="shared" si="1"/>
        <v>32100</v>
      </c>
      <c r="CI18">
        <f t="shared" si="2"/>
        <v>3</v>
      </c>
      <c r="CJ18">
        <f t="shared" si="3"/>
        <v>6425756.213378923</v>
      </c>
      <c r="CK18">
        <f t="shared" si="4"/>
        <v>600.53796386718909</v>
      </c>
    </row>
    <row r="19" spans="1:89">
      <c r="A19">
        <v>10901</v>
      </c>
      <c r="B19" t="s">
        <v>1770</v>
      </c>
      <c r="C19">
        <v>228.97100830078099</v>
      </c>
      <c r="D19" t="s">
        <v>1802</v>
      </c>
      <c r="E19">
        <v>1978</v>
      </c>
      <c r="F19" t="s">
        <v>1818</v>
      </c>
      <c r="G19" t="s">
        <v>169</v>
      </c>
      <c r="H19">
        <v>98270</v>
      </c>
      <c r="I19" t="s">
        <v>1797</v>
      </c>
      <c r="K19" t="s">
        <v>1819</v>
      </c>
      <c r="L19">
        <v>9</v>
      </c>
      <c r="M19">
        <v>2</v>
      </c>
      <c r="N19">
        <v>0</v>
      </c>
      <c r="O19">
        <v>2</v>
      </c>
      <c r="P19">
        <v>0</v>
      </c>
      <c r="Q19">
        <v>13581</v>
      </c>
      <c r="R19">
        <v>13581</v>
      </c>
      <c r="S19">
        <v>0</v>
      </c>
      <c r="T19">
        <v>0</v>
      </c>
      <c r="U19">
        <v>0</v>
      </c>
      <c r="V19">
        <v>9</v>
      </c>
      <c r="W19">
        <v>0</v>
      </c>
      <c r="X19">
        <v>0</v>
      </c>
      <c r="Y19">
        <v>0</v>
      </c>
      <c r="Z19" t="b">
        <v>0</v>
      </c>
      <c r="AA19" t="b">
        <v>0</v>
      </c>
      <c r="AB19">
        <v>7.75</v>
      </c>
      <c r="AD19">
        <v>94295.8359375</v>
      </c>
      <c r="AE19">
        <v>94295.8359375</v>
      </c>
      <c r="AI19">
        <v>321737.40625</v>
      </c>
      <c r="AJ19" t="s">
        <v>270</v>
      </c>
      <c r="AK19">
        <v>0</v>
      </c>
      <c r="AL19">
        <v>50</v>
      </c>
      <c r="AM19">
        <v>0</v>
      </c>
      <c r="AN19">
        <v>2</v>
      </c>
      <c r="AO19">
        <v>0</v>
      </c>
      <c r="AP19">
        <v>2</v>
      </c>
      <c r="AQ19">
        <v>0</v>
      </c>
      <c r="AR19">
        <v>0</v>
      </c>
      <c r="AS19">
        <v>44</v>
      </c>
      <c r="AT19" t="b">
        <v>1</v>
      </c>
      <c r="AU19">
        <v>0</v>
      </c>
      <c r="AV19">
        <v>0</v>
      </c>
      <c r="AW19">
        <v>0</v>
      </c>
      <c r="AX19" t="b">
        <v>0</v>
      </c>
      <c r="AY19" t="b">
        <v>0</v>
      </c>
      <c r="AZ19" t="b">
        <v>0</v>
      </c>
      <c r="BA19" t="b">
        <v>0</v>
      </c>
      <c r="BB19" t="s">
        <v>270</v>
      </c>
      <c r="BC19" t="s">
        <v>270</v>
      </c>
      <c r="BD19" t="s">
        <v>270</v>
      </c>
      <c r="BE19" t="s">
        <v>1775</v>
      </c>
      <c r="BF19" t="s">
        <v>1776</v>
      </c>
      <c r="BG19" t="s">
        <v>1777</v>
      </c>
      <c r="BH19" t="s">
        <v>1778</v>
      </c>
      <c r="BI19" t="s">
        <v>1779</v>
      </c>
      <c r="BJ19" t="b">
        <v>0</v>
      </c>
      <c r="BK19" t="b">
        <v>1</v>
      </c>
      <c r="BL19" t="b">
        <v>0</v>
      </c>
      <c r="BM19" t="b">
        <v>0</v>
      </c>
      <c r="BN19" t="b">
        <v>0</v>
      </c>
      <c r="BO19" t="b">
        <v>0</v>
      </c>
      <c r="BP19">
        <v>6</v>
      </c>
      <c r="BQ19">
        <v>11</v>
      </c>
      <c r="BR19">
        <v>0</v>
      </c>
      <c r="BS19">
        <v>0</v>
      </c>
      <c r="BT19" t="b">
        <v>1</v>
      </c>
      <c r="BU19">
        <v>0</v>
      </c>
      <c r="BV19">
        <v>19</v>
      </c>
      <c r="BW19">
        <v>8075</v>
      </c>
      <c r="BX19">
        <v>0</v>
      </c>
      <c r="BY19" t="s">
        <v>270</v>
      </c>
      <c r="BZ19" t="s">
        <v>270</v>
      </c>
      <c r="CA19" t="s">
        <v>270</v>
      </c>
      <c r="CB19" t="s">
        <v>273</v>
      </c>
      <c r="CC19" t="s">
        <v>1780</v>
      </c>
      <c r="CD19" t="s">
        <v>1781</v>
      </c>
      <c r="CE19" t="s">
        <v>1782</v>
      </c>
      <c r="CF19" t="s">
        <v>1783</v>
      </c>
      <c r="CG19">
        <f t="shared" si="0"/>
        <v>228.97100830078099</v>
      </c>
      <c r="CH19">
        <f t="shared" si="1"/>
        <v>13581</v>
      </c>
      <c r="CI19">
        <f t="shared" si="2"/>
        <v>2</v>
      </c>
      <c r="CJ19">
        <f t="shared" si="3"/>
        <v>3109655.2637329069</v>
      </c>
      <c r="CK19">
        <f t="shared" si="4"/>
        <v>457.94201660156199</v>
      </c>
    </row>
    <row r="20" spans="1:89">
      <c r="A20">
        <v>10910</v>
      </c>
      <c r="B20" t="s">
        <v>1770</v>
      </c>
      <c r="C20">
        <v>206.07391357421901</v>
      </c>
      <c r="D20" t="s">
        <v>1792</v>
      </c>
      <c r="E20">
        <v>1961</v>
      </c>
      <c r="F20" t="s">
        <v>1820</v>
      </c>
      <c r="G20" t="s">
        <v>169</v>
      </c>
      <c r="H20">
        <v>98043</v>
      </c>
      <c r="I20" t="s">
        <v>1797</v>
      </c>
      <c r="K20" t="s">
        <v>1819</v>
      </c>
      <c r="L20">
        <v>10</v>
      </c>
      <c r="M20">
        <v>2</v>
      </c>
      <c r="N20">
        <v>0</v>
      </c>
      <c r="O20">
        <v>2</v>
      </c>
      <c r="P20">
        <v>1</v>
      </c>
      <c r="Q20">
        <v>16930</v>
      </c>
      <c r="R20">
        <v>16930</v>
      </c>
      <c r="S20">
        <v>0</v>
      </c>
      <c r="T20">
        <v>0</v>
      </c>
      <c r="U20">
        <v>0</v>
      </c>
      <c r="V20">
        <v>10</v>
      </c>
      <c r="W20">
        <v>0</v>
      </c>
      <c r="X20">
        <v>0</v>
      </c>
      <c r="Y20">
        <v>0</v>
      </c>
      <c r="Z20" t="b">
        <v>0</v>
      </c>
      <c r="AA20" t="b">
        <v>0</v>
      </c>
      <c r="AB20">
        <v>8</v>
      </c>
      <c r="AC20">
        <v>1288.31616210938</v>
      </c>
      <c r="AD20">
        <v>170627.953125</v>
      </c>
      <c r="AE20">
        <v>171916.265625</v>
      </c>
      <c r="AI20">
        <v>586578.3125</v>
      </c>
      <c r="AJ20" t="s">
        <v>270</v>
      </c>
      <c r="AK20">
        <v>0</v>
      </c>
      <c r="AL20">
        <v>67</v>
      </c>
      <c r="AM20">
        <v>0</v>
      </c>
      <c r="AN20">
        <v>1</v>
      </c>
      <c r="AO20">
        <v>0</v>
      </c>
      <c r="AP20">
        <v>1</v>
      </c>
      <c r="AQ20">
        <v>0</v>
      </c>
      <c r="AR20">
        <v>0</v>
      </c>
      <c r="AS20">
        <v>31</v>
      </c>
      <c r="AT20" t="b">
        <v>1</v>
      </c>
      <c r="AU20">
        <v>0</v>
      </c>
      <c r="AV20">
        <v>0</v>
      </c>
      <c r="AW20">
        <v>0</v>
      </c>
      <c r="AX20" t="b">
        <v>0</v>
      </c>
      <c r="AY20" t="b">
        <v>0</v>
      </c>
      <c r="AZ20" t="b">
        <v>0</v>
      </c>
      <c r="BA20" t="b">
        <v>0</v>
      </c>
      <c r="BB20" t="s">
        <v>270</v>
      </c>
      <c r="BC20" t="s">
        <v>270</v>
      </c>
      <c r="BD20" t="s">
        <v>270</v>
      </c>
      <c r="BE20" t="s">
        <v>1775</v>
      </c>
      <c r="BF20" t="s">
        <v>1776</v>
      </c>
      <c r="BG20" t="s">
        <v>1777</v>
      </c>
      <c r="BH20" t="s">
        <v>1778</v>
      </c>
      <c r="BI20" t="s">
        <v>1779</v>
      </c>
      <c r="BJ20" t="b">
        <v>0</v>
      </c>
      <c r="BK20" t="b">
        <v>1</v>
      </c>
      <c r="BL20" t="b">
        <v>0</v>
      </c>
      <c r="BM20" t="b">
        <v>0</v>
      </c>
      <c r="BN20" t="b">
        <v>0</v>
      </c>
      <c r="BO20" t="b">
        <v>0</v>
      </c>
      <c r="BP20">
        <v>2</v>
      </c>
      <c r="BQ20">
        <v>11</v>
      </c>
      <c r="BR20">
        <v>0</v>
      </c>
      <c r="BS20">
        <v>0</v>
      </c>
      <c r="BT20" t="b">
        <v>1</v>
      </c>
      <c r="BU20">
        <v>0</v>
      </c>
      <c r="BV20">
        <v>34</v>
      </c>
      <c r="BW20">
        <v>12580</v>
      </c>
      <c r="BX20">
        <v>1</v>
      </c>
      <c r="BY20" t="s">
        <v>273</v>
      </c>
      <c r="BZ20" t="s">
        <v>270</v>
      </c>
      <c r="CA20" t="s">
        <v>270</v>
      </c>
      <c r="CB20" t="s">
        <v>273</v>
      </c>
      <c r="CC20" t="s">
        <v>1787</v>
      </c>
      <c r="CD20" t="s">
        <v>1781</v>
      </c>
      <c r="CE20" t="s">
        <v>1801</v>
      </c>
      <c r="CF20" t="s">
        <v>1783</v>
      </c>
      <c r="CG20">
        <f t="shared" si="0"/>
        <v>206.07391357421901</v>
      </c>
      <c r="CH20">
        <f t="shared" si="1"/>
        <v>16930</v>
      </c>
      <c r="CI20">
        <f t="shared" si="2"/>
        <v>2</v>
      </c>
      <c r="CJ20">
        <f t="shared" si="3"/>
        <v>3488831.3568115276</v>
      </c>
      <c r="CK20">
        <f t="shared" si="4"/>
        <v>412.14782714843801</v>
      </c>
    </row>
    <row r="21" spans="1:89">
      <c r="A21">
        <v>10996</v>
      </c>
      <c r="B21" t="s">
        <v>1770</v>
      </c>
      <c r="C21">
        <v>112.106643676758</v>
      </c>
      <c r="D21" t="s">
        <v>1808</v>
      </c>
      <c r="E21">
        <v>1996</v>
      </c>
      <c r="F21" t="s">
        <v>1793</v>
      </c>
      <c r="G21" t="s">
        <v>170</v>
      </c>
      <c r="H21">
        <v>97405</v>
      </c>
      <c r="I21" t="s">
        <v>1794</v>
      </c>
      <c r="K21" t="s">
        <v>1774</v>
      </c>
      <c r="L21">
        <v>16</v>
      </c>
      <c r="M21">
        <v>2</v>
      </c>
      <c r="N21">
        <v>0</v>
      </c>
      <c r="O21">
        <v>2</v>
      </c>
      <c r="P21">
        <v>0</v>
      </c>
      <c r="Q21">
        <v>14200</v>
      </c>
      <c r="R21">
        <v>14200</v>
      </c>
      <c r="S21">
        <v>1100</v>
      </c>
      <c r="T21">
        <v>0</v>
      </c>
      <c r="U21">
        <v>0</v>
      </c>
      <c r="V21">
        <v>1</v>
      </c>
      <c r="W21">
        <v>15</v>
      </c>
      <c r="X21">
        <v>0</v>
      </c>
      <c r="Y21">
        <v>0</v>
      </c>
      <c r="Z21" t="b">
        <v>0</v>
      </c>
      <c r="AA21" t="b">
        <v>1</v>
      </c>
      <c r="AB21">
        <v>8</v>
      </c>
      <c r="AC21">
        <v>14456.4384765625</v>
      </c>
      <c r="AD21">
        <v>82379.6953125</v>
      </c>
      <c r="AE21">
        <v>96836.1328125</v>
      </c>
      <c r="AI21">
        <v>330404.875</v>
      </c>
      <c r="AJ21" t="s">
        <v>273</v>
      </c>
      <c r="AK21">
        <v>0</v>
      </c>
      <c r="AL21">
        <v>28</v>
      </c>
      <c r="AM21">
        <v>0</v>
      </c>
      <c r="AN21">
        <v>14</v>
      </c>
      <c r="AO21">
        <v>0</v>
      </c>
      <c r="AP21">
        <v>30</v>
      </c>
      <c r="AQ21">
        <v>0</v>
      </c>
      <c r="AR21">
        <v>0</v>
      </c>
      <c r="AS21">
        <v>28</v>
      </c>
      <c r="AT21" t="b">
        <v>1</v>
      </c>
      <c r="AU21">
        <v>2</v>
      </c>
      <c r="AV21">
        <v>2</v>
      </c>
      <c r="AW21">
        <v>0</v>
      </c>
      <c r="AX21" t="b">
        <v>0</v>
      </c>
      <c r="AY21" t="b">
        <v>0</v>
      </c>
      <c r="AZ21" t="b">
        <v>1</v>
      </c>
      <c r="BA21" t="b">
        <v>0</v>
      </c>
      <c r="BB21" t="s">
        <v>270</v>
      </c>
      <c r="BC21" t="s">
        <v>270</v>
      </c>
      <c r="BD21" t="s">
        <v>270</v>
      </c>
      <c r="BE21" t="s">
        <v>1821</v>
      </c>
      <c r="BF21" t="s">
        <v>1776</v>
      </c>
      <c r="BG21" t="s">
        <v>1777</v>
      </c>
      <c r="BH21" t="s">
        <v>1804</v>
      </c>
      <c r="BI21" t="s">
        <v>1790</v>
      </c>
      <c r="BJ21" t="b">
        <v>0</v>
      </c>
      <c r="BK21" t="b">
        <v>1</v>
      </c>
      <c r="BL21" t="b">
        <v>0</v>
      </c>
      <c r="BM21" t="b">
        <v>0</v>
      </c>
      <c r="BN21" t="b">
        <v>0</v>
      </c>
      <c r="BO21" t="b">
        <v>0</v>
      </c>
      <c r="BP21">
        <v>1</v>
      </c>
      <c r="BQ21">
        <v>17</v>
      </c>
      <c r="BR21">
        <v>0</v>
      </c>
      <c r="BS21">
        <v>0</v>
      </c>
      <c r="BT21" t="b">
        <v>1</v>
      </c>
      <c r="BV21">
        <v>7</v>
      </c>
      <c r="BW21">
        <v>2975</v>
      </c>
      <c r="BX21">
        <v>0</v>
      </c>
      <c r="BY21" t="s">
        <v>270</v>
      </c>
      <c r="BZ21" t="s">
        <v>270</v>
      </c>
      <c r="CA21" t="s">
        <v>270</v>
      </c>
      <c r="CB21" t="s">
        <v>273</v>
      </c>
      <c r="CC21" t="s">
        <v>1780</v>
      </c>
      <c r="CD21" t="s">
        <v>1781</v>
      </c>
      <c r="CE21" t="s">
        <v>1782</v>
      </c>
      <c r="CF21" t="s">
        <v>1783</v>
      </c>
      <c r="CG21">
        <f t="shared" si="0"/>
        <v>112.106643676758</v>
      </c>
      <c r="CH21">
        <f t="shared" si="1"/>
        <v>14200</v>
      </c>
      <c r="CI21">
        <f t="shared" si="2"/>
        <v>2</v>
      </c>
      <c r="CJ21">
        <f t="shared" si="3"/>
        <v>1591914.3402099635</v>
      </c>
      <c r="CK21">
        <f t="shared" si="4"/>
        <v>224.21328735351599</v>
      </c>
    </row>
    <row r="22" spans="1:89">
      <c r="A22">
        <v>11005</v>
      </c>
      <c r="B22" t="s">
        <v>1770</v>
      </c>
      <c r="C22">
        <v>358.74127197265602</v>
      </c>
      <c r="D22" t="s">
        <v>1822</v>
      </c>
      <c r="E22">
        <v>1949</v>
      </c>
      <c r="F22" t="s">
        <v>1793</v>
      </c>
      <c r="G22" t="s">
        <v>170</v>
      </c>
      <c r="H22">
        <v>97401</v>
      </c>
      <c r="I22" t="s">
        <v>1794</v>
      </c>
      <c r="K22" t="s">
        <v>1774</v>
      </c>
      <c r="L22">
        <v>5</v>
      </c>
      <c r="M22">
        <v>3</v>
      </c>
      <c r="N22">
        <v>0</v>
      </c>
      <c r="O22">
        <v>2</v>
      </c>
      <c r="P22">
        <v>0</v>
      </c>
      <c r="Q22">
        <v>4656</v>
      </c>
      <c r="R22">
        <v>4656</v>
      </c>
      <c r="S22">
        <v>483</v>
      </c>
      <c r="T22">
        <v>0</v>
      </c>
      <c r="U22">
        <v>1</v>
      </c>
      <c r="V22">
        <v>3</v>
      </c>
      <c r="W22">
        <v>0</v>
      </c>
      <c r="X22">
        <v>1</v>
      </c>
      <c r="Y22">
        <v>0</v>
      </c>
      <c r="Z22" t="b">
        <v>0</v>
      </c>
      <c r="AA22" t="b">
        <v>1</v>
      </c>
      <c r="AB22">
        <v>7.5</v>
      </c>
      <c r="AC22">
        <v>10553.3876953125</v>
      </c>
      <c r="AD22">
        <v>13901.552734375</v>
      </c>
      <c r="AE22">
        <v>24454.94140625</v>
      </c>
      <c r="AI22">
        <v>83440.2578125</v>
      </c>
      <c r="AJ22" t="s">
        <v>270</v>
      </c>
      <c r="AK22">
        <v>0</v>
      </c>
      <c r="AL22">
        <v>47</v>
      </c>
      <c r="AM22">
        <v>0</v>
      </c>
      <c r="AN22">
        <v>7</v>
      </c>
      <c r="AO22">
        <v>0</v>
      </c>
      <c r="AP22">
        <v>17</v>
      </c>
      <c r="AQ22">
        <v>0</v>
      </c>
      <c r="AR22">
        <v>0</v>
      </c>
      <c r="AS22">
        <v>29</v>
      </c>
      <c r="AT22" t="b">
        <v>0</v>
      </c>
      <c r="AU22">
        <v>1</v>
      </c>
      <c r="AV22">
        <v>1</v>
      </c>
      <c r="AW22">
        <v>0</v>
      </c>
      <c r="AX22" t="b">
        <v>1</v>
      </c>
      <c r="AY22" t="b">
        <v>0</v>
      </c>
      <c r="AZ22" t="b">
        <v>0</v>
      </c>
      <c r="BA22" t="b">
        <v>0</v>
      </c>
      <c r="BB22" t="s">
        <v>270</v>
      </c>
      <c r="BC22" t="s">
        <v>270</v>
      </c>
      <c r="BD22" t="s">
        <v>270</v>
      </c>
      <c r="BE22" t="s">
        <v>1813</v>
      </c>
      <c r="BF22" t="s">
        <v>1823</v>
      </c>
      <c r="BG22" t="s">
        <v>1814</v>
      </c>
      <c r="BH22" t="s">
        <v>1804</v>
      </c>
      <c r="BI22" t="s">
        <v>1812</v>
      </c>
      <c r="BJ22" t="b">
        <v>0</v>
      </c>
      <c r="BK22" t="b">
        <v>1</v>
      </c>
      <c r="BL22" t="b">
        <v>0</v>
      </c>
      <c r="BM22" t="b">
        <v>1</v>
      </c>
      <c r="BN22" t="b">
        <v>0</v>
      </c>
      <c r="BO22" t="b">
        <v>0</v>
      </c>
      <c r="BP22">
        <v>1</v>
      </c>
      <c r="BQ22">
        <v>6</v>
      </c>
      <c r="BR22">
        <v>0</v>
      </c>
      <c r="BS22">
        <v>0</v>
      </c>
      <c r="BT22" t="b">
        <v>1</v>
      </c>
      <c r="BV22">
        <v>1</v>
      </c>
      <c r="BW22">
        <v>425</v>
      </c>
      <c r="BX22">
        <v>0</v>
      </c>
      <c r="BY22" t="s">
        <v>270</v>
      </c>
      <c r="BZ22" t="s">
        <v>270</v>
      </c>
      <c r="CA22" t="s">
        <v>270</v>
      </c>
      <c r="CB22" t="s">
        <v>273</v>
      </c>
      <c r="CC22" t="s">
        <v>1787</v>
      </c>
      <c r="CD22" t="s">
        <v>1781</v>
      </c>
      <c r="CE22" t="s">
        <v>1824</v>
      </c>
      <c r="CF22" t="s">
        <v>1783</v>
      </c>
      <c r="CG22" t="str">
        <f t="shared" si="0"/>
        <v/>
      </c>
      <c r="CH22" t="str">
        <f t="shared" si="1"/>
        <v/>
      </c>
      <c r="CI22" t="str">
        <f t="shared" si="2"/>
        <v/>
      </c>
      <c r="CJ22" t="str">
        <f t="shared" si="3"/>
        <v/>
      </c>
      <c r="CK22" t="str">
        <f t="shared" si="4"/>
        <v/>
      </c>
    </row>
    <row r="23" spans="1:89">
      <c r="A23">
        <v>11263</v>
      </c>
      <c r="B23" t="s">
        <v>1770</v>
      </c>
      <c r="C23">
        <v>343.45651245117199</v>
      </c>
      <c r="D23" t="s">
        <v>1802</v>
      </c>
      <c r="E23">
        <v>1978</v>
      </c>
      <c r="F23" t="s">
        <v>1796</v>
      </c>
      <c r="G23" t="s">
        <v>169</v>
      </c>
      <c r="H23">
        <v>98036</v>
      </c>
      <c r="I23" t="s">
        <v>1797</v>
      </c>
      <c r="K23" t="s">
        <v>1774</v>
      </c>
      <c r="L23">
        <v>6</v>
      </c>
      <c r="M23">
        <v>2</v>
      </c>
      <c r="N23">
        <v>0</v>
      </c>
      <c r="O23">
        <v>2</v>
      </c>
      <c r="P23">
        <v>0</v>
      </c>
      <c r="Q23">
        <v>5040</v>
      </c>
      <c r="R23">
        <v>5040</v>
      </c>
      <c r="S23">
        <v>0</v>
      </c>
      <c r="T23">
        <v>0</v>
      </c>
      <c r="U23">
        <v>0</v>
      </c>
      <c r="V23">
        <v>6</v>
      </c>
      <c r="W23">
        <v>0</v>
      </c>
      <c r="X23">
        <v>0</v>
      </c>
      <c r="Y23">
        <v>16</v>
      </c>
      <c r="Z23" t="b">
        <v>0</v>
      </c>
      <c r="AA23" t="b">
        <v>0</v>
      </c>
      <c r="AB23">
        <v>8</v>
      </c>
      <c r="AC23">
        <v>3785.56787109375</v>
      </c>
      <c r="AD23">
        <v>50482.6875</v>
      </c>
      <c r="AE23">
        <v>54268.25390625</v>
      </c>
      <c r="AI23">
        <v>185163.28125</v>
      </c>
      <c r="AJ23" t="s">
        <v>270</v>
      </c>
      <c r="AK23">
        <v>0</v>
      </c>
      <c r="AL23">
        <v>33</v>
      </c>
      <c r="AM23">
        <v>0</v>
      </c>
      <c r="AN23">
        <v>16</v>
      </c>
      <c r="AO23">
        <v>0</v>
      </c>
      <c r="AP23">
        <v>17</v>
      </c>
      <c r="AQ23">
        <v>0</v>
      </c>
      <c r="AR23">
        <v>0</v>
      </c>
      <c r="AS23">
        <v>33</v>
      </c>
      <c r="AT23" t="b">
        <v>0</v>
      </c>
      <c r="AU23">
        <v>0</v>
      </c>
      <c r="AV23">
        <v>0</v>
      </c>
      <c r="AW23">
        <v>0</v>
      </c>
      <c r="AX23" t="b">
        <v>0</v>
      </c>
      <c r="AY23" t="b">
        <v>0</v>
      </c>
      <c r="AZ23" t="b">
        <v>0</v>
      </c>
      <c r="BA23" t="b">
        <v>0</v>
      </c>
      <c r="BB23" t="s">
        <v>270</v>
      </c>
      <c r="BC23" t="s">
        <v>270</v>
      </c>
      <c r="BD23" t="s">
        <v>270</v>
      </c>
      <c r="BE23" t="s">
        <v>1775</v>
      </c>
      <c r="BF23" t="s">
        <v>1776</v>
      </c>
      <c r="BG23" t="s">
        <v>1777</v>
      </c>
      <c r="BH23" t="s">
        <v>1778</v>
      </c>
      <c r="BI23" t="s">
        <v>1779</v>
      </c>
      <c r="BJ23" t="b">
        <v>0</v>
      </c>
      <c r="BK23" t="b">
        <v>1</v>
      </c>
      <c r="BL23" t="b">
        <v>0</v>
      </c>
      <c r="BM23" t="b">
        <v>0</v>
      </c>
      <c r="BN23" t="b">
        <v>0</v>
      </c>
      <c r="BO23" t="b">
        <v>0</v>
      </c>
      <c r="BP23">
        <v>1</v>
      </c>
      <c r="BQ23">
        <v>7</v>
      </c>
      <c r="BR23">
        <v>0</v>
      </c>
      <c r="BS23">
        <v>0</v>
      </c>
      <c r="BT23" t="b">
        <v>1</v>
      </c>
      <c r="BU23">
        <v>0</v>
      </c>
      <c r="BV23">
        <v>12</v>
      </c>
      <c r="BW23">
        <v>5100</v>
      </c>
      <c r="BX23">
        <v>0</v>
      </c>
      <c r="BY23" t="s">
        <v>270</v>
      </c>
      <c r="BZ23" t="s">
        <v>270</v>
      </c>
      <c r="CA23" t="s">
        <v>270</v>
      </c>
      <c r="CB23" t="s">
        <v>273</v>
      </c>
      <c r="CC23" t="s">
        <v>1787</v>
      </c>
      <c r="CD23" t="s">
        <v>1781</v>
      </c>
      <c r="CE23" t="s">
        <v>1795</v>
      </c>
      <c r="CF23" t="s">
        <v>1783</v>
      </c>
      <c r="CG23">
        <f t="shared" si="0"/>
        <v>343.45651245117199</v>
      </c>
      <c r="CH23">
        <f t="shared" si="1"/>
        <v>5040</v>
      </c>
      <c r="CI23">
        <f t="shared" si="2"/>
        <v>2</v>
      </c>
      <c r="CJ23">
        <f t="shared" si="3"/>
        <v>1731020.8227539067</v>
      </c>
      <c r="CK23">
        <f t="shared" si="4"/>
        <v>686.91302490234398</v>
      </c>
    </row>
    <row r="24" spans="1:89">
      <c r="A24">
        <v>11271</v>
      </c>
      <c r="B24" t="s">
        <v>1770</v>
      </c>
      <c r="C24">
        <v>54.761714935302699</v>
      </c>
      <c r="D24" t="s">
        <v>1822</v>
      </c>
      <c r="E24">
        <v>1930</v>
      </c>
      <c r="F24" t="s">
        <v>1788</v>
      </c>
      <c r="G24" t="s">
        <v>169</v>
      </c>
      <c r="H24">
        <v>98102</v>
      </c>
      <c r="I24" t="s">
        <v>1789</v>
      </c>
      <c r="J24" t="s">
        <v>1785</v>
      </c>
      <c r="K24" t="s">
        <v>1774</v>
      </c>
      <c r="L24">
        <v>20</v>
      </c>
      <c r="M24">
        <v>4</v>
      </c>
      <c r="N24">
        <v>0</v>
      </c>
      <c r="O24">
        <v>3</v>
      </c>
      <c r="P24">
        <v>1</v>
      </c>
      <c r="Q24">
        <v>18456</v>
      </c>
      <c r="R24">
        <v>18456</v>
      </c>
      <c r="S24">
        <v>3872</v>
      </c>
      <c r="T24">
        <v>0</v>
      </c>
      <c r="U24">
        <v>0</v>
      </c>
      <c r="V24">
        <v>0</v>
      </c>
      <c r="W24">
        <v>13</v>
      </c>
      <c r="X24">
        <v>7</v>
      </c>
      <c r="Y24">
        <v>0</v>
      </c>
      <c r="Z24" t="b">
        <v>0</v>
      </c>
      <c r="AA24" t="b">
        <v>1</v>
      </c>
      <c r="AB24">
        <v>8</v>
      </c>
      <c r="AC24">
        <v>16712.109375</v>
      </c>
      <c r="AD24">
        <v>98788.4140625</v>
      </c>
      <c r="AE24">
        <v>115500.5234375</v>
      </c>
      <c r="AH24">
        <v>2416.47900390625</v>
      </c>
      <c r="AI24">
        <v>635735.6875</v>
      </c>
      <c r="AJ24" t="s">
        <v>270</v>
      </c>
      <c r="AK24">
        <v>0</v>
      </c>
      <c r="AL24">
        <v>15</v>
      </c>
      <c r="AM24">
        <v>0</v>
      </c>
      <c r="AN24">
        <v>40</v>
      </c>
      <c r="AO24">
        <v>0</v>
      </c>
      <c r="AP24">
        <v>29</v>
      </c>
      <c r="AQ24">
        <v>0</v>
      </c>
      <c r="AR24">
        <v>0</v>
      </c>
      <c r="AS24">
        <v>16</v>
      </c>
      <c r="AT24" t="b">
        <v>0</v>
      </c>
      <c r="AU24">
        <v>2</v>
      </c>
      <c r="AV24">
        <v>2</v>
      </c>
      <c r="AW24">
        <v>0</v>
      </c>
      <c r="AX24" t="b">
        <v>0</v>
      </c>
      <c r="AY24" t="b">
        <v>0</v>
      </c>
      <c r="AZ24" t="b">
        <v>0</v>
      </c>
      <c r="BA24" t="b">
        <v>0</v>
      </c>
      <c r="BB24" t="s">
        <v>273</v>
      </c>
      <c r="BC24" t="s">
        <v>270</v>
      </c>
      <c r="BD24" t="s">
        <v>270</v>
      </c>
      <c r="BE24" t="s">
        <v>1775</v>
      </c>
      <c r="BF24" t="s">
        <v>1776</v>
      </c>
      <c r="BG24" t="s">
        <v>1777</v>
      </c>
      <c r="BH24" t="s">
        <v>1778</v>
      </c>
      <c r="BI24" t="s">
        <v>1812</v>
      </c>
      <c r="BJ24" t="b">
        <v>1</v>
      </c>
      <c r="BK24" t="b">
        <v>1</v>
      </c>
      <c r="BL24" t="b">
        <v>1</v>
      </c>
      <c r="BM24" t="b">
        <v>0</v>
      </c>
      <c r="BN24" t="b">
        <v>0</v>
      </c>
      <c r="BO24" t="b">
        <v>0</v>
      </c>
      <c r="BP24">
        <v>1</v>
      </c>
      <c r="BQ24">
        <v>1</v>
      </c>
      <c r="BR24">
        <v>1</v>
      </c>
      <c r="BS24">
        <v>1</v>
      </c>
      <c r="BT24" t="b">
        <v>0</v>
      </c>
      <c r="BV24">
        <v>0</v>
      </c>
      <c r="BW24">
        <v>0</v>
      </c>
      <c r="BX24">
        <v>0</v>
      </c>
      <c r="BY24" t="s">
        <v>270</v>
      </c>
      <c r="BZ24" t="s">
        <v>270</v>
      </c>
      <c r="CA24" t="s">
        <v>270</v>
      </c>
      <c r="CB24" t="s">
        <v>270</v>
      </c>
      <c r="CC24" t="s">
        <v>1787</v>
      </c>
      <c r="CD24" t="s">
        <v>1781</v>
      </c>
      <c r="CE24" t="s">
        <v>1825</v>
      </c>
      <c r="CF24" t="s">
        <v>1783</v>
      </c>
      <c r="CG24">
        <f t="shared" si="0"/>
        <v>54.761714935302699</v>
      </c>
      <c r="CH24">
        <f t="shared" si="1"/>
        <v>18456</v>
      </c>
      <c r="CI24">
        <f t="shared" si="2"/>
        <v>4</v>
      </c>
      <c r="CJ24">
        <f t="shared" si="3"/>
        <v>1010682.2108459466</v>
      </c>
      <c r="CK24">
        <f t="shared" si="4"/>
        <v>219.0468597412108</v>
      </c>
    </row>
    <row r="25" spans="1:89">
      <c r="A25">
        <v>11290</v>
      </c>
      <c r="B25" t="s">
        <v>1770</v>
      </c>
      <c r="C25">
        <v>99.650344848632798</v>
      </c>
      <c r="D25" t="s">
        <v>1802</v>
      </c>
      <c r="E25">
        <v>1972</v>
      </c>
      <c r="F25" t="s">
        <v>1793</v>
      </c>
      <c r="G25" t="s">
        <v>170</v>
      </c>
      <c r="H25">
        <v>97402</v>
      </c>
      <c r="I25" t="s">
        <v>1794</v>
      </c>
      <c r="J25" t="s">
        <v>1826</v>
      </c>
      <c r="K25" t="s">
        <v>1819</v>
      </c>
      <c r="L25">
        <v>18</v>
      </c>
      <c r="M25">
        <v>2</v>
      </c>
      <c r="N25">
        <v>0</v>
      </c>
      <c r="O25">
        <v>2</v>
      </c>
      <c r="P25">
        <v>0</v>
      </c>
      <c r="Q25">
        <v>13200</v>
      </c>
      <c r="R25">
        <v>13200</v>
      </c>
      <c r="S25">
        <v>100</v>
      </c>
      <c r="T25">
        <v>0</v>
      </c>
      <c r="U25">
        <v>0</v>
      </c>
      <c r="V25">
        <v>16</v>
      </c>
      <c r="W25">
        <v>2</v>
      </c>
      <c r="X25">
        <v>0</v>
      </c>
      <c r="Y25">
        <v>0</v>
      </c>
      <c r="Z25" t="b">
        <v>0</v>
      </c>
      <c r="AA25" t="b">
        <v>1</v>
      </c>
      <c r="AB25">
        <v>7.6599998474121103</v>
      </c>
      <c r="AC25">
        <v>1386.36950683594</v>
      </c>
      <c r="AD25">
        <v>74575.0625</v>
      </c>
      <c r="AE25">
        <v>75961.4296875</v>
      </c>
      <c r="AF25">
        <v>350.249267578125</v>
      </c>
      <c r="AG25">
        <v>6870.11474609375</v>
      </c>
      <c r="AH25">
        <v>7220.3642578125</v>
      </c>
      <c r="AI25">
        <v>981216.8125</v>
      </c>
      <c r="AJ25" t="s">
        <v>270</v>
      </c>
      <c r="AK25">
        <v>0</v>
      </c>
      <c r="AL25">
        <v>50</v>
      </c>
      <c r="AM25">
        <v>0</v>
      </c>
      <c r="AN25">
        <v>0</v>
      </c>
      <c r="AO25">
        <v>0</v>
      </c>
      <c r="AP25">
        <v>0</v>
      </c>
      <c r="AQ25">
        <v>0</v>
      </c>
      <c r="AR25">
        <v>0</v>
      </c>
      <c r="AS25">
        <v>50</v>
      </c>
      <c r="AT25" t="b">
        <v>0</v>
      </c>
      <c r="AU25">
        <v>3</v>
      </c>
      <c r="AV25">
        <v>3</v>
      </c>
      <c r="AW25">
        <v>0</v>
      </c>
      <c r="AX25" t="b">
        <v>0</v>
      </c>
      <c r="AY25" t="b">
        <v>0</v>
      </c>
      <c r="AZ25" t="b">
        <v>0</v>
      </c>
      <c r="BA25" t="b">
        <v>0</v>
      </c>
      <c r="BB25" t="s">
        <v>270</v>
      </c>
      <c r="BC25" t="s">
        <v>270</v>
      </c>
      <c r="BD25" t="s">
        <v>270</v>
      </c>
      <c r="BE25" t="s">
        <v>1809</v>
      </c>
      <c r="BF25" t="s">
        <v>1810</v>
      </c>
      <c r="BG25" t="s">
        <v>1777</v>
      </c>
      <c r="BH25" t="s">
        <v>1778</v>
      </c>
      <c r="BI25" t="s">
        <v>1790</v>
      </c>
      <c r="BJ25" t="b">
        <v>1</v>
      </c>
      <c r="BK25" t="b">
        <v>1</v>
      </c>
      <c r="BL25" t="b">
        <v>1</v>
      </c>
      <c r="BM25" t="b">
        <v>0</v>
      </c>
      <c r="BN25" t="b">
        <v>0</v>
      </c>
      <c r="BO25" t="b">
        <v>0</v>
      </c>
      <c r="BP25">
        <v>1</v>
      </c>
      <c r="BQ25">
        <v>19</v>
      </c>
      <c r="BR25">
        <v>1</v>
      </c>
      <c r="BS25">
        <v>17</v>
      </c>
      <c r="BT25" t="b">
        <v>1</v>
      </c>
      <c r="BV25">
        <v>18</v>
      </c>
      <c r="BW25">
        <v>7650</v>
      </c>
      <c r="BX25">
        <v>0</v>
      </c>
      <c r="BY25" t="s">
        <v>270</v>
      </c>
      <c r="BZ25" t="s">
        <v>270</v>
      </c>
      <c r="CA25" t="s">
        <v>270</v>
      </c>
      <c r="CB25" t="s">
        <v>273</v>
      </c>
      <c r="CC25" t="s">
        <v>1780</v>
      </c>
      <c r="CD25" t="s">
        <v>1781</v>
      </c>
      <c r="CE25" t="s">
        <v>1782</v>
      </c>
      <c r="CF25" t="s">
        <v>1783</v>
      </c>
      <c r="CG25" t="str">
        <f t="shared" si="0"/>
        <v/>
      </c>
      <c r="CH25" t="str">
        <f t="shared" si="1"/>
        <v/>
      </c>
      <c r="CI25" t="str">
        <f t="shared" si="2"/>
        <v/>
      </c>
      <c r="CJ25" t="str">
        <f t="shared" si="3"/>
        <v/>
      </c>
      <c r="CK25" t="str">
        <f t="shared" si="4"/>
        <v/>
      </c>
    </row>
    <row r="26" spans="1:89">
      <c r="A26">
        <v>11297</v>
      </c>
      <c r="B26" t="s">
        <v>1770</v>
      </c>
      <c r="C26">
        <v>40.372299194335902</v>
      </c>
      <c r="D26" t="s">
        <v>1806</v>
      </c>
      <c r="E26">
        <v>2006</v>
      </c>
      <c r="F26" t="s">
        <v>1784</v>
      </c>
      <c r="G26" t="s">
        <v>169</v>
      </c>
      <c r="H26">
        <v>98033</v>
      </c>
      <c r="I26" t="s">
        <v>1785</v>
      </c>
      <c r="J26" t="s">
        <v>1785</v>
      </c>
      <c r="K26" t="s">
        <v>1774</v>
      </c>
      <c r="L26">
        <v>119</v>
      </c>
      <c r="M26">
        <v>3</v>
      </c>
      <c r="N26">
        <v>0.5</v>
      </c>
      <c r="O26">
        <v>3</v>
      </c>
      <c r="P26">
        <v>0</v>
      </c>
      <c r="Q26">
        <v>134648</v>
      </c>
      <c r="R26">
        <v>125809</v>
      </c>
      <c r="S26">
        <v>15237</v>
      </c>
      <c r="T26">
        <v>0</v>
      </c>
      <c r="U26">
        <v>0</v>
      </c>
      <c r="V26">
        <v>30</v>
      </c>
      <c r="W26">
        <v>89</v>
      </c>
      <c r="X26">
        <v>0</v>
      </c>
      <c r="Y26">
        <v>13</v>
      </c>
      <c r="Z26" t="b">
        <v>1</v>
      </c>
      <c r="AA26" t="b">
        <v>1</v>
      </c>
      <c r="AB26">
        <v>13.199999809265099</v>
      </c>
      <c r="AC26">
        <v>291591.21875</v>
      </c>
      <c r="AD26">
        <v>402657.15625</v>
      </c>
      <c r="AE26">
        <v>694248.375</v>
      </c>
      <c r="AH26">
        <v>29100.09375</v>
      </c>
      <c r="AI26">
        <v>5278785</v>
      </c>
      <c r="AJ26" t="s">
        <v>270</v>
      </c>
      <c r="AK26">
        <v>8839</v>
      </c>
      <c r="AL26">
        <v>27</v>
      </c>
      <c r="AM26">
        <v>0</v>
      </c>
      <c r="AN26">
        <v>9</v>
      </c>
      <c r="AO26">
        <v>0</v>
      </c>
      <c r="AP26">
        <v>27</v>
      </c>
      <c r="AQ26">
        <v>0</v>
      </c>
      <c r="AR26">
        <v>0</v>
      </c>
      <c r="AS26">
        <v>27</v>
      </c>
      <c r="AT26" t="b">
        <v>1</v>
      </c>
      <c r="AU26">
        <v>0</v>
      </c>
      <c r="AV26">
        <v>0</v>
      </c>
      <c r="AW26">
        <v>2</v>
      </c>
      <c r="AX26" t="b">
        <v>0</v>
      </c>
      <c r="AY26" t="b">
        <v>0</v>
      </c>
      <c r="AZ26" t="b">
        <v>1</v>
      </c>
      <c r="BA26" t="b">
        <v>1</v>
      </c>
      <c r="BB26" t="s">
        <v>270</v>
      </c>
      <c r="BC26" t="s">
        <v>273</v>
      </c>
      <c r="BD26" t="s">
        <v>270</v>
      </c>
      <c r="BE26" t="s">
        <v>1827</v>
      </c>
      <c r="BF26" t="s">
        <v>1810</v>
      </c>
      <c r="BG26" t="s">
        <v>1777</v>
      </c>
      <c r="BH26" t="s">
        <v>1778</v>
      </c>
      <c r="BI26" t="s">
        <v>1812</v>
      </c>
      <c r="BJ26" t="b">
        <v>1</v>
      </c>
      <c r="BK26" t="b">
        <v>1</v>
      </c>
      <c r="BL26" t="b">
        <v>1</v>
      </c>
      <c r="BM26" t="b">
        <v>0</v>
      </c>
      <c r="BN26" t="b">
        <v>0</v>
      </c>
      <c r="BO26" t="b">
        <v>0</v>
      </c>
      <c r="BP26">
        <v>1</v>
      </c>
      <c r="BQ26">
        <v>125</v>
      </c>
      <c r="BR26">
        <v>1</v>
      </c>
      <c r="BS26">
        <v>1</v>
      </c>
      <c r="BT26" t="b">
        <v>1</v>
      </c>
      <c r="BU26">
        <v>20</v>
      </c>
      <c r="BV26">
        <v>203</v>
      </c>
      <c r="BW26">
        <v>56598</v>
      </c>
      <c r="BX26">
        <v>2</v>
      </c>
      <c r="BY26" t="s">
        <v>273</v>
      </c>
      <c r="BZ26" t="s">
        <v>270</v>
      </c>
      <c r="CA26" t="s">
        <v>270</v>
      </c>
      <c r="CB26" t="s">
        <v>270</v>
      </c>
      <c r="CC26" t="s">
        <v>1780</v>
      </c>
      <c r="CD26" t="s">
        <v>1828</v>
      </c>
      <c r="CE26" t="s">
        <v>1801</v>
      </c>
      <c r="CF26" t="s">
        <v>1829</v>
      </c>
      <c r="CG26" t="str">
        <f t="shared" si="0"/>
        <v/>
      </c>
      <c r="CH26" t="str">
        <f t="shared" si="1"/>
        <v/>
      </c>
      <c r="CI26" t="str">
        <f t="shared" si="2"/>
        <v/>
      </c>
      <c r="CJ26" t="str">
        <f t="shared" si="3"/>
        <v/>
      </c>
      <c r="CK26" t="str">
        <f t="shared" si="4"/>
        <v/>
      </c>
    </row>
    <row r="27" spans="1:89">
      <c r="A27">
        <v>11345</v>
      </c>
      <c r="B27" t="s">
        <v>1770</v>
      </c>
      <c r="C27">
        <v>78.231018066406307</v>
      </c>
      <c r="D27" t="s">
        <v>1792</v>
      </c>
      <c r="E27">
        <v>1960</v>
      </c>
      <c r="F27" t="s">
        <v>1788</v>
      </c>
      <c r="G27" t="s">
        <v>169</v>
      </c>
      <c r="H27">
        <v>98119</v>
      </c>
      <c r="I27" t="s">
        <v>1789</v>
      </c>
      <c r="K27" t="s">
        <v>1774</v>
      </c>
      <c r="L27">
        <v>14</v>
      </c>
      <c r="M27">
        <v>3</v>
      </c>
      <c r="N27">
        <v>0</v>
      </c>
      <c r="O27">
        <v>3</v>
      </c>
      <c r="P27">
        <v>0</v>
      </c>
      <c r="Q27">
        <v>11014</v>
      </c>
      <c r="R27">
        <v>11014</v>
      </c>
      <c r="S27">
        <v>320</v>
      </c>
      <c r="T27">
        <v>0</v>
      </c>
      <c r="U27">
        <v>0</v>
      </c>
      <c r="V27">
        <v>7</v>
      </c>
      <c r="W27">
        <v>7</v>
      </c>
      <c r="X27">
        <v>0</v>
      </c>
      <c r="Y27">
        <v>8</v>
      </c>
      <c r="Z27" t="b">
        <v>0</v>
      </c>
      <c r="AA27" t="b">
        <v>1</v>
      </c>
      <c r="AB27">
        <v>8</v>
      </c>
      <c r="AC27">
        <v>17467.6171875</v>
      </c>
      <c r="AD27">
        <v>97696.8984375</v>
      </c>
      <c r="AE27">
        <v>115164.515625</v>
      </c>
      <c r="AI27">
        <v>392941.3125</v>
      </c>
      <c r="AJ27" t="s">
        <v>270</v>
      </c>
      <c r="AK27">
        <v>0</v>
      </c>
      <c r="AL27">
        <v>15</v>
      </c>
      <c r="AM27">
        <v>15</v>
      </c>
      <c r="AN27">
        <v>19</v>
      </c>
      <c r="AO27">
        <v>0</v>
      </c>
      <c r="AP27">
        <v>19</v>
      </c>
      <c r="AQ27">
        <v>0</v>
      </c>
      <c r="AR27">
        <v>15</v>
      </c>
      <c r="AS27">
        <v>17</v>
      </c>
      <c r="AT27" t="b">
        <v>1</v>
      </c>
      <c r="AU27">
        <v>2</v>
      </c>
      <c r="AV27">
        <v>2</v>
      </c>
      <c r="AW27">
        <v>0</v>
      </c>
      <c r="AX27" t="b">
        <v>0</v>
      </c>
      <c r="AY27" t="b">
        <v>0</v>
      </c>
      <c r="AZ27" t="b">
        <v>0</v>
      </c>
      <c r="BA27" t="b">
        <v>0</v>
      </c>
      <c r="BB27" t="s">
        <v>270</v>
      </c>
      <c r="BC27" t="s">
        <v>270</v>
      </c>
      <c r="BD27" t="s">
        <v>270</v>
      </c>
      <c r="BE27" t="s">
        <v>1775</v>
      </c>
      <c r="BF27" t="s">
        <v>1776</v>
      </c>
      <c r="BG27" t="s">
        <v>1777</v>
      </c>
      <c r="BH27" t="s">
        <v>1778</v>
      </c>
      <c r="BI27" t="s">
        <v>1790</v>
      </c>
      <c r="BJ27" t="b">
        <v>0</v>
      </c>
      <c r="BK27" t="b">
        <v>1</v>
      </c>
      <c r="BL27" t="b">
        <v>0</v>
      </c>
      <c r="BM27" t="b">
        <v>0</v>
      </c>
      <c r="BN27" t="b">
        <v>0</v>
      </c>
      <c r="BO27" t="b">
        <v>0</v>
      </c>
      <c r="BP27">
        <v>1</v>
      </c>
      <c r="BQ27">
        <v>5</v>
      </c>
      <c r="BR27">
        <v>0</v>
      </c>
      <c r="BS27">
        <v>0</v>
      </c>
      <c r="BT27" t="b">
        <v>1</v>
      </c>
      <c r="BV27">
        <v>6</v>
      </c>
      <c r="BW27">
        <v>2550</v>
      </c>
      <c r="BX27">
        <v>0</v>
      </c>
      <c r="BY27" t="s">
        <v>270</v>
      </c>
      <c r="BZ27" t="s">
        <v>270</v>
      </c>
      <c r="CA27" t="s">
        <v>270</v>
      </c>
      <c r="CB27" t="s">
        <v>273</v>
      </c>
      <c r="CC27" t="s">
        <v>1787</v>
      </c>
      <c r="CD27" t="s">
        <v>1781</v>
      </c>
      <c r="CE27" t="s">
        <v>1825</v>
      </c>
      <c r="CF27" t="s">
        <v>1783</v>
      </c>
      <c r="CG27">
        <f t="shared" si="0"/>
        <v>78.231018066406307</v>
      </c>
      <c r="CH27">
        <f t="shared" si="1"/>
        <v>11014</v>
      </c>
      <c r="CI27">
        <f t="shared" si="2"/>
        <v>3</v>
      </c>
      <c r="CJ27">
        <f t="shared" si="3"/>
        <v>861636.43298339902</v>
      </c>
      <c r="CK27">
        <f t="shared" si="4"/>
        <v>234.69305419921892</v>
      </c>
    </row>
    <row r="28" spans="1:89">
      <c r="A28">
        <v>11413</v>
      </c>
      <c r="B28" t="s">
        <v>1799</v>
      </c>
      <c r="C28">
        <v>53.381153106689503</v>
      </c>
      <c r="D28" t="s">
        <v>1808</v>
      </c>
      <c r="E28">
        <v>1995</v>
      </c>
      <c r="F28" t="s">
        <v>1803</v>
      </c>
      <c r="G28" t="s">
        <v>169</v>
      </c>
      <c r="H28">
        <v>98004</v>
      </c>
      <c r="I28" t="s">
        <v>1785</v>
      </c>
      <c r="J28" t="s">
        <v>1785</v>
      </c>
      <c r="K28" t="s">
        <v>1774</v>
      </c>
      <c r="L28">
        <v>90</v>
      </c>
      <c r="M28">
        <v>5</v>
      </c>
      <c r="N28">
        <v>0.25</v>
      </c>
      <c r="O28">
        <v>5.5</v>
      </c>
      <c r="P28">
        <v>0.25</v>
      </c>
      <c r="Q28">
        <v>132125</v>
      </c>
      <c r="R28">
        <v>125519</v>
      </c>
      <c r="S28">
        <v>16903</v>
      </c>
      <c r="T28">
        <v>0</v>
      </c>
      <c r="U28">
        <v>0</v>
      </c>
      <c r="V28">
        <v>69</v>
      </c>
      <c r="W28">
        <v>14</v>
      </c>
      <c r="X28">
        <v>7</v>
      </c>
      <c r="Y28">
        <v>9</v>
      </c>
      <c r="Z28" t="b">
        <v>1</v>
      </c>
      <c r="AA28" t="b">
        <v>1</v>
      </c>
      <c r="AB28">
        <v>10</v>
      </c>
      <c r="AC28">
        <v>311795.5625</v>
      </c>
      <c r="AD28">
        <v>749107.6875</v>
      </c>
      <c r="AE28">
        <v>1060903.25</v>
      </c>
      <c r="AH28">
        <v>13163.822265625</v>
      </c>
      <c r="AI28">
        <v>4936184</v>
      </c>
      <c r="AJ28" t="s">
        <v>270</v>
      </c>
      <c r="AK28">
        <v>6606</v>
      </c>
      <c r="AL28">
        <v>17</v>
      </c>
      <c r="AM28">
        <v>0</v>
      </c>
      <c r="AN28">
        <v>26</v>
      </c>
      <c r="AO28">
        <v>0</v>
      </c>
      <c r="AP28">
        <v>28</v>
      </c>
      <c r="AQ28">
        <v>0</v>
      </c>
      <c r="AR28">
        <v>0</v>
      </c>
      <c r="AS28">
        <v>29</v>
      </c>
      <c r="AT28" t="b">
        <v>1</v>
      </c>
      <c r="AU28">
        <v>0</v>
      </c>
      <c r="AV28">
        <v>0</v>
      </c>
      <c r="AW28">
        <v>2</v>
      </c>
      <c r="AX28" t="b">
        <v>0</v>
      </c>
      <c r="AY28" t="b">
        <v>0</v>
      </c>
      <c r="AZ28" t="b">
        <v>1</v>
      </c>
      <c r="BA28" t="b">
        <v>1</v>
      </c>
      <c r="BB28" t="s">
        <v>270</v>
      </c>
      <c r="BC28" t="s">
        <v>273</v>
      </c>
      <c r="BD28" t="s">
        <v>273</v>
      </c>
      <c r="BE28" t="s">
        <v>1775</v>
      </c>
      <c r="BF28" t="s">
        <v>1776</v>
      </c>
      <c r="BG28" t="s">
        <v>1777</v>
      </c>
      <c r="BH28" t="s">
        <v>1804</v>
      </c>
      <c r="BI28" t="s">
        <v>1790</v>
      </c>
      <c r="BJ28" t="b">
        <v>1</v>
      </c>
      <c r="BK28" t="b">
        <v>1</v>
      </c>
      <c r="BL28" t="b">
        <v>1</v>
      </c>
      <c r="BM28" t="b">
        <v>0</v>
      </c>
      <c r="BN28" t="b">
        <v>0</v>
      </c>
      <c r="BO28" t="b">
        <v>0</v>
      </c>
      <c r="BP28">
        <v>2</v>
      </c>
      <c r="BQ28">
        <v>107</v>
      </c>
      <c r="BR28">
        <v>3</v>
      </c>
      <c r="BS28">
        <v>3</v>
      </c>
      <c r="BT28" t="b">
        <v>1</v>
      </c>
      <c r="BU28">
        <v>0</v>
      </c>
      <c r="BV28">
        <v>111</v>
      </c>
      <c r="BW28">
        <v>46113</v>
      </c>
      <c r="BX28">
        <v>1.5</v>
      </c>
      <c r="BY28" t="s">
        <v>273</v>
      </c>
      <c r="BZ28" t="s">
        <v>270</v>
      </c>
      <c r="CA28" t="s">
        <v>270</v>
      </c>
      <c r="CB28" t="s">
        <v>270</v>
      </c>
      <c r="CC28" t="s">
        <v>1780</v>
      </c>
      <c r="CD28" t="s">
        <v>1781</v>
      </c>
      <c r="CE28" t="s">
        <v>1801</v>
      </c>
      <c r="CF28" t="s">
        <v>1783</v>
      </c>
      <c r="CG28" t="str">
        <f t="shared" si="0"/>
        <v/>
      </c>
      <c r="CH28" t="str">
        <f t="shared" si="1"/>
        <v/>
      </c>
      <c r="CI28" t="str">
        <f t="shared" si="2"/>
        <v/>
      </c>
      <c r="CJ28" t="str">
        <f t="shared" si="3"/>
        <v/>
      </c>
      <c r="CK28" t="str">
        <f t="shared" si="4"/>
        <v/>
      </c>
    </row>
    <row r="29" spans="1:89">
      <c r="A29">
        <v>11537</v>
      </c>
      <c r="B29" t="s">
        <v>1770</v>
      </c>
      <c r="C29">
        <v>149.47552490234401</v>
      </c>
      <c r="D29" t="s">
        <v>1792</v>
      </c>
      <c r="E29">
        <v>1968</v>
      </c>
      <c r="F29" t="s">
        <v>1793</v>
      </c>
      <c r="G29" t="s">
        <v>170</v>
      </c>
      <c r="H29">
        <v>97405</v>
      </c>
      <c r="I29" t="s">
        <v>1794</v>
      </c>
      <c r="K29" t="s">
        <v>1774</v>
      </c>
      <c r="L29">
        <v>12</v>
      </c>
      <c r="M29">
        <v>3</v>
      </c>
      <c r="N29">
        <v>0</v>
      </c>
      <c r="O29">
        <v>2.5</v>
      </c>
      <c r="P29">
        <v>0</v>
      </c>
      <c r="Q29">
        <v>9216</v>
      </c>
      <c r="R29">
        <v>9216</v>
      </c>
      <c r="S29">
        <v>0</v>
      </c>
      <c r="T29">
        <v>0</v>
      </c>
      <c r="U29">
        <v>0</v>
      </c>
      <c r="V29">
        <v>12</v>
      </c>
      <c r="W29">
        <v>0</v>
      </c>
      <c r="X29">
        <v>0</v>
      </c>
      <c r="Y29">
        <v>0</v>
      </c>
      <c r="Z29" t="b">
        <v>0</v>
      </c>
      <c r="AA29" t="b">
        <v>0</v>
      </c>
      <c r="AB29">
        <v>7.5</v>
      </c>
      <c r="AD29">
        <v>72951.421875</v>
      </c>
      <c r="AE29">
        <v>72951.421875</v>
      </c>
      <c r="AI29">
        <v>248910.25</v>
      </c>
      <c r="AJ29" t="s">
        <v>270</v>
      </c>
      <c r="AK29">
        <v>0</v>
      </c>
      <c r="AL29">
        <v>0</v>
      </c>
      <c r="AM29">
        <v>0</v>
      </c>
      <c r="AN29">
        <v>29</v>
      </c>
      <c r="AO29">
        <v>0</v>
      </c>
      <c r="AP29">
        <v>71</v>
      </c>
      <c r="AQ29">
        <v>0</v>
      </c>
      <c r="AR29">
        <v>0</v>
      </c>
      <c r="AS29">
        <v>0</v>
      </c>
      <c r="AT29" t="b">
        <v>1</v>
      </c>
      <c r="AU29">
        <v>0</v>
      </c>
      <c r="AV29">
        <v>0</v>
      </c>
      <c r="AW29">
        <v>0</v>
      </c>
      <c r="AX29" t="b">
        <v>0</v>
      </c>
      <c r="AY29" t="b">
        <v>0</v>
      </c>
      <c r="AZ29" t="b">
        <v>0</v>
      </c>
      <c r="BA29" t="b">
        <v>0</v>
      </c>
      <c r="BB29" t="s">
        <v>270</v>
      </c>
      <c r="BC29" t="s">
        <v>270</v>
      </c>
      <c r="BD29" t="s">
        <v>270</v>
      </c>
      <c r="BE29" t="s">
        <v>1775</v>
      </c>
      <c r="BF29" t="s">
        <v>1776</v>
      </c>
      <c r="BG29" t="s">
        <v>1777</v>
      </c>
      <c r="BH29" t="s">
        <v>1804</v>
      </c>
      <c r="BI29" t="s">
        <v>1779</v>
      </c>
      <c r="BJ29" t="b">
        <v>0</v>
      </c>
      <c r="BK29" t="b">
        <v>1</v>
      </c>
      <c r="BL29" t="b">
        <v>0</v>
      </c>
      <c r="BM29" t="b">
        <v>0</v>
      </c>
      <c r="BN29" t="b">
        <v>0</v>
      </c>
      <c r="BO29" t="b">
        <v>0</v>
      </c>
      <c r="BP29">
        <v>6</v>
      </c>
      <c r="BQ29">
        <v>16</v>
      </c>
      <c r="BR29">
        <v>0</v>
      </c>
      <c r="BS29">
        <v>0</v>
      </c>
      <c r="BT29" t="b">
        <v>1</v>
      </c>
      <c r="BU29">
        <v>25</v>
      </c>
      <c r="BV29">
        <v>15</v>
      </c>
      <c r="BW29">
        <v>6375</v>
      </c>
      <c r="BX29">
        <v>0</v>
      </c>
      <c r="BY29" t="s">
        <v>270</v>
      </c>
      <c r="BZ29" t="s">
        <v>270</v>
      </c>
      <c r="CA29" t="s">
        <v>270</v>
      </c>
      <c r="CB29" t="s">
        <v>273</v>
      </c>
      <c r="CC29" t="s">
        <v>1780</v>
      </c>
      <c r="CD29" t="s">
        <v>1781</v>
      </c>
      <c r="CE29" t="s">
        <v>1782</v>
      </c>
      <c r="CF29" t="s">
        <v>1783</v>
      </c>
      <c r="CG29">
        <f t="shared" si="0"/>
        <v>149.47552490234401</v>
      </c>
      <c r="CH29">
        <f t="shared" si="1"/>
        <v>9216</v>
      </c>
      <c r="CI29">
        <f t="shared" si="2"/>
        <v>3</v>
      </c>
      <c r="CJ29">
        <f t="shared" si="3"/>
        <v>1377566.4375000023</v>
      </c>
      <c r="CK29">
        <f t="shared" si="4"/>
        <v>448.42657470703205</v>
      </c>
    </row>
    <row r="30" spans="1:89">
      <c r="A30">
        <v>11598</v>
      </c>
      <c r="B30" t="s">
        <v>1770</v>
      </c>
      <c r="C30">
        <v>400.358642578125</v>
      </c>
      <c r="D30" t="s">
        <v>1808</v>
      </c>
      <c r="E30">
        <v>1991</v>
      </c>
      <c r="F30" t="s">
        <v>1830</v>
      </c>
      <c r="G30" t="s">
        <v>169</v>
      </c>
      <c r="H30">
        <v>98092</v>
      </c>
      <c r="I30" t="s">
        <v>1785</v>
      </c>
      <c r="J30" t="s">
        <v>1785</v>
      </c>
      <c r="K30" t="s">
        <v>1774</v>
      </c>
      <c r="L30">
        <v>12</v>
      </c>
      <c r="M30">
        <v>3</v>
      </c>
      <c r="N30">
        <v>0</v>
      </c>
      <c r="O30">
        <v>3</v>
      </c>
      <c r="P30">
        <v>0</v>
      </c>
      <c r="Q30">
        <v>11400</v>
      </c>
      <c r="R30">
        <v>11400</v>
      </c>
      <c r="S30">
        <v>0</v>
      </c>
      <c r="T30">
        <v>0</v>
      </c>
      <c r="U30">
        <v>12</v>
      </c>
      <c r="V30">
        <v>0</v>
      </c>
      <c r="W30">
        <v>0</v>
      </c>
      <c r="X30">
        <v>0</v>
      </c>
      <c r="Y30">
        <v>8</v>
      </c>
      <c r="Z30" t="b">
        <v>0</v>
      </c>
      <c r="AA30" t="b">
        <v>0</v>
      </c>
      <c r="AB30">
        <v>8</v>
      </c>
      <c r="AD30">
        <v>141969.296875</v>
      </c>
      <c r="AE30">
        <v>141969.296875</v>
      </c>
      <c r="AJ30" t="s">
        <v>270</v>
      </c>
      <c r="AK30">
        <v>0</v>
      </c>
      <c r="AL30">
        <v>2</v>
      </c>
      <c r="AM30">
        <v>0</v>
      </c>
      <c r="AN30">
        <v>58</v>
      </c>
      <c r="AO30">
        <v>0</v>
      </c>
      <c r="AP30">
        <v>38</v>
      </c>
      <c r="AQ30">
        <v>0</v>
      </c>
      <c r="AR30">
        <v>0</v>
      </c>
      <c r="AS30">
        <v>2</v>
      </c>
      <c r="AT30" t="b">
        <v>1</v>
      </c>
      <c r="AU30">
        <v>0</v>
      </c>
      <c r="AV30">
        <v>0</v>
      </c>
      <c r="AW30">
        <v>0</v>
      </c>
      <c r="AX30" t="b">
        <v>0</v>
      </c>
      <c r="AY30" t="b">
        <v>0</v>
      </c>
      <c r="AZ30" t="b">
        <v>0</v>
      </c>
      <c r="BA30" t="b">
        <v>0</v>
      </c>
      <c r="BB30" t="s">
        <v>270</v>
      </c>
      <c r="BC30" t="s">
        <v>270</v>
      </c>
      <c r="BD30" t="s">
        <v>273</v>
      </c>
      <c r="BE30" t="s">
        <v>1775</v>
      </c>
      <c r="BF30" t="s">
        <v>1776</v>
      </c>
      <c r="BG30" t="s">
        <v>1777</v>
      </c>
      <c r="BH30" t="s">
        <v>1778</v>
      </c>
      <c r="BI30" t="s">
        <v>1779</v>
      </c>
      <c r="BJ30" t="b">
        <v>1</v>
      </c>
      <c r="BK30" t="b">
        <v>1</v>
      </c>
      <c r="BL30" t="b">
        <v>1</v>
      </c>
      <c r="BM30" t="b">
        <v>0</v>
      </c>
      <c r="BN30" t="b">
        <v>0</v>
      </c>
      <c r="BO30" t="b">
        <v>0</v>
      </c>
      <c r="BP30">
        <v>4</v>
      </c>
      <c r="BQ30">
        <v>14</v>
      </c>
      <c r="BR30">
        <v>1</v>
      </c>
      <c r="BS30">
        <v>1</v>
      </c>
      <c r="BT30" t="b">
        <v>1</v>
      </c>
      <c r="BU30">
        <v>0</v>
      </c>
      <c r="BV30">
        <v>20</v>
      </c>
      <c r="BW30">
        <v>6868</v>
      </c>
      <c r="BX30">
        <v>0</v>
      </c>
      <c r="BY30" t="s">
        <v>270</v>
      </c>
      <c r="BZ30" t="s">
        <v>270</v>
      </c>
      <c r="CA30" t="s">
        <v>273</v>
      </c>
      <c r="CB30" t="s">
        <v>273</v>
      </c>
      <c r="CC30" t="s">
        <v>1780</v>
      </c>
      <c r="CD30" t="s">
        <v>1781</v>
      </c>
      <c r="CE30" t="s">
        <v>1782</v>
      </c>
      <c r="CF30" t="s">
        <v>1783</v>
      </c>
      <c r="CG30">
        <f t="shared" si="0"/>
        <v>400.358642578125</v>
      </c>
      <c r="CH30">
        <f t="shared" si="1"/>
        <v>11400</v>
      </c>
      <c r="CI30">
        <f t="shared" si="2"/>
        <v>3</v>
      </c>
      <c r="CJ30">
        <f t="shared" si="3"/>
        <v>4564088.525390625</v>
      </c>
      <c r="CK30">
        <f t="shared" si="4"/>
        <v>1201.075927734375</v>
      </c>
    </row>
    <row r="31" spans="1:89">
      <c r="A31">
        <v>11879</v>
      </c>
      <c r="B31" t="s">
        <v>1770</v>
      </c>
      <c r="C31">
        <v>600.53796386718795</v>
      </c>
      <c r="D31" t="s">
        <v>1771</v>
      </c>
      <c r="E31">
        <v>1989</v>
      </c>
      <c r="F31" t="s">
        <v>1807</v>
      </c>
      <c r="G31" t="s">
        <v>169</v>
      </c>
      <c r="H31">
        <v>98031</v>
      </c>
      <c r="I31" t="s">
        <v>1785</v>
      </c>
      <c r="J31" t="s">
        <v>1785</v>
      </c>
      <c r="K31" t="s">
        <v>1774</v>
      </c>
      <c r="L31">
        <v>8</v>
      </c>
      <c r="M31">
        <v>2</v>
      </c>
      <c r="N31">
        <v>0</v>
      </c>
      <c r="O31">
        <v>2</v>
      </c>
      <c r="P31">
        <v>0</v>
      </c>
      <c r="Q31">
        <v>9200</v>
      </c>
      <c r="R31">
        <v>9200</v>
      </c>
      <c r="S31">
        <v>0</v>
      </c>
      <c r="T31">
        <v>0</v>
      </c>
      <c r="U31">
        <v>8</v>
      </c>
      <c r="V31">
        <v>0</v>
      </c>
      <c r="W31">
        <v>0</v>
      </c>
      <c r="X31">
        <v>0</v>
      </c>
      <c r="Y31">
        <v>0</v>
      </c>
      <c r="Z31" t="b">
        <v>0</v>
      </c>
      <c r="AA31" t="b">
        <v>0</v>
      </c>
      <c r="AB31">
        <v>8</v>
      </c>
      <c r="AC31">
        <v>837.7666015625</v>
      </c>
      <c r="AD31">
        <v>111624.2109375</v>
      </c>
      <c r="AE31">
        <v>112461.9765625</v>
      </c>
      <c r="AJ31" t="s">
        <v>270</v>
      </c>
      <c r="AK31">
        <v>0</v>
      </c>
      <c r="AL31">
        <v>9</v>
      </c>
      <c r="AM31">
        <v>0</v>
      </c>
      <c r="AN31">
        <v>41</v>
      </c>
      <c r="AO31">
        <v>0</v>
      </c>
      <c r="AP31">
        <v>41</v>
      </c>
      <c r="AQ31">
        <v>0</v>
      </c>
      <c r="AR31">
        <v>0</v>
      </c>
      <c r="AS31">
        <v>9</v>
      </c>
      <c r="AT31" t="b">
        <v>1</v>
      </c>
      <c r="AU31">
        <v>0</v>
      </c>
      <c r="AV31">
        <v>0</v>
      </c>
      <c r="AW31">
        <v>0</v>
      </c>
      <c r="AX31" t="b">
        <v>0</v>
      </c>
      <c r="AY31" t="b">
        <v>0</v>
      </c>
      <c r="AZ31" t="b">
        <v>0</v>
      </c>
      <c r="BA31" t="b">
        <v>0</v>
      </c>
      <c r="BB31" t="s">
        <v>270</v>
      </c>
      <c r="BC31" t="s">
        <v>270</v>
      </c>
      <c r="BD31" t="s">
        <v>273</v>
      </c>
      <c r="BE31" t="s">
        <v>1775</v>
      </c>
      <c r="BF31" t="s">
        <v>1776</v>
      </c>
      <c r="BG31" t="s">
        <v>1777</v>
      </c>
      <c r="BH31" t="s">
        <v>1778</v>
      </c>
      <c r="BI31" t="s">
        <v>1779</v>
      </c>
      <c r="BJ31" t="b">
        <v>1</v>
      </c>
      <c r="BK31" t="b">
        <v>1</v>
      </c>
      <c r="BL31" t="b">
        <v>1</v>
      </c>
      <c r="BM31" t="b">
        <v>0</v>
      </c>
      <c r="BN31" t="b">
        <v>0</v>
      </c>
      <c r="BO31" t="b">
        <v>0</v>
      </c>
      <c r="BP31">
        <v>2</v>
      </c>
      <c r="BQ31">
        <v>10</v>
      </c>
      <c r="BR31">
        <v>1</v>
      </c>
      <c r="BS31">
        <v>1</v>
      </c>
      <c r="BT31" t="b">
        <v>1</v>
      </c>
      <c r="BU31">
        <v>0</v>
      </c>
      <c r="BV31">
        <v>10</v>
      </c>
      <c r="BW31">
        <v>4220</v>
      </c>
      <c r="BX31">
        <v>1</v>
      </c>
      <c r="BY31" t="s">
        <v>273</v>
      </c>
      <c r="BZ31" t="s">
        <v>270</v>
      </c>
      <c r="CA31" t="s">
        <v>273</v>
      </c>
      <c r="CB31" t="s">
        <v>273</v>
      </c>
      <c r="CC31" t="s">
        <v>1780</v>
      </c>
      <c r="CD31" t="s">
        <v>1781</v>
      </c>
      <c r="CE31" t="s">
        <v>1782</v>
      </c>
      <c r="CF31" t="s">
        <v>1783</v>
      </c>
      <c r="CG31">
        <f t="shared" si="0"/>
        <v>600.53796386718795</v>
      </c>
      <c r="CH31">
        <f t="shared" si="1"/>
        <v>9200</v>
      </c>
      <c r="CI31">
        <f t="shared" si="2"/>
        <v>2</v>
      </c>
      <c r="CJ31">
        <f t="shared" si="3"/>
        <v>5524949.2675781287</v>
      </c>
      <c r="CK31">
        <f t="shared" si="4"/>
        <v>1201.0759277343759</v>
      </c>
    </row>
    <row r="32" spans="1:89">
      <c r="A32">
        <v>11887</v>
      </c>
      <c r="B32" t="s">
        <v>1770</v>
      </c>
      <c r="C32">
        <v>53.381153106689503</v>
      </c>
      <c r="D32" t="s">
        <v>1802</v>
      </c>
      <c r="E32">
        <v>1975</v>
      </c>
      <c r="F32" t="s">
        <v>1803</v>
      </c>
      <c r="G32" t="s">
        <v>169</v>
      </c>
      <c r="H32">
        <v>98007</v>
      </c>
      <c r="I32" t="s">
        <v>1785</v>
      </c>
      <c r="K32" t="s">
        <v>1774</v>
      </c>
      <c r="L32">
        <v>90</v>
      </c>
      <c r="M32">
        <v>2</v>
      </c>
      <c r="N32">
        <v>0</v>
      </c>
      <c r="O32">
        <v>2</v>
      </c>
      <c r="P32">
        <v>0</v>
      </c>
      <c r="Q32">
        <v>79068</v>
      </c>
      <c r="R32">
        <v>79068</v>
      </c>
      <c r="S32">
        <v>0</v>
      </c>
      <c r="T32">
        <v>0</v>
      </c>
      <c r="U32">
        <v>18</v>
      </c>
      <c r="V32">
        <v>10</v>
      </c>
      <c r="W32">
        <v>62</v>
      </c>
      <c r="X32">
        <v>0</v>
      </c>
      <c r="Y32">
        <v>0</v>
      </c>
      <c r="Z32" t="b">
        <v>0</v>
      </c>
      <c r="AA32" t="b">
        <v>0</v>
      </c>
      <c r="AB32">
        <v>8</v>
      </c>
      <c r="AC32">
        <v>105241.9296875</v>
      </c>
      <c r="AD32">
        <v>619853.3125</v>
      </c>
      <c r="AE32">
        <v>725095.25</v>
      </c>
      <c r="AI32">
        <v>2474025</v>
      </c>
      <c r="AJ32" t="s">
        <v>270</v>
      </c>
      <c r="AK32">
        <v>0</v>
      </c>
      <c r="AL32">
        <v>15</v>
      </c>
      <c r="AM32">
        <v>0</v>
      </c>
      <c r="AN32">
        <v>35</v>
      </c>
      <c r="AO32">
        <v>0</v>
      </c>
      <c r="AP32">
        <v>35</v>
      </c>
      <c r="AQ32">
        <v>0</v>
      </c>
      <c r="AR32">
        <v>0</v>
      </c>
      <c r="AS32">
        <v>15</v>
      </c>
      <c r="AT32" t="b">
        <v>0</v>
      </c>
      <c r="AU32">
        <v>0</v>
      </c>
      <c r="AV32">
        <v>0</v>
      </c>
      <c r="AW32">
        <v>0</v>
      </c>
      <c r="AX32" t="b">
        <v>0</v>
      </c>
      <c r="AY32" t="b">
        <v>0</v>
      </c>
      <c r="AZ32" t="b">
        <v>0</v>
      </c>
      <c r="BA32" t="b">
        <v>0</v>
      </c>
      <c r="BB32" t="s">
        <v>270</v>
      </c>
      <c r="BC32" t="s">
        <v>270</v>
      </c>
      <c r="BD32" t="s">
        <v>270</v>
      </c>
      <c r="BE32" t="s">
        <v>1775</v>
      </c>
      <c r="BF32" t="s">
        <v>1776</v>
      </c>
      <c r="BG32" t="s">
        <v>1777</v>
      </c>
      <c r="BH32" t="s">
        <v>1778</v>
      </c>
      <c r="BI32" t="s">
        <v>1779</v>
      </c>
      <c r="BJ32" t="b">
        <v>0</v>
      </c>
      <c r="BK32" t="b">
        <v>1</v>
      </c>
      <c r="BL32" t="b">
        <v>0</v>
      </c>
      <c r="BM32" t="b">
        <v>0</v>
      </c>
      <c r="BN32" t="b">
        <v>0</v>
      </c>
      <c r="BO32" t="b">
        <v>0</v>
      </c>
      <c r="BP32">
        <v>6</v>
      </c>
      <c r="BQ32">
        <v>92</v>
      </c>
      <c r="BR32">
        <v>0</v>
      </c>
      <c r="BS32">
        <v>0</v>
      </c>
      <c r="BT32" t="b">
        <v>1</v>
      </c>
      <c r="BU32">
        <v>0</v>
      </c>
      <c r="BV32">
        <v>141</v>
      </c>
      <c r="BW32">
        <v>52950</v>
      </c>
      <c r="BX32">
        <v>0</v>
      </c>
      <c r="BY32" t="s">
        <v>270</v>
      </c>
      <c r="BZ32" t="s">
        <v>270</v>
      </c>
      <c r="CA32" t="s">
        <v>273</v>
      </c>
      <c r="CB32" t="s">
        <v>273</v>
      </c>
      <c r="CC32" t="s">
        <v>1787</v>
      </c>
      <c r="CD32" t="s">
        <v>1781</v>
      </c>
      <c r="CE32" t="s">
        <v>1795</v>
      </c>
      <c r="CF32" t="s">
        <v>1783</v>
      </c>
      <c r="CG32">
        <f t="shared" si="0"/>
        <v>53.381153106689503</v>
      </c>
      <c r="CH32">
        <f t="shared" si="1"/>
        <v>79068</v>
      </c>
      <c r="CI32">
        <f t="shared" si="2"/>
        <v>2</v>
      </c>
      <c r="CJ32">
        <f t="shared" si="3"/>
        <v>4220741.0138397254</v>
      </c>
      <c r="CK32">
        <f t="shared" si="4"/>
        <v>106.76230621337901</v>
      </c>
    </row>
    <row r="33" spans="1:89">
      <c r="A33">
        <v>11930</v>
      </c>
      <c r="B33" t="s">
        <v>1770</v>
      </c>
      <c r="C33">
        <v>600.53796386718795</v>
      </c>
      <c r="D33" t="s">
        <v>1771</v>
      </c>
      <c r="E33">
        <v>1985</v>
      </c>
      <c r="F33" t="s">
        <v>1831</v>
      </c>
      <c r="G33" t="s">
        <v>169</v>
      </c>
      <c r="H33">
        <v>98052</v>
      </c>
      <c r="I33" t="s">
        <v>1785</v>
      </c>
      <c r="J33" t="s">
        <v>1785</v>
      </c>
      <c r="K33" t="s">
        <v>1774</v>
      </c>
      <c r="L33">
        <v>8</v>
      </c>
      <c r="M33">
        <v>2</v>
      </c>
      <c r="N33">
        <v>0</v>
      </c>
      <c r="O33">
        <v>2</v>
      </c>
      <c r="P33">
        <v>0</v>
      </c>
      <c r="Q33">
        <v>7334</v>
      </c>
      <c r="R33">
        <v>7334</v>
      </c>
      <c r="S33">
        <v>202</v>
      </c>
      <c r="T33">
        <v>0</v>
      </c>
      <c r="U33">
        <v>0</v>
      </c>
      <c r="V33">
        <v>8</v>
      </c>
      <c r="W33">
        <v>0</v>
      </c>
      <c r="X33">
        <v>0</v>
      </c>
      <c r="Y33">
        <v>0</v>
      </c>
      <c r="Z33" t="b">
        <v>0</v>
      </c>
      <c r="AA33" t="b">
        <v>1</v>
      </c>
      <c r="AB33">
        <v>7.5999999046325701</v>
      </c>
      <c r="AC33">
        <v>15741.96875</v>
      </c>
      <c r="AD33">
        <v>80916.203125</v>
      </c>
      <c r="AE33">
        <v>96658.171875</v>
      </c>
      <c r="AH33">
        <v>537.02526855468795</v>
      </c>
      <c r="AI33">
        <v>383500.21875</v>
      </c>
      <c r="AJ33" t="s">
        <v>270</v>
      </c>
      <c r="AK33">
        <v>0</v>
      </c>
      <c r="AL33">
        <v>0</v>
      </c>
      <c r="AM33">
        <v>0</v>
      </c>
      <c r="AN33">
        <v>50</v>
      </c>
      <c r="AO33">
        <v>0</v>
      </c>
      <c r="AP33">
        <v>50</v>
      </c>
      <c r="AQ33">
        <v>0</v>
      </c>
      <c r="AR33">
        <v>0</v>
      </c>
      <c r="AS33">
        <v>0</v>
      </c>
      <c r="AT33" t="b">
        <v>1</v>
      </c>
      <c r="AU33">
        <v>4</v>
      </c>
      <c r="AV33">
        <v>4</v>
      </c>
      <c r="AW33">
        <v>0</v>
      </c>
      <c r="AX33" t="b">
        <v>0</v>
      </c>
      <c r="AY33" t="b">
        <v>0</v>
      </c>
      <c r="AZ33" t="b">
        <v>0</v>
      </c>
      <c r="BA33" t="b">
        <v>0</v>
      </c>
      <c r="BB33" t="s">
        <v>270</v>
      </c>
      <c r="BC33" t="s">
        <v>270</v>
      </c>
      <c r="BD33" t="s">
        <v>270</v>
      </c>
      <c r="BE33" t="s">
        <v>1775</v>
      </c>
      <c r="BF33" t="s">
        <v>1776</v>
      </c>
      <c r="BG33" t="s">
        <v>1777</v>
      </c>
      <c r="BH33" t="s">
        <v>1778</v>
      </c>
      <c r="BI33" t="s">
        <v>1790</v>
      </c>
      <c r="BJ33" t="b">
        <v>1</v>
      </c>
      <c r="BK33" t="b">
        <v>1</v>
      </c>
      <c r="BL33" t="b">
        <v>1</v>
      </c>
      <c r="BM33" t="b">
        <v>0</v>
      </c>
      <c r="BN33" t="b">
        <v>0</v>
      </c>
      <c r="BO33" t="b">
        <v>0</v>
      </c>
      <c r="BP33">
        <v>1</v>
      </c>
      <c r="BQ33">
        <v>18</v>
      </c>
      <c r="BR33">
        <v>1</v>
      </c>
      <c r="BS33">
        <v>1</v>
      </c>
      <c r="BT33" t="b">
        <v>1</v>
      </c>
      <c r="BU33">
        <v>0</v>
      </c>
      <c r="BV33">
        <v>15</v>
      </c>
      <c r="BW33">
        <v>4725</v>
      </c>
      <c r="BX33">
        <v>0</v>
      </c>
      <c r="BY33" t="s">
        <v>270</v>
      </c>
      <c r="BZ33" t="s">
        <v>270</v>
      </c>
      <c r="CA33" t="s">
        <v>273</v>
      </c>
      <c r="CB33" t="s">
        <v>273</v>
      </c>
      <c r="CC33" t="s">
        <v>1787</v>
      </c>
      <c r="CD33" t="s">
        <v>1781</v>
      </c>
      <c r="CE33" t="s">
        <v>1782</v>
      </c>
      <c r="CF33" t="s">
        <v>1783</v>
      </c>
      <c r="CG33">
        <f t="shared" si="0"/>
        <v>600.53796386718795</v>
      </c>
      <c r="CH33">
        <f t="shared" si="1"/>
        <v>7334</v>
      </c>
      <c r="CI33">
        <f t="shared" si="2"/>
        <v>2</v>
      </c>
      <c r="CJ33">
        <f t="shared" si="3"/>
        <v>4404345.4270019569</v>
      </c>
      <c r="CK33">
        <f t="shared" si="4"/>
        <v>1201.0759277343759</v>
      </c>
    </row>
    <row r="34" spans="1:89">
      <c r="A34">
        <v>11949</v>
      </c>
      <c r="B34" t="s">
        <v>1799</v>
      </c>
      <c r="C34">
        <v>57.194087982177699</v>
      </c>
      <c r="D34" t="s">
        <v>1808</v>
      </c>
      <c r="E34">
        <v>1992</v>
      </c>
      <c r="F34" t="s">
        <v>1832</v>
      </c>
      <c r="G34" t="s">
        <v>169</v>
      </c>
      <c r="H34">
        <v>98310</v>
      </c>
      <c r="I34" t="s">
        <v>1785</v>
      </c>
      <c r="J34" t="s">
        <v>1833</v>
      </c>
      <c r="K34" t="s">
        <v>1774</v>
      </c>
      <c r="L34">
        <v>84</v>
      </c>
      <c r="M34">
        <v>4</v>
      </c>
      <c r="N34">
        <v>0</v>
      </c>
      <c r="O34">
        <v>4</v>
      </c>
      <c r="P34">
        <v>0</v>
      </c>
      <c r="Q34">
        <v>89445</v>
      </c>
      <c r="R34">
        <v>89445</v>
      </c>
      <c r="S34">
        <v>15245</v>
      </c>
      <c r="T34">
        <v>0</v>
      </c>
      <c r="U34">
        <v>16</v>
      </c>
      <c r="V34">
        <v>68</v>
      </c>
      <c r="W34">
        <v>0</v>
      </c>
      <c r="X34">
        <v>0</v>
      </c>
      <c r="Y34">
        <v>8</v>
      </c>
      <c r="Z34" t="b">
        <v>0</v>
      </c>
      <c r="AA34" t="b">
        <v>1</v>
      </c>
      <c r="AB34">
        <v>8</v>
      </c>
      <c r="AC34">
        <v>91166.6875</v>
      </c>
      <c r="AD34">
        <v>761933.375</v>
      </c>
      <c r="AE34">
        <v>853100.0625</v>
      </c>
      <c r="AI34">
        <v>2910777.5</v>
      </c>
      <c r="AJ34" t="s">
        <v>270</v>
      </c>
      <c r="AK34">
        <v>0</v>
      </c>
      <c r="AL34">
        <v>27</v>
      </c>
      <c r="AM34">
        <v>0</v>
      </c>
      <c r="AN34">
        <v>25</v>
      </c>
      <c r="AO34">
        <v>0</v>
      </c>
      <c r="AP34">
        <v>26</v>
      </c>
      <c r="AQ34">
        <v>0</v>
      </c>
      <c r="AR34">
        <v>0</v>
      </c>
      <c r="AS34">
        <v>21</v>
      </c>
      <c r="AT34" t="b">
        <v>1</v>
      </c>
      <c r="AU34">
        <v>6</v>
      </c>
      <c r="AV34">
        <v>6</v>
      </c>
      <c r="AW34">
        <v>2</v>
      </c>
      <c r="AX34" t="b">
        <v>0</v>
      </c>
      <c r="AY34" t="b">
        <v>0</v>
      </c>
      <c r="AZ34" t="b">
        <v>0</v>
      </c>
      <c r="BA34" t="b">
        <v>0</v>
      </c>
      <c r="BB34" t="s">
        <v>270</v>
      </c>
      <c r="BC34" t="s">
        <v>270</v>
      </c>
      <c r="BD34" t="s">
        <v>270</v>
      </c>
      <c r="BE34" t="s">
        <v>1775</v>
      </c>
      <c r="BF34" t="s">
        <v>1776</v>
      </c>
      <c r="BG34" t="s">
        <v>1777</v>
      </c>
      <c r="BH34" t="s">
        <v>1778</v>
      </c>
      <c r="BI34" t="s">
        <v>1790</v>
      </c>
      <c r="BJ34" t="b">
        <v>0</v>
      </c>
      <c r="BK34" t="b">
        <v>1</v>
      </c>
      <c r="BL34" t="b">
        <v>1</v>
      </c>
      <c r="BM34" t="b">
        <v>0</v>
      </c>
      <c r="BN34" t="b">
        <v>0</v>
      </c>
      <c r="BO34" t="b">
        <v>0</v>
      </c>
      <c r="BP34">
        <v>3</v>
      </c>
      <c r="BQ34">
        <v>87</v>
      </c>
      <c r="BR34">
        <v>1</v>
      </c>
      <c r="BS34">
        <v>1</v>
      </c>
      <c r="BT34" t="b">
        <v>1</v>
      </c>
      <c r="BU34">
        <v>0</v>
      </c>
      <c r="BV34">
        <v>143</v>
      </c>
      <c r="BW34">
        <v>37075</v>
      </c>
      <c r="BX34">
        <v>0</v>
      </c>
      <c r="BY34" t="s">
        <v>270</v>
      </c>
      <c r="BZ34" t="s">
        <v>270</v>
      </c>
      <c r="CA34" t="s">
        <v>273</v>
      </c>
      <c r="CB34" t="s">
        <v>273</v>
      </c>
      <c r="CC34" t="s">
        <v>1780</v>
      </c>
      <c r="CD34" t="s">
        <v>1781</v>
      </c>
      <c r="CE34" t="s">
        <v>1782</v>
      </c>
      <c r="CF34" t="s">
        <v>1783</v>
      </c>
      <c r="CG34" t="str">
        <f t="shared" si="0"/>
        <v/>
      </c>
      <c r="CH34" t="str">
        <f t="shared" si="1"/>
        <v/>
      </c>
      <c r="CI34" t="str">
        <f t="shared" si="2"/>
        <v/>
      </c>
      <c r="CJ34" t="str">
        <f t="shared" si="3"/>
        <v/>
      </c>
      <c r="CK34" t="str">
        <f t="shared" si="4"/>
        <v/>
      </c>
    </row>
    <row r="35" spans="1:89">
      <c r="A35">
        <v>12167</v>
      </c>
      <c r="B35" t="s">
        <v>1770</v>
      </c>
      <c r="C35">
        <v>400.358642578125</v>
      </c>
      <c r="D35" t="s">
        <v>1771</v>
      </c>
      <c r="E35">
        <v>1986</v>
      </c>
      <c r="F35" t="s">
        <v>1807</v>
      </c>
      <c r="G35" t="s">
        <v>169</v>
      </c>
      <c r="H35">
        <v>98030</v>
      </c>
      <c r="I35" t="s">
        <v>1785</v>
      </c>
      <c r="J35" t="s">
        <v>1785</v>
      </c>
      <c r="K35" t="s">
        <v>1774</v>
      </c>
      <c r="L35">
        <v>12</v>
      </c>
      <c r="M35">
        <v>3</v>
      </c>
      <c r="N35">
        <v>0</v>
      </c>
      <c r="O35">
        <v>2</v>
      </c>
      <c r="P35">
        <v>0</v>
      </c>
      <c r="Q35">
        <v>9520</v>
      </c>
      <c r="R35">
        <v>9520</v>
      </c>
      <c r="S35">
        <v>0</v>
      </c>
      <c r="T35">
        <v>0</v>
      </c>
      <c r="U35">
        <v>0</v>
      </c>
      <c r="V35">
        <v>6</v>
      </c>
      <c r="W35">
        <v>6</v>
      </c>
      <c r="X35">
        <v>0</v>
      </c>
      <c r="Y35">
        <v>8</v>
      </c>
      <c r="Z35" t="b">
        <v>0</v>
      </c>
      <c r="AA35" t="b">
        <v>0</v>
      </c>
      <c r="AB35">
        <v>7.75</v>
      </c>
      <c r="AD35">
        <v>96242.0703125</v>
      </c>
      <c r="AE35">
        <v>96242.0703125</v>
      </c>
      <c r="AJ35" t="s">
        <v>270</v>
      </c>
      <c r="AK35">
        <v>0</v>
      </c>
      <c r="AL35">
        <v>50</v>
      </c>
      <c r="AM35">
        <v>0</v>
      </c>
      <c r="AN35">
        <v>0</v>
      </c>
      <c r="AO35">
        <v>0</v>
      </c>
      <c r="AP35">
        <v>0</v>
      </c>
      <c r="AQ35">
        <v>0</v>
      </c>
      <c r="AR35">
        <v>0</v>
      </c>
      <c r="AS35">
        <v>50</v>
      </c>
      <c r="AT35" t="b">
        <v>1</v>
      </c>
      <c r="AU35">
        <v>0</v>
      </c>
      <c r="AV35">
        <v>0</v>
      </c>
      <c r="AW35">
        <v>0</v>
      </c>
      <c r="AX35" t="b">
        <v>0</v>
      </c>
      <c r="AY35" t="b">
        <v>0</v>
      </c>
      <c r="AZ35" t="b">
        <v>0</v>
      </c>
      <c r="BA35" t="b">
        <v>0</v>
      </c>
      <c r="BB35" t="s">
        <v>270</v>
      </c>
      <c r="BC35" t="s">
        <v>270</v>
      </c>
      <c r="BD35" t="s">
        <v>270</v>
      </c>
      <c r="BE35" t="s">
        <v>1775</v>
      </c>
      <c r="BF35" t="s">
        <v>1776</v>
      </c>
      <c r="BG35" t="s">
        <v>1777</v>
      </c>
      <c r="BH35" t="s">
        <v>1778</v>
      </c>
      <c r="BI35" t="s">
        <v>1779</v>
      </c>
      <c r="BJ35" t="b">
        <v>1</v>
      </c>
      <c r="BK35" t="b">
        <v>1</v>
      </c>
      <c r="BL35" t="b">
        <v>1</v>
      </c>
      <c r="BM35" t="b">
        <v>0</v>
      </c>
      <c r="BN35" t="b">
        <v>0</v>
      </c>
      <c r="BO35" t="b">
        <v>0</v>
      </c>
      <c r="BP35">
        <v>2</v>
      </c>
      <c r="BQ35">
        <v>13</v>
      </c>
      <c r="BR35">
        <v>1</v>
      </c>
      <c r="BS35">
        <v>1</v>
      </c>
      <c r="BT35" t="b">
        <v>1</v>
      </c>
      <c r="BU35">
        <v>0</v>
      </c>
      <c r="BV35">
        <v>24</v>
      </c>
      <c r="BW35">
        <v>6828</v>
      </c>
      <c r="BX35">
        <v>0</v>
      </c>
      <c r="BY35" t="s">
        <v>270</v>
      </c>
      <c r="BZ35" t="s">
        <v>270</v>
      </c>
      <c r="CA35" t="s">
        <v>273</v>
      </c>
      <c r="CB35" t="s">
        <v>273</v>
      </c>
      <c r="CC35" t="s">
        <v>1780</v>
      </c>
      <c r="CD35" t="s">
        <v>1781</v>
      </c>
      <c r="CE35" t="s">
        <v>1824</v>
      </c>
      <c r="CF35" t="s">
        <v>1783</v>
      </c>
      <c r="CG35">
        <f t="shared" si="0"/>
        <v>400.358642578125</v>
      </c>
      <c r="CH35">
        <f t="shared" si="1"/>
        <v>9520</v>
      </c>
      <c r="CI35">
        <f t="shared" si="2"/>
        <v>3</v>
      </c>
      <c r="CJ35">
        <f t="shared" si="3"/>
        <v>3811414.27734375</v>
      </c>
      <c r="CK35">
        <f t="shared" si="4"/>
        <v>1201.075927734375</v>
      </c>
    </row>
    <row r="36" spans="1:89">
      <c r="A36">
        <v>12192</v>
      </c>
      <c r="B36" t="s">
        <v>1799</v>
      </c>
      <c r="C36">
        <v>62.4466361999512</v>
      </c>
      <c r="D36" t="s">
        <v>1802</v>
      </c>
      <c r="E36">
        <v>1978</v>
      </c>
      <c r="F36" t="s">
        <v>1834</v>
      </c>
      <c r="G36" t="s">
        <v>169</v>
      </c>
      <c r="H36">
        <v>98020</v>
      </c>
      <c r="I36" t="s">
        <v>1797</v>
      </c>
      <c r="K36" t="s">
        <v>1774</v>
      </c>
      <c r="L36">
        <v>33</v>
      </c>
      <c r="M36">
        <v>4</v>
      </c>
      <c r="N36">
        <v>0</v>
      </c>
      <c r="O36">
        <v>4</v>
      </c>
      <c r="P36">
        <v>1</v>
      </c>
      <c r="Q36">
        <v>60227</v>
      </c>
      <c r="R36">
        <v>60227</v>
      </c>
      <c r="S36">
        <v>9741</v>
      </c>
      <c r="T36">
        <v>0</v>
      </c>
      <c r="U36">
        <v>0</v>
      </c>
      <c r="V36">
        <v>32</v>
      </c>
      <c r="W36">
        <v>1</v>
      </c>
      <c r="X36">
        <v>0</v>
      </c>
      <c r="Y36">
        <v>6</v>
      </c>
      <c r="Z36" t="b">
        <v>0</v>
      </c>
      <c r="AA36" t="b">
        <v>1</v>
      </c>
      <c r="AB36">
        <v>8.75</v>
      </c>
      <c r="AC36">
        <v>65017.8046875</v>
      </c>
      <c r="AD36">
        <v>317975.96875</v>
      </c>
      <c r="AE36">
        <v>382993.78125</v>
      </c>
      <c r="AI36">
        <v>1306774.75</v>
      </c>
      <c r="AJ36" t="s">
        <v>270</v>
      </c>
      <c r="AK36">
        <v>0</v>
      </c>
      <c r="AL36">
        <v>18</v>
      </c>
      <c r="AM36">
        <v>0</v>
      </c>
      <c r="AN36">
        <v>17</v>
      </c>
      <c r="AO36">
        <v>0</v>
      </c>
      <c r="AP36">
        <v>11</v>
      </c>
      <c r="AQ36">
        <v>0</v>
      </c>
      <c r="AR36">
        <v>0</v>
      </c>
      <c r="AS36">
        <v>54</v>
      </c>
      <c r="AT36" t="b">
        <v>1</v>
      </c>
      <c r="AU36">
        <v>0</v>
      </c>
      <c r="AV36">
        <v>0</v>
      </c>
      <c r="AW36">
        <v>1</v>
      </c>
      <c r="AX36" t="b">
        <v>0</v>
      </c>
      <c r="AY36" t="b">
        <v>0</v>
      </c>
      <c r="AZ36" t="b">
        <v>1</v>
      </c>
      <c r="BA36" t="b">
        <v>0</v>
      </c>
      <c r="BB36" t="s">
        <v>270</v>
      </c>
      <c r="BC36" t="s">
        <v>270</v>
      </c>
      <c r="BD36" t="s">
        <v>273</v>
      </c>
      <c r="BE36" t="s">
        <v>1775</v>
      </c>
      <c r="BF36" t="s">
        <v>1776</v>
      </c>
      <c r="BG36" t="s">
        <v>1777</v>
      </c>
      <c r="BH36" t="s">
        <v>1778</v>
      </c>
      <c r="BI36" t="s">
        <v>1790</v>
      </c>
      <c r="BJ36" t="b">
        <v>0</v>
      </c>
      <c r="BK36" t="b">
        <v>1</v>
      </c>
      <c r="BL36" t="b">
        <v>0</v>
      </c>
      <c r="BM36" t="b">
        <v>0</v>
      </c>
      <c r="BN36" t="b">
        <v>0</v>
      </c>
      <c r="BO36" t="b">
        <v>0</v>
      </c>
      <c r="BP36">
        <v>1</v>
      </c>
      <c r="BQ36">
        <v>34</v>
      </c>
      <c r="BR36">
        <v>0</v>
      </c>
      <c r="BS36">
        <v>0</v>
      </c>
      <c r="BT36" t="b">
        <v>1</v>
      </c>
      <c r="BV36">
        <v>65</v>
      </c>
      <c r="BW36">
        <v>10595</v>
      </c>
      <c r="BX36">
        <v>1</v>
      </c>
      <c r="BY36" t="s">
        <v>273</v>
      </c>
      <c r="BZ36" t="s">
        <v>270</v>
      </c>
      <c r="CA36" t="s">
        <v>273</v>
      </c>
      <c r="CB36" t="s">
        <v>270</v>
      </c>
      <c r="CC36" t="s">
        <v>1787</v>
      </c>
      <c r="CD36" t="s">
        <v>1828</v>
      </c>
      <c r="CE36" t="s">
        <v>1825</v>
      </c>
      <c r="CF36" t="s">
        <v>1829</v>
      </c>
      <c r="CG36" t="str">
        <f t="shared" si="0"/>
        <v/>
      </c>
      <c r="CH36" t="str">
        <f t="shared" si="1"/>
        <v/>
      </c>
      <c r="CI36" t="str">
        <f t="shared" si="2"/>
        <v/>
      </c>
      <c r="CJ36" t="str">
        <f t="shared" si="3"/>
        <v/>
      </c>
      <c r="CK36" t="str">
        <f t="shared" si="4"/>
        <v/>
      </c>
    </row>
    <row r="37" spans="1:89">
      <c r="A37">
        <v>12405</v>
      </c>
      <c r="B37" t="s">
        <v>1770</v>
      </c>
      <c r="C37">
        <v>165.66564941406301</v>
      </c>
      <c r="D37" t="s">
        <v>1771</v>
      </c>
      <c r="E37">
        <v>1988</v>
      </c>
      <c r="F37" t="s">
        <v>1835</v>
      </c>
      <c r="G37" t="s">
        <v>169</v>
      </c>
      <c r="H37">
        <v>98198</v>
      </c>
      <c r="I37" t="s">
        <v>1785</v>
      </c>
      <c r="K37" t="s">
        <v>1774</v>
      </c>
      <c r="L37">
        <v>29</v>
      </c>
      <c r="M37">
        <v>3</v>
      </c>
      <c r="N37">
        <v>0</v>
      </c>
      <c r="O37">
        <v>3</v>
      </c>
      <c r="P37">
        <v>0</v>
      </c>
      <c r="Q37">
        <v>18420</v>
      </c>
      <c r="R37">
        <v>18420</v>
      </c>
      <c r="S37">
        <v>0</v>
      </c>
      <c r="T37">
        <v>0</v>
      </c>
      <c r="U37">
        <v>0</v>
      </c>
      <c r="V37">
        <v>12</v>
      </c>
      <c r="W37">
        <v>17</v>
      </c>
      <c r="X37">
        <v>0</v>
      </c>
      <c r="Y37">
        <v>3</v>
      </c>
      <c r="Z37" t="b">
        <v>0</v>
      </c>
      <c r="AA37" t="b">
        <v>0</v>
      </c>
      <c r="AB37">
        <v>8</v>
      </c>
      <c r="AC37">
        <v>29116.56640625</v>
      </c>
      <c r="AD37">
        <v>234250.390625</v>
      </c>
      <c r="AE37">
        <v>263366.96875</v>
      </c>
      <c r="AI37">
        <v>898608.125</v>
      </c>
      <c r="AJ37" t="s">
        <v>270</v>
      </c>
      <c r="AK37">
        <v>0</v>
      </c>
      <c r="AL37">
        <v>18</v>
      </c>
      <c r="AM37">
        <v>0</v>
      </c>
      <c r="AN37">
        <v>12</v>
      </c>
      <c r="AO37">
        <v>0</v>
      </c>
      <c r="AP37">
        <v>30</v>
      </c>
      <c r="AQ37">
        <v>0</v>
      </c>
      <c r="AR37">
        <v>0</v>
      </c>
      <c r="AS37">
        <v>40</v>
      </c>
      <c r="AT37" t="b">
        <v>1</v>
      </c>
      <c r="AU37">
        <v>0</v>
      </c>
      <c r="AV37">
        <v>0</v>
      </c>
      <c r="AW37">
        <v>0</v>
      </c>
      <c r="AX37" t="b">
        <v>0</v>
      </c>
      <c r="AY37" t="b">
        <v>0</v>
      </c>
      <c r="AZ37" t="b">
        <v>0</v>
      </c>
      <c r="BA37" t="b">
        <v>0</v>
      </c>
      <c r="BB37" t="s">
        <v>270</v>
      </c>
      <c r="BC37" t="s">
        <v>270</v>
      </c>
      <c r="BD37" t="s">
        <v>270</v>
      </c>
      <c r="BE37" t="s">
        <v>1775</v>
      </c>
      <c r="BF37" t="s">
        <v>1776</v>
      </c>
      <c r="BG37" t="s">
        <v>1777</v>
      </c>
      <c r="BH37" t="s">
        <v>1778</v>
      </c>
      <c r="BI37" t="s">
        <v>1779</v>
      </c>
      <c r="BJ37" t="b">
        <v>0</v>
      </c>
      <c r="BK37" t="b">
        <v>1</v>
      </c>
      <c r="BL37" t="b">
        <v>0</v>
      </c>
      <c r="BM37" t="b">
        <v>0</v>
      </c>
      <c r="BN37" t="b">
        <v>0</v>
      </c>
      <c r="BO37" t="b">
        <v>0</v>
      </c>
      <c r="BP37">
        <v>17</v>
      </c>
      <c r="BQ37">
        <v>29</v>
      </c>
      <c r="BR37">
        <v>0</v>
      </c>
      <c r="BS37">
        <v>0</v>
      </c>
      <c r="BT37" t="b">
        <v>1</v>
      </c>
      <c r="BU37">
        <v>0</v>
      </c>
      <c r="BX37">
        <v>0</v>
      </c>
      <c r="CC37" t="s">
        <v>1780</v>
      </c>
      <c r="CD37" t="s">
        <v>1781</v>
      </c>
      <c r="CF37" t="s">
        <v>1783</v>
      </c>
      <c r="CG37">
        <f t="shared" si="0"/>
        <v>165.66564941406301</v>
      </c>
      <c r="CH37">
        <f t="shared" si="1"/>
        <v>18420</v>
      </c>
      <c r="CI37">
        <f t="shared" si="2"/>
        <v>3</v>
      </c>
      <c r="CJ37">
        <f t="shared" si="3"/>
        <v>3051561.2622070406</v>
      </c>
      <c r="CK37">
        <f t="shared" si="4"/>
        <v>496.99694824218903</v>
      </c>
    </row>
    <row r="38" spans="1:89">
      <c r="A38">
        <v>12511</v>
      </c>
      <c r="B38" t="s">
        <v>1799</v>
      </c>
      <c r="C38">
        <v>35.170711517333999</v>
      </c>
      <c r="D38" t="s">
        <v>1802</v>
      </c>
      <c r="E38">
        <v>1978</v>
      </c>
      <c r="F38" t="s">
        <v>1793</v>
      </c>
      <c r="G38" t="s">
        <v>170</v>
      </c>
      <c r="H38">
        <v>97401</v>
      </c>
      <c r="I38" t="s">
        <v>1794</v>
      </c>
      <c r="K38" t="s">
        <v>1774</v>
      </c>
      <c r="L38">
        <v>51</v>
      </c>
      <c r="M38">
        <v>4</v>
      </c>
      <c r="N38">
        <v>0</v>
      </c>
      <c r="O38">
        <v>4</v>
      </c>
      <c r="P38">
        <v>0</v>
      </c>
      <c r="Q38">
        <v>40100</v>
      </c>
      <c r="R38">
        <v>40100</v>
      </c>
      <c r="S38">
        <v>3400</v>
      </c>
      <c r="T38">
        <v>0</v>
      </c>
      <c r="U38">
        <v>0</v>
      </c>
      <c r="V38">
        <v>0</v>
      </c>
      <c r="W38">
        <v>51</v>
      </c>
      <c r="X38">
        <v>0</v>
      </c>
      <c r="Y38">
        <v>0</v>
      </c>
      <c r="Z38" t="b">
        <v>0</v>
      </c>
      <c r="AA38" t="b">
        <v>1</v>
      </c>
      <c r="AB38">
        <v>8</v>
      </c>
      <c r="AC38">
        <v>66224.0859375</v>
      </c>
      <c r="AD38">
        <v>261798.6875</v>
      </c>
      <c r="AE38">
        <v>328022.78125</v>
      </c>
      <c r="AI38">
        <v>1119213.75</v>
      </c>
      <c r="AJ38" t="s">
        <v>270</v>
      </c>
      <c r="AK38">
        <v>0</v>
      </c>
      <c r="AL38">
        <v>31</v>
      </c>
      <c r="AM38">
        <v>0</v>
      </c>
      <c r="AN38">
        <v>22</v>
      </c>
      <c r="AO38">
        <v>0</v>
      </c>
      <c r="AP38">
        <v>16</v>
      </c>
      <c r="AQ38">
        <v>0</v>
      </c>
      <c r="AR38">
        <v>0</v>
      </c>
      <c r="AS38">
        <v>31</v>
      </c>
      <c r="AT38" t="b">
        <v>1</v>
      </c>
      <c r="AU38">
        <v>3</v>
      </c>
      <c r="AV38">
        <v>3</v>
      </c>
      <c r="AW38">
        <v>1</v>
      </c>
      <c r="AX38" t="b">
        <v>0</v>
      </c>
      <c r="AY38" t="b">
        <v>0</v>
      </c>
      <c r="AZ38" t="b">
        <v>1</v>
      </c>
      <c r="BA38" t="b">
        <v>0</v>
      </c>
      <c r="BB38" t="s">
        <v>270</v>
      </c>
      <c r="BC38" t="s">
        <v>270</v>
      </c>
      <c r="BD38" t="s">
        <v>270</v>
      </c>
      <c r="BE38" t="s">
        <v>1775</v>
      </c>
      <c r="BF38" t="s">
        <v>1776</v>
      </c>
      <c r="BG38" t="s">
        <v>1777</v>
      </c>
      <c r="BH38" t="s">
        <v>1804</v>
      </c>
      <c r="BI38" t="s">
        <v>1790</v>
      </c>
      <c r="BJ38" t="b">
        <v>0</v>
      </c>
      <c r="BK38" t="b">
        <v>1</v>
      </c>
      <c r="BL38" t="b">
        <v>0</v>
      </c>
      <c r="BM38" t="b">
        <v>0</v>
      </c>
      <c r="BN38" t="b">
        <v>0</v>
      </c>
      <c r="BO38" t="b">
        <v>0</v>
      </c>
      <c r="BP38">
        <v>1</v>
      </c>
      <c r="BQ38">
        <v>52</v>
      </c>
      <c r="BR38">
        <v>0</v>
      </c>
      <c r="BS38">
        <v>0</v>
      </c>
      <c r="BT38" t="b">
        <v>1</v>
      </c>
      <c r="BV38">
        <v>12</v>
      </c>
      <c r="BW38">
        <v>5100</v>
      </c>
      <c r="BX38">
        <v>0</v>
      </c>
      <c r="BY38" t="s">
        <v>270</v>
      </c>
      <c r="BZ38" t="s">
        <v>270</v>
      </c>
      <c r="CA38" t="s">
        <v>270</v>
      </c>
      <c r="CB38" t="s">
        <v>273</v>
      </c>
      <c r="CC38" t="s">
        <v>1780</v>
      </c>
      <c r="CD38" t="s">
        <v>1781</v>
      </c>
      <c r="CE38" t="s">
        <v>1795</v>
      </c>
      <c r="CF38" t="s">
        <v>1783</v>
      </c>
      <c r="CG38" t="str">
        <f t="shared" si="0"/>
        <v/>
      </c>
      <c r="CH38" t="str">
        <f t="shared" si="1"/>
        <v/>
      </c>
      <c r="CI38" t="str">
        <f t="shared" si="2"/>
        <v/>
      </c>
      <c r="CJ38" t="str">
        <f t="shared" si="3"/>
        <v/>
      </c>
      <c r="CK38" t="str">
        <f t="shared" si="4"/>
        <v/>
      </c>
    </row>
    <row r="39" spans="1:89">
      <c r="A39">
        <v>12623</v>
      </c>
      <c r="B39" t="s">
        <v>1770</v>
      </c>
      <c r="C39">
        <v>600.53796386718795</v>
      </c>
      <c r="D39" t="s">
        <v>1792</v>
      </c>
      <c r="E39">
        <v>1968</v>
      </c>
      <c r="F39" t="s">
        <v>1803</v>
      </c>
      <c r="G39" t="s">
        <v>169</v>
      </c>
      <c r="H39">
        <v>98005</v>
      </c>
      <c r="I39" t="s">
        <v>1785</v>
      </c>
      <c r="K39" t="s">
        <v>1774</v>
      </c>
      <c r="L39">
        <v>8</v>
      </c>
      <c r="M39">
        <v>2</v>
      </c>
      <c r="N39">
        <v>0</v>
      </c>
      <c r="O39">
        <v>2</v>
      </c>
      <c r="P39">
        <v>0</v>
      </c>
      <c r="Q39">
        <v>7609</v>
      </c>
      <c r="R39">
        <v>7609</v>
      </c>
      <c r="S39">
        <v>58</v>
      </c>
      <c r="T39">
        <v>0</v>
      </c>
      <c r="U39">
        <v>0</v>
      </c>
      <c r="V39">
        <v>6</v>
      </c>
      <c r="W39">
        <v>2</v>
      </c>
      <c r="X39">
        <v>0</v>
      </c>
      <c r="Y39">
        <v>0</v>
      </c>
      <c r="Z39" t="b">
        <v>0</v>
      </c>
      <c r="AA39" t="b">
        <v>1</v>
      </c>
      <c r="AB39">
        <v>7.75</v>
      </c>
      <c r="AC39">
        <v>85881.28125</v>
      </c>
      <c r="AD39">
        <v>77750.296875</v>
      </c>
      <c r="AE39">
        <v>163631.578125</v>
      </c>
      <c r="AI39">
        <v>558310.9375</v>
      </c>
      <c r="AJ39" t="s">
        <v>270</v>
      </c>
      <c r="AK39">
        <v>0</v>
      </c>
      <c r="AL39">
        <v>2</v>
      </c>
      <c r="AM39">
        <v>0</v>
      </c>
      <c r="AN39">
        <v>73</v>
      </c>
      <c r="AO39">
        <v>0</v>
      </c>
      <c r="AP39">
        <v>23</v>
      </c>
      <c r="AQ39">
        <v>0</v>
      </c>
      <c r="AR39">
        <v>0</v>
      </c>
      <c r="AS39">
        <v>2</v>
      </c>
      <c r="AT39" t="b">
        <v>1</v>
      </c>
      <c r="AU39">
        <v>1</v>
      </c>
      <c r="AV39">
        <v>1</v>
      </c>
      <c r="AW39">
        <v>0</v>
      </c>
      <c r="AX39" t="b">
        <v>0</v>
      </c>
      <c r="AY39" t="b">
        <v>0</v>
      </c>
      <c r="AZ39" t="b">
        <v>0</v>
      </c>
      <c r="BA39" t="b">
        <v>0</v>
      </c>
      <c r="BB39" t="s">
        <v>270</v>
      </c>
      <c r="BC39" t="s">
        <v>270</v>
      </c>
      <c r="BD39" t="s">
        <v>270</v>
      </c>
      <c r="BE39" t="s">
        <v>1775</v>
      </c>
      <c r="BF39" t="s">
        <v>1776</v>
      </c>
      <c r="BG39" t="s">
        <v>1777</v>
      </c>
      <c r="BH39" t="s">
        <v>1778</v>
      </c>
      <c r="BI39" t="s">
        <v>1790</v>
      </c>
      <c r="BJ39" t="b">
        <v>0</v>
      </c>
      <c r="BK39" t="b">
        <v>1</v>
      </c>
      <c r="BL39" t="b">
        <v>0</v>
      </c>
      <c r="BM39" t="b">
        <v>0</v>
      </c>
      <c r="BN39" t="b">
        <v>0</v>
      </c>
      <c r="BO39" t="b">
        <v>0</v>
      </c>
      <c r="BP39">
        <v>2</v>
      </c>
      <c r="BQ39">
        <v>4</v>
      </c>
      <c r="BR39">
        <v>0</v>
      </c>
      <c r="BS39">
        <v>0</v>
      </c>
      <c r="BT39" t="b">
        <v>1</v>
      </c>
      <c r="BU39">
        <v>0</v>
      </c>
      <c r="BV39">
        <v>8</v>
      </c>
      <c r="BW39">
        <v>3400</v>
      </c>
      <c r="BX39">
        <v>0</v>
      </c>
      <c r="BY39" t="s">
        <v>270</v>
      </c>
      <c r="BZ39" t="s">
        <v>270</v>
      </c>
      <c r="CA39" t="s">
        <v>270</v>
      </c>
      <c r="CB39" t="s">
        <v>273</v>
      </c>
      <c r="CC39" t="s">
        <v>1780</v>
      </c>
      <c r="CD39" t="s">
        <v>1781</v>
      </c>
      <c r="CE39" t="s">
        <v>1795</v>
      </c>
      <c r="CF39" t="s">
        <v>1783</v>
      </c>
      <c r="CG39">
        <f t="shared" si="0"/>
        <v>600.53796386718795</v>
      </c>
      <c r="CH39">
        <f t="shared" si="1"/>
        <v>7609</v>
      </c>
      <c r="CI39">
        <f t="shared" si="2"/>
        <v>2</v>
      </c>
      <c r="CJ39">
        <f t="shared" si="3"/>
        <v>4569493.3670654334</v>
      </c>
      <c r="CK39">
        <f t="shared" si="4"/>
        <v>1201.0759277343759</v>
      </c>
    </row>
    <row r="40" spans="1:89">
      <c r="A40">
        <v>12651</v>
      </c>
      <c r="B40" t="s">
        <v>1770</v>
      </c>
      <c r="C40">
        <v>266.90576171875</v>
      </c>
      <c r="D40" t="s">
        <v>1808</v>
      </c>
      <c r="E40">
        <v>1994</v>
      </c>
      <c r="F40" t="s">
        <v>1836</v>
      </c>
      <c r="G40" t="s">
        <v>169</v>
      </c>
      <c r="H40">
        <v>98058</v>
      </c>
      <c r="I40" t="s">
        <v>1785</v>
      </c>
      <c r="J40" t="s">
        <v>1785</v>
      </c>
      <c r="K40" t="s">
        <v>1774</v>
      </c>
      <c r="L40">
        <v>18</v>
      </c>
      <c r="M40">
        <v>3</v>
      </c>
      <c r="N40">
        <v>0</v>
      </c>
      <c r="O40">
        <v>3</v>
      </c>
      <c r="P40">
        <v>0</v>
      </c>
      <c r="Q40">
        <v>16936</v>
      </c>
      <c r="R40">
        <v>16936</v>
      </c>
      <c r="S40">
        <v>0</v>
      </c>
      <c r="T40">
        <v>0</v>
      </c>
      <c r="U40">
        <v>4</v>
      </c>
      <c r="V40">
        <v>14</v>
      </c>
      <c r="W40">
        <v>0</v>
      </c>
      <c r="X40">
        <v>0</v>
      </c>
      <c r="Y40">
        <v>0</v>
      </c>
      <c r="Z40" t="b">
        <v>0</v>
      </c>
      <c r="AA40" t="b">
        <v>0</v>
      </c>
      <c r="AB40">
        <v>8</v>
      </c>
      <c r="AC40">
        <v>21212.740234375</v>
      </c>
      <c r="AD40">
        <v>166615.234375</v>
      </c>
      <c r="AE40">
        <v>187827.96875</v>
      </c>
      <c r="AJ40" t="s">
        <v>270</v>
      </c>
      <c r="AK40">
        <v>0</v>
      </c>
      <c r="AL40">
        <v>1</v>
      </c>
      <c r="AM40">
        <v>0</v>
      </c>
      <c r="AN40">
        <v>65</v>
      </c>
      <c r="AO40">
        <v>0</v>
      </c>
      <c r="AP40">
        <v>33</v>
      </c>
      <c r="AQ40">
        <v>0</v>
      </c>
      <c r="AR40">
        <v>0</v>
      </c>
      <c r="AS40">
        <v>1</v>
      </c>
      <c r="AT40" t="b">
        <v>1</v>
      </c>
      <c r="AU40">
        <v>0</v>
      </c>
      <c r="AV40">
        <v>0</v>
      </c>
      <c r="AW40">
        <v>0</v>
      </c>
      <c r="AX40" t="b">
        <v>0</v>
      </c>
      <c r="AY40" t="b">
        <v>0</v>
      </c>
      <c r="AZ40" t="b">
        <v>0</v>
      </c>
      <c r="BA40" t="b">
        <v>0</v>
      </c>
      <c r="BB40" t="s">
        <v>270</v>
      </c>
      <c r="BC40" t="s">
        <v>270</v>
      </c>
      <c r="BD40" t="s">
        <v>270</v>
      </c>
      <c r="BE40" t="s">
        <v>1775</v>
      </c>
      <c r="BF40" t="s">
        <v>1776</v>
      </c>
      <c r="BG40" t="s">
        <v>1777</v>
      </c>
      <c r="BH40" t="s">
        <v>1804</v>
      </c>
      <c r="BI40" t="s">
        <v>1779</v>
      </c>
      <c r="BJ40" t="b">
        <v>1</v>
      </c>
      <c r="BK40" t="b">
        <v>1</v>
      </c>
      <c r="BL40" t="b">
        <v>1</v>
      </c>
      <c r="BM40" t="b">
        <v>0</v>
      </c>
      <c r="BN40" t="b">
        <v>0</v>
      </c>
      <c r="BO40" t="b">
        <v>0</v>
      </c>
      <c r="BP40">
        <v>5</v>
      </c>
      <c r="BQ40">
        <v>19</v>
      </c>
      <c r="BR40">
        <v>1</v>
      </c>
      <c r="BS40">
        <v>1</v>
      </c>
      <c r="BT40" t="b">
        <v>1</v>
      </c>
      <c r="BU40">
        <v>0</v>
      </c>
      <c r="BV40">
        <v>24</v>
      </c>
      <c r="BW40">
        <v>4760</v>
      </c>
      <c r="BX40">
        <v>0</v>
      </c>
      <c r="BY40" t="s">
        <v>270</v>
      </c>
      <c r="BZ40" t="s">
        <v>270</v>
      </c>
      <c r="CA40" t="s">
        <v>273</v>
      </c>
      <c r="CB40" t="s">
        <v>273</v>
      </c>
      <c r="CC40" t="s">
        <v>1780</v>
      </c>
      <c r="CD40" t="s">
        <v>1781</v>
      </c>
      <c r="CE40" t="s">
        <v>1782</v>
      </c>
      <c r="CF40" t="s">
        <v>1783</v>
      </c>
      <c r="CG40">
        <f t="shared" si="0"/>
        <v>266.90576171875</v>
      </c>
      <c r="CH40">
        <f t="shared" si="1"/>
        <v>16936</v>
      </c>
      <c r="CI40">
        <f t="shared" si="2"/>
        <v>3</v>
      </c>
      <c r="CJ40">
        <f t="shared" si="3"/>
        <v>4520315.98046875</v>
      </c>
      <c r="CK40">
        <f t="shared" si="4"/>
        <v>800.71728515625</v>
      </c>
    </row>
    <row r="41" spans="1:89">
      <c r="A41">
        <v>12783</v>
      </c>
      <c r="B41" t="s">
        <v>1799</v>
      </c>
      <c r="C41">
        <v>35.330135345458999</v>
      </c>
      <c r="D41" t="s">
        <v>1771</v>
      </c>
      <c r="E41">
        <v>1987</v>
      </c>
      <c r="F41" t="s">
        <v>1788</v>
      </c>
      <c r="G41" t="s">
        <v>169</v>
      </c>
      <c r="H41">
        <v>98122</v>
      </c>
      <c r="I41" t="s">
        <v>1789</v>
      </c>
      <c r="K41" t="s">
        <v>1774</v>
      </c>
      <c r="L41">
        <v>31</v>
      </c>
      <c r="M41">
        <v>4</v>
      </c>
      <c r="N41">
        <v>0</v>
      </c>
      <c r="O41">
        <v>4</v>
      </c>
      <c r="P41">
        <v>1</v>
      </c>
      <c r="Q41">
        <v>27715</v>
      </c>
      <c r="R41">
        <v>27715</v>
      </c>
      <c r="S41">
        <v>5180</v>
      </c>
      <c r="T41">
        <v>0</v>
      </c>
      <c r="U41">
        <v>0</v>
      </c>
      <c r="V41">
        <v>8</v>
      </c>
      <c r="W41">
        <v>21</v>
      </c>
      <c r="X41">
        <v>2</v>
      </c>
      <c r="Y41">
        <v>3</v>
      </c>
      <c r="Z41" t="b">
        <v>0</v>
      </c>
      <c r="AA41" t="b">
        <v>1</v>
      </c>
      <c r="AB41">
        <v>8</v>
      </c>
      <c r="AC41">
        <v>43738.10546875</v>
      </c>
      <c r="AD41">
        <v>187020.859375</v>
      </c>
      <c r="AE41">
        <v>230758.96875</v>
      </c>
      <c r="AI41">
        <v>787349.625</v>
      </c>
      <c r="AJ41" t="s">
        <v>270</v>
      </c>
      <c r="AL41">
        <v>0</v>
      </c>
      <c r="AM41">
        <v>16</v>
      </c>
      <c r="AN41">
        <v>0</v>
      </c>
      <c r="AO41">
        <v>28</v>
      </c>
      <c r="AP41">
        <v>0</v>
      </c>
      <c r="AQ41">
        <v>27</v>
      </c>
      <c r="AR41">
        <v>29</v>
      </c>
      <c r="AS41">
        <v>0</v>
      </c>
      <c r="AT41" t="b">
        <v>1</v>
      </c>
      <c r="AU41">
        <v>4</v>
      </c>
      <c r="AV41">
        <v>4</v>
      </c>
      <c r="AW41">
        <v>1</v>
      </c>
      <c r="AX41" t="b">
        <v>0</v>
      </c>
      <c r="AY41" t="b">
        <v>0</v>
      </c>
      <c r="AZ41" t="b">
        <v>1</v>
      </c>
      <c r="BA41" t="b">
        <v>0</v>
      </c>
      <c r="BB41" t="s">
        <v>270</v>
      </c>
      <c r="BC41" t="s">
        <v>270</v>
      </c>
      <c r="BD41" t="s">
        <v>270</v>
      </c>
      <c r="BE41" t="s">
        <v>1775</v>
      </c>
      <c r="BF41" t="s">
        <v>1776</v>
      </c>
      <c r="BG41" t="s">
        <v>1777</v>
      </c>
      <c r="BH41" t="s">
        <v>1778</v>
      </c>
      <c r="BI41" t="s">
        <v>1790</v>
      </c>
      <c r="BJ41" t="b">
        <v>0</v>
      </c>
      <c r="BK41" t="b">
        <v>1</v>
      </c>
      <c r="BL41" t="b">
        <v>0</v>
      </c>
      <c r="BM41" t="b">
        <v>0</v>
      </c>
      <c r="BN41" t="b">
        <v>0</v>
      </c>
      <c r="BO41" t="b">
        <v>0</v>
      </c>
      <c r="BP41">
        <v>1</v>
      </c>
      <c r="BQ41">
        <v>32</v>
      </c>
      <c r="BR41">
        <v>0</v>
      </c>
      <c r="BS41">
        <v>0</v>
      </c>
      <c r="BT41" t="b">
        <v>1</v>
      </c>
      <c r="BU41">
        <v>0</v>
      </c>
      <c r="BV41">
        <v>30</v>
      </c>
      <c r="BW41">
        <v>8820</v>
      </c>
      <c r="BX41">
        <v>1</v>
      </c>
      <c r="BY41" t="s">
        <v>273</v>
      </c>
      <c r="BZ41" t="s">
        <v>270</v>
      </c>
      <c r="CA41" t="s">
        <v>270</v>
      </c>
      <c r="CB41" t="s">
        <v>273</v>
      </c>
      <c r="CC41" t="s">
        <v>1787</v>
      </c>
      <c r="CD41" t="s">
        <v>1781</v>
      </c>
      <c r="CE41" t="s">
        <v>1798</v>
      </c>
      <c r="CF41" t="s">
        <v>1783</v>
      </c>
      <c r="CG41" t="str">
        <f t="shared" si="0"/>
        <v/>
      </c>
      <c r="CH41" t="str">
        <f t="shared" si="1"/>
        <v/>
      </c>
      <c r="CI41" t="str">
        <f t="shared" si="2"/>
        <v/>
      </c>
      <c r="CJ41" t="str">
        <f t="shared" si="3"/>
        <v/>
      </c>
      <c r="CK41" t="str">
        <f t="shared" si="4"/>
        <v/>
      </c>
    </row>
    <row r="42" spans="1:89">
      <c r="A42">
        <v>12932</v>
      </c>
      <c r="B42" t="s">
        <v>1799</v>
      </c>
      <c r="C42">
        <v>137.38261413574199</v>
      </c>
      <c r="D42" t="s">
        <v>1792</v>
      </c>
      <c r="E42">
        <v>1967</v>
      </c>
      <c r="F42" t="s">
        <v>1834</v>
      </c>
      <c r="G42" t="s">
        <v>169</v>
      </c>
      <c r="H42">
        <v>98020</v>
      </c>
      <c r="I42" t="s">
        <v>1797</v>
      </c>
      <c r="K42" t="s">
        <v>1774</v>
      </c>
      <c r="L42">
        <v>15</v>
      </c>
      <c r="M42">
        <v>3</v>
      </c>
      <c r="N42">
        <v>0</v>
      </c>
      <c r="O42">
        <v>4</v>
      </c>
      <c r="P42">
        <v>0</v>
      </c>
      <c r="Q42">
        <v>21327</v>
      </c>
      <c r="R42">
        <v>21327</v>
      </c>
      <c r="S42">
        <v>2757</v>
      </c>
      <c r="T42">
        <v>0</v>
      </c>
      <c r="U42">
        <v>0</v>
      </c>
      <c r="V42">
        <v>15</v>
      </c>
      <c r="W42">
        <v>0</v>
      </c>
      <c r="X42">
        <v>0</v>
      </c>
      <c r="Y42">
        <v>13</v>
      </c>
      <c r="Z42" t="b">
        <v>0</v>
      </c>
      <c r="AA42" t="b">
        <v>1</v>
      </c>
      <c r="AB42">
        <v>7.75</v>
      </c>
      <c r="AJ42" t="s">
        <v>270</v>
      </c>
      <c r="AK42">
        <v>0</v>
      </c>
      <c r="AL42">
        <v>5</v>
      </c>
      <c r="AM42">
        <v>0</v>
      </c>
      <c r="AN42">
        <v>56</v>
      </c>
      <c r="AO42">
        <v>0</v>
      </c>
      <c r="AP42">
        <v>25</v>
      </c>
      <c r="AQ42">
        <v>0</v>
      </c>
      <c r="AR42">
        <v>0</v>
      </c>
      <c r="AS42">
        <v>14</v>
      </c>
      <c r="AT42" t="b">
        <v>1</v>
      </c>
      <c r="AU42">
        <v>0</v>
      </c>
      <c r="AV42">
        <v>0</v>
      </c>
      <c r="AW42">
        <v>2</v>
      </c>
      <c r="AX42" t="b">
        <v>0</v>
      </c>
      <c r="AY42" t="b">
        <v>0</v>
      </c>
      <c r="AZ42" t="b">
        <v>1</v>
      </c>
      <c r="BA42" t="b">
        <v>0</v>
      </c>
      <c r="BB42" t="s">
        <v>270</v>
      </c>
      <c r="BC42" t="s">
        <v>270</v>
      </c>
      <c r="BD42" t="s">
        <v>270</v>
      </c>
      <c r="BE42" t="s">
        <v>1809</v>
      </c>
      <c r="BF42" t="s">
        <v>1776</v>
      </c>
      <c r="BG42" t="s">
        <v>1777</v>
      </c>
      <c r="BH42" t="s">
        <v>1778</v>
      </c>
      <c r="BI42" t="s">
        <v>1779</v>
      </c>
      <c r="BJ42" t="b">
        <v>0</v>
      </c>
      <c r="BK42" t="b">
        <v>1</v>
      </c>
      <c r="BL42" t="b">
        <v>0</v>
      </c>
      <c r="BM42" t="b">
        <v>0</v>
      </c>
      <c r="BN42" t="b">
        <v>0</v>
      </c>
      <c r="BO42" t="b">
        <v>0</v>
      </c>
      <c r="BP42">
        <v>1</v>
      </c>
      <c r="BQ42">
        <v>18</v>
      </c>
      <c r="BR42">
        <v>0</v>
      </c>
      <c r="BS42">
        <v>0</v>
      </c>
      <c r="BT42" t="b">
        <v>1</v>
      </c>
      <c r="BU42">
        <v>0</v>
      </c>
      <c r="BV42">
        <v>22</v>
      </c>
      <c r="BW42">
        <v>7520</v>
      </c>
      <c r="BX42">
        <v>1</v>
      </c>
      <c r="BY42" t="s">
        <v>270</v>
      </c>
      <c r="BZ42" t="s">
        <v>273</v>
      </c>
      <c r="CA42" t="s">
        <v>270</v>
      </c>
      <c r="CB42" t="s">
        <v>273</v>
      </c>
      <c r="CC42" t="s">
        <v>1780</v>
      </c>
      <c r="CD42" t="s">
        <v>1781</v>
      </c>
      <c r="CE42" t="s">
        <v>1782</v>
      </c>
      <c r="CF42" t="s">
        <v>1783</v>
      </c>
      <c r="CG42" t="str">
        <f t="shared" si="0"/>
        <v/>
      </c>
      <c r="CH42" t="str">
        <f t="shared" si="1"/>
        <v/>
      </c>
      <c r="CI42" t="str">
        <f t="shared" si="2"/>
        <v/>
      </c>
      <c r="CJ42" t="str">
        <f t="shared" si="3"/>
        <v/>
      </c>
      <c r="CK42" t="str">
        <f t="shared" si="4"/>
        <v/>
      </c>
    </row>
    <row r="43" spans="1:89">
      <c r="A43">
        <v>12986</v>
      </c>
      <c r="B43" t="s">
        <v>1799</v>
      </c>
      <c r="C43">
        <v>19.080919265747099</v>
      </c>
      <c r="D43" t="s">
        <v>1806</v>
      </c>
      <c r="E43">
        <v>2011</v>
      </c>
      <c r="F43" t="s">
        <v>1817</v>
      </c>
      <c r="G43" t="s">
        <v>169</v>
      </c>
      <c r="H43">
        <v>98201</v>
      </c>
      <c r="I43" t="s">
        <v>1797</v>
      </c>
      <c r="J43" t="s">
        <v>1785</v>
      </c>
      <c r="K43" t="s">
        <v>1774</v>
      </c>
      <c r="L43">
        <v>108</v>
      </c>
      <c r="M43">
        <v>3</v>
      </c>
      <c r="N43">
        <v>1</v>
      </c>
      <c r="O43">
        <v>4</v>
      </c>
      <c r="P43">
        <v>0</v>
      </c>
      <c r="Q43">
        <v>99751</v>
      </c>
      <c r="R43">
        <v>84334</v>
      </c>
      <c r="S43">
        <v>13498</v>
      </c>
      <c r="T43">
        <v>0</v>
      </c>
      <c r="U43">
        <v>0</v>
      </c>
      <c r="V43">
        <v>24</v>
      </c>
      <c r="W43">
        <v>74</v>
      </c>
      <c r="X43">
        <v>10</v>
      </c>
      <c r="Y43">
        <v>25</v>
      </c>
      <c r="Z43" t="b">
        <v>1</v>
      </c>
      <c r="AA43" t="b">
        <v>1</v>
      </c>
      <c r="AB43">
        <v>8</v>
      </c>
      <c r="AC43">
        <v>239010.0625</v>
      </c>
      <c r="AD43">
        <v>273125.0625</v>
      </c>
      <c r="AE43">
        <v>512135.125</v>
      </c>
      <c r="AH43">
        <v>23241.1796875</v>
      </c>
      <c r="AI43">
        <v>4071523</v>
      </c>
      <c r="AJ43" t="s">
        <v>273</v>
      </c>
      <c r="AK43">
        <v>15417</v>
      </c>
      <c r="AL43">
        <v>22</v>
      </c>
      <c r="AM43">
        <v>0</v>
      </c>
      <c r="AN43">
        <v>18</v>
      </c>
      <c r="AO43">
        <v>0</v>
      </c>
      <c r="AP43">
        <v>43</v>
      </c>
      <c r="AQ43">
        <v>0</v>
      </c>
      <c r="AR43">
        <v>0</v>
      </c>
      <c r="AS43">
        <v>17</v>
      </c>
      <c r="AT43" t="b">
        <v>0</v>
      </c>
      <c r="AU43">
        <v>0</v>
      </c>
      <c r="AV43">
        <v>0</v>
      </c>
      <c r="AW43">
        <v>2</v>
      </c>
      <c r="AX43" t="b">
        <v>0</v>
      </c>
      <c r="AY43" t="b">
        <v>0</v>
      </c>
      <c r="AZ43" t="b">
        <v>1</v>
      </c>
      <c r="BA43" t="b">
        <v>1</v>
      </c>
      <c r="BB43" t="s">
        <v>270</v>
      </c>
      <c r="BC43" t="s">
        <v>273</v>
      </c>
      <c r="BD43" t="s">
        <v>270</v>
      </c>
      <c r="BE43" t="s">
        <v>1775</v>
      </c>
      <c r="BF43" t="s">
        <v>1776</v>
      </c>
      <c r="BG43" t="s">
        <v>1777</v>
      </c>
      <c r="BH43" t="s">
        <v>1778</v>
      </c>
      <c r="BI43" t="s">
        <v>1790</v>
      </c>
      <c r="BJ43" t="b">
        <v>1</v>
      </c>
      <c r="BK43" t="b">
        <v>1</v>
      </c>
      <c r="BL43" t="b">
        <v>1</v>
      </c>
      <c r="BM43" t="b">
        <v>0</v>
      </c>
      <c r="BN43" t="b">
        <v>0</v>
      </c>
      <c r="BO43" t="b">
        <v>0</v>
      </c>
      <c r="BP43">
        <v>1</v>
      </c>
      <c r="BQ43">
        <v>111</v>
      </c>
      <c r="BR43">
        <v>1</v>
      </c>
      <c r="BS43">
        <v>1</v>
      </c>
      <c r="BT43" t="b">
        <v>1</v>
      </c>
      <c r="BU43">
        <v>30</v>
      </c>
      <c r="BV43">
        <v>108</v>
      </c>
      <c r="BW43">
        <v>46367</v>
      </c>
      <c r="BX43">
        <v>1</v>
      </c>
      <c r="BY43" t="s">
        <v>273</v>
      </c>
      <c r="BZ43" t="s">
        <v>270</v>
      </c>
      <c r="CA43" t="s">
        <v>270</v>
      </c>
      <c r="CB43" t="s">
        <v>270</v>
      </c>
      <c r="CC43" t="s">
        <v>1780</v>
      </c>
      <c r="CD43" t="s">
        <v>1781</v>
      </c>
      <c r="CE43" t="s">
        <v>1801</v>
      </c>
      <c r="CF43" t="s">
        <v>1783</v>
      </c>
      <c r="CG43" t="str">
        <f t="shared" si="0"/>
        <v/>
      </c>
      <c r="CH43" t="str">
        <f t="shared" si="1"/>
        <v/>
      </c>
      <c r="CI43" t="str">
        <f t="shared" si="2"/>
        <v/>
      </c>
      <c r="CJ43" t="str">
        <f t="shared" si="3"/>
        <v/>
      </c>
      <c r="CK43" t="str">
        <f t="shared" si="4"/>
        <v/>
      </c>
    </row>
    <row r="44" spans="1:89">
      <c r="A44">
        <v>12998</v>
      </c>
      <c r="B44" t="s">
        <v>1770</v>
      </c>
      <c r="C44">
        <v>34.226070404052699</v>
      </c>
      <c r="D44" t="s">
        <v>1802</v>
      </c>
      <c r="E44">
        <v>1979</v>
      </c>
      <c r="F44" t="s">
        <v>1837</v>
      </c>
      <c r="G44" t="s">
        <v>169</v>
      </c>
      <c r="H44">
        <v>98166</v>
      </c>
      <c r="I44" t="s">
        <v>1789</v>
      </c>
      <c r="K44" t="s">
        <v>1774</v>
      </c>
      <c r="L44">
        <v>32</v>
      </c>
      <c r="M44">
        <v>3</v>
      </c>
      <c r="N44">
        <v>0</v>
      </c>
      <c r="O44">
        <v>3</v>
      </c>
      <c r="P44">
        <v>0</v>
      </c>
      <c r="Q44">
        <v>39004</v>
      </c>
      <c r="R44">
        <v>39004</v>
      </c>
      <c r="S44">
        <v>5474</v>
      </c>
      <c r="T44">
        <v>0</v>
      </c>
      <c r="U44">
        <v>0</v>
      </c>
      <c r="V44">
        <v>32</v>
      </c>
      <c r="W44">
        <v>0</v>
      </c>
      <c r="X44">
        <v>0</v>
      </c>
      <c r="Y44">
        <v>3</v>
      </c>
      <c r="Z44" t="b">
        <v>0</v>
      </c>
      <c r="AA44" t="b">
        <v>1</v>
      </c>
      <c r="AB44">
        <v>8</v>
      </c>
      <c r="AC44">
        <v>29754.669921875</v>
      </c>
      <c r="AD44">
        <v>234990.96875</v>
      </c>
      <c r="AE44">
        <v>264745.625</v>
      </c>
      <c r="AI44">
        <v>903312.0625</v>
      </c>
      <c r="AJ44" t="s">
        <v>270</v>
      </c>
      <c r="AK44">
        <v>0</v>
      </c>
      <c r="AL44">
        <v>18</v>
      </c>
      <c r="AM44">
        <v>0</v>
      </c>
      <c r="AN44">
        <v>27</v>
      </c>
      <c r="AO44">
        <v>0</v>
      </c>
      <c r="AP44">
        <v>37</v>
      </c>
      <c r="AQ44">
        <v>0</v>
      </c>
      <c r="AR44">
        <v>0</v>
      </c>
      <c r="AS44">
        <v>18</v>
      </c>
      <c r="AT44" t="b">
        <v>1</v>
      </c>
      <c r="AU44">
        <v>0</v>
      </c>
      <c r="AV44">
        <v>0</v>
      </c>
      <c r="AW44">
        <v>1</v>
      </c>
      <c r="AX44" t="b">
        <v>0</v>
      </c>
      <c r="AY44" t="b">
        <v>0</v>
      </c>
      <c r="AZ44" t="b">
        <v>0</v>
      </c>
      <c r="BA44" t="b">
        <v>0</v>
      </c>
      <c r="BB44" t="s">
        <v>270</v>
      </c>
      <c r="BC44" t="s">
        <v>270</v>
      </c>
      <c r="BD44" t="s">
        <v>270</v>
      </c>
      <c r="BE44" t="s">
        <v>1775</v>
      </c>
      <c r="BF44" t="s">
        <v>1776</v>
      </c>
      <c r="BG44" t="s">
        <v>1777</v>
      </c>
      <c r="BH44" t="s">
        <v>1778</v>
      </c>
      <c r="BI44" t="s">
        <v>1779</v>
      </c>
      <c r="BJ44" t="b">
        <v>0</v>
      </c>
      <c r="BK44" t="b">
        <v>1</v>
      </c>
      <c r="BL44" t="b">
        <v>0</v>
      </c>
      <c r="BM44" t="b">
        <v>0</v>
      </c>
      <c r="BN44" t="b">
        <v>0</v>
      </c>
      <c r="BO44" t="b">
        <v>0</v>
      </c>
      <c r="BP44">
        <v>1</v>
      </c>
      <c r="BQ44">
        <v>33</v>
      </c>
      <c r="BR44">
        <v>0</v>
      </c>
      <c r="BS44">
        <v>0</v>
      </c>
      <c r="BT44" t="b">
        <v>1</v>
      </c>
      <c r="BU44">
        <v>0</v>
      </c>
      <c r="BV44">
        <v>44</v>
      </c>
      <c r="BW44">
        <v>10160</v>
      </c>
      <c r="BX44">
        <v>1</v>
      </c>
      <c r="BY44" t="s">
        <v>273</v>
      </c>
      <c r="BZ44" t="s">
        <v>270</v>
      </c>
      <c r="CA44" t="s">
        <v>270</v>
      </c>
      <c r="CB44" t="s">
        <v>273</v>
      </c>
      <c r="CC44" t="s">
        <v>1787</v>
      </c>
      <c r="CD44" t="s">
        <v>1781</v>
      </c>
      <c r="CE44" t="s">
        <v>1801</v>
      </c>
      <c r="CF44" t="s">
        <v>1783</v>
      </c>
      <c r="CG44">
        <f t="shared" si="0"/>
        <v>34.226070404052699</v>
      </c>
      <c r="CH44">
        <f t="shared" si="1"/>
        <v>39004</v>
      </c>
      <c r="CI44">
        <f t="shared" si="2"/>
        <v>3</v>
      </c>
      <c r="CJ44">
        <f t="shared" si="3"/>
        <v>1334953.6500396715</v>
      </c>
      <c r="CK44">
        <f t="shared" si="4"/>
        <v>102.67821121215809</v>
      </c>
    </row>
    <row r="45" spans="1:89">
      <c r="A45">
        <v>13039</v>
      </c>
      <c r="B45" t="s">
        <v>1799</v>
      </c>
      <c r="C45">
        <v>66.475456237792997</v>
      </c>
      <c r="D45" t="s">
        <v>1802</v>
      </c>
      <c r="E45">
        <v>1972</v>
      </c>
      <c r="F45" t="s">
        <v>1805</v>
      </c>
      <c r="G45" t="s">
        <v>169</v>
      </c>
      <c r="H45">
        <v>98275</v>
      </c>
      <c r="I45" t="s">
        <v>1797</v>
      </c>
      <c r="J45" t="s">
        <v>1785</v>
      </c>
      <c r="K45" t="s">
        <v>1774</v>
      </c>
      <c r="L45">
        <v>31</v>
      </c>
      <c r="M45">
        <v>3</v>
      </c>
      <c r="N45">
        <v>0</v>
      </c>
      <c r="O45">
        <v>4</v>
      </c>
      <c r="P45">
        <v>1</v>
      </c>
      <c r="Q45">
        <v>51204</v>
      </c>
      <c r="R45">
        <v>51204</v>
      </c>
      <c r="S45">
        <v>3991</v>
      </c>
      <c r="T45">
        <v>0</v>
      </c>
      <c r="U45">
        <v>2</v>
      </c>
      <c r="V45">
        <v>23</v>
      </c>
      <c r="W45">
        <v>5</v>
      </c>
      <c r="X45">
        <v>1</v>
      </c>
      <c r="Y45">
        <v>3</v>
      </c>
      <c r="Z45" t="b">
        <v>0</v>
      </c>
      <c r="AA45" t="b">
        <v>1</v>
      </c>
      <c r="AB45">
        <v>8</v>
      </c>
      <c r="AC45">
        <v>2366.31103515625</v>
      </c>
      <c r="AD45">
        <v>240126.75</v>
      </c>
      <c r="AE45">
        <v>242493.0625</v>
      </c>
      <c r="AH45">
        <v>3506.25170898438</v>
      </c>
      <c r="AI45">
        <v>1178011.5</v>
      </c>
      <c r="AJ45" t="s">
        <v>273</v>
      </c>
      <c r="AK45">
        <v>0</v>
      </c>
      <c r="AL45">
        <v>6</v>
      </c>
      <c r="AM45">
        <v>0</v>
      </c>
      <c r="AN45">
        <v>65</v>
      </c>
      <c r="AO45">
        <v>0</v>
      </c>
      <c r="AP45">
        <v>15</v>
      </c>
      <c r="AQ45">
        <v>0</v>
      </c>
      <c r="AR45">
        <v>0</v>
      </c>
      <c r="AS45">
        <v>14</v>
      </c>
      <c r="AT45" t="b">
        <v>1</v>
      </c>
      <c r="AU45">
        <v>0</v>
      </c>
      <c r="AV45">
        <v>0</v>
      </c>
      <c r="AW45">
        <v>1</v>
      </c>
      <c r="AX45" t="b">
        <v>0</v>
      </c>
      <c r="AY45" t="b">
        <v>0</v>
      </c>
      <c r="AZ45" t="b">
        <v>1</v>
      </c>
      <c r="BA45" t="b">
        <v>0</v>
      </c>
      <c r="BB45" t="s">
        <v>270</v>
      </c>
      <c r="BC45" t="s">
        <v>270</v>
      </c>
      <c r="BD45" t="s">
        <v>273</v>
      </c>
      <c r="BE45" t="s">
        <v>1775</v>
      </c>
      <c r="BF45" t="s">
        <v>1776</v>
      </c>
      <c r="BG45" t="s">
        <v>1777</v>
      </c>
      <c r="BH45" t="s">
        <v>1778</v>
      </c>
      <c r="BI45" t="s">
        <v>1790</v>
      </c>
      <c r="BJ45" t="b">
        <v>1</v>
      </c>
      <c r="BK45" t="b">
        <v>1</v>
      </c>
      <c r="BL45" t="b">
        <v>1</v>
      </c>
      <c r="BM45" t="b">
        <v>0</v>
      </c>
      <c r="BN45" t="b">
        <v>0</v>
      </c>
      <c r="BO45" t="b">
        <v>0</v>
      </c>
      <c r="BP45">
        <v>2</v>
      </c>
      <c r="BQ45">
        <v>33</v>
      </c>
      <c r="BR45">
        <v>1</v>
      </c>
      <c r="BS45">
        <v>1</v>
      </c>
      <c r="BT45" t="b">
        <v>1</v>
      </c>
      <c r="BU45">
        <v>0</v>
      </c>
      <c r="BV45">
        <v>55</v>
      </c>
      <c r="BW45">
        <v>19887</v>
      </c>
      <c r="BX45">
        <v>1</v>
      </c>
      <c r="BY45" t="s">
        <v>273</v>
      </c>
      <c r="BZ45" t="s">
        <v>270</v>
      </c>
      <c r="CA45" t="s">
        <v>273</v>
      </c>
      <c r="CB45" t="s">
        <v>273</v>
      </c>
      <c r="CC45" t="s">
        <v>1787</v>
      </c>
      <c r="CD45" t="s">
        <v>1828</v>
      </c>
      <c r="CE45" t="s">
        <v>1801</v>
      </c>
      <c r="CF45" t="s">
        <v>1829</v>
      </c>
      <c r="CG45" t="str">
        <f t="shared" si="0"/>
        <v/>
      </c>
      <c r="CH45" t="str">
        <f t="shared" si="1"/>
        <v/>
      </c>
      <c r="CI45" t="str">
        <f t="shared" si="2"/>
        <v/>
      </c>
      <c r="CJ45" t="str">
        <f t="shared" si="3"/>
        <v/>
      </c>
      <c r="CK45" t="str">
        <f t="shared" si="4"/>
        <v/>
      </c>
    </row>
    <row r="46" spans="1:89">
      <c r="A46">
        <v>13048</v>
      </c>
      <c r="B46" t="s">
        <v>1770</v>
      </c>
      <c r="C46">
        <v>266.90576171875</v>
      </c>
      <c r="D46" t="s">
        <v>1771</v>
      </c>
      <c r="E46">
        <v>1987</v>
      </c>
      <c r="F46" t="s">
        <v>1803</v>
      </c>
      <c r="G46" t="s">
        <v>169</v>
      </c>
      <c r="H46">
        <v>98008</v>
      </c>
      <c r="I46" t="s">
        <v>1785</v>
      </c>
      <c r="K46" t="s">
        <v>1774</v>
      </c>
      <c r="L46">
        <v>18</v>
      </c>
      <c r="M46">
        <v>3</v>
      </c>
      <c r="N46">
        <v>0</v>
      </c>
      <c r="O46">
        <v>3</v>
      </c>
      <c r="P46">
        <v>0</v>
      </c>
      <c r="Q46">
        <v>12690</v>
      </c>
      <c r="R46">
        <v>12690</v>
      </c>
      <c r="S46">
        <v>0</v>
      </c>
      <c r="T46">
        <v>0</v>
      </c>
      <c r="U46">
        <v>0</v>
      </c>
      <c r="V46">
        <v>6</v>
      </c>
      <c r="W46">
        <v>12</v>
      </c>
      <c r="X46">
        <v>0</v>
      </c>
      <c r="Y46">
        <v>0</v>
      </c>
      <c r="Z46" t="b">
        <v>0</v>
      </c>
      <c r="AA46" t="b">
        <v>0</v>
      </c>
      <c r="AB46">
        <v>8</v>
      </c>
      <c r="AC46">
        <v>4528.5185546875</v>
      </c>
      <c r="AD46">
        <v>137557.640625</v>
      </c>
      <c r="AE46">
        <v>142086.15625</v>
      </c>
      <c r="AI46">
        <v>484797.96875</v>
      </c>
      <c r="AJ46" t="s">
        <v>270</v>
      </c>
      <c r="AK46">
        <v>0</v>
      </c>
      <c r="AL46">
        <v>2</v>
      </c>
      <c r="AM46">
        <v>0</v>
      </c>
      <c r="AN46">
        <v>70</v>
      </c>
      <c r="AO46">
        <v>0</v>
      </c>
      <c r="AP46">
        <v>26</v>
      </c>
      <c r="AQ46">
        <v>0</v>
      </c>
      <c r="AR46">
        <v>0</v>
      </c>
      <c r="AS46">
        <v>2</v>
      </c>
      <c r="AT46" t="b">
        <v>1</v>
      </c>
      <c r="AU46">
        <v>0</v>
      </c>
      <c r="AV46">
        <v>0</v>
      </c>
      <c r="AX46" t="b">
        <v>0</v>
      </c>
      <c r="AY46" t="b">
        <v>0</v>
      </c>
      <c r="AZ46" t="b">
        <v>0</v>
      </c>
      <c r="BA46" t="b">
        <v>0</v>
      </c>
      <c r="BB46" t="s">
        <v>270</v>
      </c>
      <c r="BC46" t="s">
        <v>270</v>
      </c>
      <c r="BD46" t="s">
        <v>270</v>
      </c>
      <c r="BE46" t="s">
        <v>1775</v>
      </c>
      <c r="BF46" t="s">
        <v>1776</v>
      </c>
      <c r="BG46" t="s">
        <v>1777</v>
      </c>
      <c r="BH46" t="s">
        <v>1778</v>
      </c>
      <c r="BI46" t="s">
        <v>1779</v>
      </c>
      <c r="BJ46" t="b">
        <v>0</v>
      </c>
      <c r="BK46" t="b">
        <v>1</v>
      </c>
      <c r="BL46" t="b">
        <v>0</v>
      </c>
      <c r="BM46" t="b">
        <v>0</v>
      </c>
      <c r="BN46" t="b">
        <v>0</v>
      </c>
      <c r="BO46" t="b">
        <v>0</v>
      </c>
      <c r="BP46">
        <v>4</v>
      </c>
      <c r="BQ46">
        <v>19</v>
      </c>
      <c r="BR46">
        <v>0</v>
      </c>
      <c r="BS46">
        <v>0</v>
      </c>
      <c r="BT46" t="b">
        <v>1</v>
      </c>
      <c r="BU46">
        <v>0</v>
      </c>
      <c r="BV46">
        <v>27</v>
      </c>
      <c r="BW46">
        <v>9989</v>
      </c>
      <c r="BX46">
        <v>0</v>
      </c>
      <c r="BY46" t="s">
        <v>270</v>
      </c>
      <c r="BZ46" t="s">
        <v>270</v>
      </c>
      <c r="CA46" t="s">
        <v>273</v>
      </c>
      <c r="CB46" t="s">
        <v>273</v>
      </c>
      <c r="CC46" t="s">
        <v>1780</v>
      </c>
      <c r="CD46" t="s">
        <v>1781</v>
      </c>
      <c r="CE46" t="s">
        <v>1782</v>
      </c>
      <c r="CF46" t="s">
        <v>1783</v>
      </c>
      <c r="CG46">
        <f t="shared" si="0"/>
        <v>266.90576171875</v>
      </c>
      <c r="CH46">
        <f t="shared" si="1"/>
        <v>12690</v>
      </c>
      <c r="CI46">
        <f t="shared" si="2"/>
        <v>3</v>
      </c>
      <c r="CJ46">
        <f t="shared" si="3"/>
        <v>3387034.1162109375</v>
      </c>
      <c r="CK46">
        <f t="shared" si="4"/>
        <v>800.71728515625</v>
      </c>
    </row>
    <row r="47" spans="1:89">
      <c r="A47">
        <v>13054</v>
      </c>
      <c r="B47" t="s">
        <v>1770</v>
      </c>
      <c r="C47">
        <v>149.47552490234401</v>
      </c>
      <c r="D47" t="s">
        <v>1808</v>
      </c>
      <c r="E47">
        <v>1997</v>
      </c>
      <c r="F47" t="s">
        <v>1793</v>
      </c>
      <c r="G47" t="s">
        <v>170</v>
      </c>
      <c r="H47">
        <v>97401</v>
      </c>
      <c r="I47" t="s">
        <v>1794</v>
      </c>
      <c r="J47" t="s">
        <v>1826</v>
      </c>
      <c r="K47" t="s">
        <v>1774</v>
      </c>
      <c r="L47">
        <v>12</v>
      </c>
      <c r="M47">
        <v>3</v>
      </c>
      <c r="N47">
        <v>0</v>
      </c>
      <c r="O47">
        <v>3</v>
      </c>
      <c r="P47">
        <v>0</v>
      </c>
      <c r="Q47">
        <v>10730</v>
      </c>
      <c r="R47">
        <v>10730</v>
      </c>
      <c r="S47">
        <v>0</v>
      </c>
      <c r="T47">
        <v>0</v>
      </c>
      <c r="U47">
        <v>0</v>
      </c>
      <c r="V47">
        <v>6</v>
      </c>
      <c r="W47">
        <v>6</v>
      </c>
      <c r="X47">
        <v>0</v>
      </c>
      <c r="Y47">
        <v>8</v>
      </c>
      <c r="Z47" t="b">
        <v>0</v>
      </c>
      <c r="AA47" t="b">
        <v>0</v>
      </c>
      <c r="AB47">
        <v>9</v>
      </c>
      <c r="AC47">
        <v>58436.05078125</v>
      </c>
      <c r="AD47">
        <v>85121.90625</v>
      </c>
      <c r="AE47">
        <v>143557.953125</v>
      </c>
      <c r="AH47">
        <v>6554.2607421875</v>
      </c>
      <c r="AI47">
        <v>1145245.75</v>
      </c>
      <c r="AJ47" t="s">
        <v>270</v>
      </c>
      <c r="AK47">
        <v>0</v>
      </c>
      <c r="AL47">
        <v>3</v>
      </c>
      <c r="AM47">
        <v>0</v>
      </c>
      <c r="AN47">
        <v>29</v>
      </c>
      <c r="AO47">
        <v>0</v>
      </c>
      <c r="AP47">
        <v>65</v>
      </c>
      <c r="AQ47">
        <v>0</v>
      </c>
      <c r="AR47">
        <v>0</v>
      </c>
      <c r="AS47">
        <v>3</v>
      </c>
      <c r="AT47" t="b">
        <v>1</v>
      </c>
      <c r="AU47">
        <v>4</v>
      </c>
      <c r="AV47">
        <v>4</v>
      </c>
      <c r="AW47">
        <v>0</v>
      </c>
      <c r="AX47" t="b">
        <v>0</v>
      </c>
      <c r="AY47" t="b">
        <v>0</v>
      </c>
      <c r="AZ47" t="b">
        <v>0</v>
      </c>
      <c r="BA47" t="b">
        <v>0</v>
      </c>
      <c r="BB47" t="s">
        <v>270</v>
      </c>
      <c r="BC47" t="s">
        <v>270</v>
      </c>
      <c r="BD47" t="s">
        <v>270</v>
      </c>
      <c r="BE47" t="s">
        <v>1775</v>
      </c>
      <c r="BF47" t="s">
        <v>1776</v>
      </c>
      <c r="BG47" t="s">
        <v>1777</v>
      </c>
      <c r="BH47" t="s">
        <v>1778</v>
      </c>
      <c r="BI47" t="s">
        <v>1779</v>
      </c>
      <c r="BJ47" t="b">
        <v>1</v>
      </c>
      <c r="BK47" t="b">
        <v>1</v>
      </c>
      <c r="BL47" t="b">
        <v>1</v>
      </c>
      <c r="BM47" t="b">
        <v>0</v>
      </c>
      <c r="BN47" t="b">
        <v>0</v>
      </c>
      <c r="BO47" t="b">
        <v>0</v>
      </c>
      <c r="BP47">
        <v>2</v>
      </c>
      <c r="BQ47">
        <v>13</v>
      </c>
      <c r="BR47">
        <v>1</v>
      </c>
      <c r="BS47">
        <v>1</v>
      </c>
      <c r="BT47" t="b">
        <v>1</v>
      </c>
      <c r="BU47">
        <v>0</v>
      </c>
      <c r="BV47">
        <v>29</v>
      </c>
      <c r="BW47">
        <v>41100</v>
      </c>
      <c r="BX47">
        <v>1</v>
      </c>
      <c r="BY47" t="s">
        <v>273</v>
      </c>
      <c r="BZ47" t="s">
        <v>270</v>
      </c>
      <c r="CA47" t="s">
        <v>273</v>
      </c>
      <c r="CB47" t="s">
        <v>273</v>
      </c>
      <c r="CC47" t="s">
        <v>1780</v>
      </c>
      <c r="CD47" t="s">
        <v>1781</v>
      </c>
      <c r="CE47" t="s">
        <v>1782</v>
      </c>
      <c r="CF47" t="s">
        <v>1783</v>
      </c>
      <c r="CG47">
        <f t="shared" si="0"/>
        <v>149.47552490234401</v>
      </c>
      <c r="CH47">
        <f t="shared" si="1"/>
        <v>10730</v>
      </c>
      <c r="CI47">
        <f t="shared" si="2"/>
        <v>3</v>
      </c>
      <c r="CJ47">
        <f t="shared" si="3"/>
        <v>1603872.3822021512</v>
      </c>
      <c r="CK47">
        <f t="shared" si="4"/>
        <v>448.42657470703205</v>
      </c>
    </row>
    <row r="48" spans="1:89">
      <c r="A48">
        <v>13062</v>
      </c>
      <c r="B48" t="s">
        <v>1770</v>
      </c>
      <c r="C48">
        <v>400.358642578125</v>
      </c>
      <c r="D48" t="s">
        <v>1771</v>
      </c>
      <c r="E48">
        <v>1989</v>
      </c>
      <c r="F48" t="s">
        <v>1838</v>
      </c>
      <c r="G48" t="s">
        <v>169</v>
      </c>
      <c r="H48">
        <v>98512</v>
      </c>
      <c r="I48" t="s">
        <v>1785</v>
      </c>
      <c r="K48" t="s">
        <v>1774</v>
      </c>
      <c r="L48">
        <v>12</v>
      </c>
      <c r="M48">
        <v>3</v>
      </c>
      <c r="N48">
        <v>0</v>
      </c>
      <c r="O48">
        <v>3</v>
      </c>
      <c r="P48">
        <v>0</v>
      </c>
      <c r="Q48">
        <v>13452</v>
      </c>
      <c r="R48">
        <v>13452</v>
      </c>
      <c r="S48">
        <v>0</v>
      </c>
      <c r="T48">
        <v>0</v>
      </c>
      <c r="U48">
        <v>6</v>
      </c>
      <c r="V48">
        <v>6</v>
      </c>
      <c r="W48">
        <v>0</v>
      </c>
      <c r="X48">
        <v>0</v>
      </c>
      <c r="Y48">
        <v>0</v>
      </c>
      <c r="Z48" t="b">
        <v>0</v>
      </c>
      <c r="AA48" t="b">
        <v>0</v>
      </c>
      <c r="AB48">
        <v>8</v>
      </c>
      <c r="AC48">
        <v>1676.3330078125</v>
      </c>
      <c r="AD48">
        <v>133870.703125</v>
      </c>
      <c r="AE48">
        <v>135547.03125</v>
      </c>
      <c r="AI48">
        <v>462486.46875</v>
      </c>
      <c r="AJ48" t="s">
        <v>270</v>
      </c>
      <c r="AK48">
        <v>0</v>
      </c>
      <c r="AL48">
        <v>0</v>
      </c>
      <c r="AM48">
        <v>55</v>
      </c>
      <c r="AN48">
        <v>0</v>
      </c>
      <c r="AO48">
        <v>3</v>
      </c>
      <c r="AP48">
        <v>0</v>
      </c>
      <c r="AQ48">
        <v>3</v>
      </c>
      <c r="AR48">
        <v>39</v>
      </c>
      <c r="AS48">
        <v>0</v>
      </c>
      <c r="AT48" t="b">
        <v>1</v>
      </c>
      <c r="AU48">
        <v>0</v>
      </c>
      <c r="AV48">
        <v>0</v>
      </c>
      <c r="AW48">
        <v>0</v>
      </c>
      <c r="AX48" t="b">
        <v>0</v>
      </c>
      <c r="AY48" t="b">
        <v>0</v>
      </c>
      <c r="AZ48" t="b">
        <v>0</v>
      </c>
      <c r="BA48" t="b">
        <v>0</v>
      </c>
      <c r="BB48" t="s">
        <v>270</v>
      </c>
      <c r="BC48" t="s">
        <v>270</v>
      </c>
      <c r="BD48" t="s">
        <v>270</v>
      </c>
      <c r="BE48" t="s">
        <v>1775</v>
      </c>
      <c r="BF48" t="s">
        <v>1776</v>
      </c>
      <c r="BG48" t="s">
        <v>1777</v>
      </c>
      <c r="BH48" t="s">
        <v>1778</v>
      </c>
      <c r="BI48" t="s">
        <v>1779</v>
      </c>
      <c r="BJ48" t="b">
        <v>0</v>
      </c>
      <c r="BK48" t="b">
        <v>1</v>
      </c>
      <c r="BL48" t="b">
        <v>0</v>
      </c>
      <c r="BM48" t="b">
        <v>0</v>
      </c>
      <c r="BN48" t="b">
        <v>0</v>
      </c>
      <c r="BO48" t="b">
        <v>0</v>
      </c>
      <c r="BP48">
        <v>2</v>
      </c>
      <c r="BQ48">
        <v>13</v>
      </c>
      <c r="BR48">
        <v>0</v>
      </c>
      <c r="BS48">
        <v>0</v>
      </c>
      <c r="BT48" t="b">
        <v>1</v>
      </c>
      <c r="BU48">
        <v>0</v>
      </c>
      <c r="BV48">
        <v>20</v>
      </c>
      <c r="BW48">
        <v>4900</v>
      </c>
      <c r="BX48">
        <v>0</v>
      </c>
      <c r="BY48" t="s">
        <v>270</v>
      </c>
      <c r="BZ48" t="s">
        <v>270</v>
      </c>
      <c r="CA48" t="s">
        <v>273</v>
      </c>
      <c r="CB48" t="s">
        <v>273</v>
      </c>
      <c r="CC48" t="s">
        <v>1780</v>
      </c>
      <c r="CD48" t="s">
        <v>1781</v>
      </c>
      <c r="CE48" t="s">
        <v>1782</v>
      </c>
      <c r="CF48" t="s">
        <v>1783</v>
      </c>
      <c r="CG48">
        <f t="shared" si="0"/>
        <v>400.358642578125</v>
      </c>
      <c r="CH48">
        <f t="shared" si="1"/>
        <v>13452</v>
      </c>
      <c r="CI48">
        <f t="shared" si="2"/>
        <v>3</v>
      </c>
      <c r="CJ48">
        <f t="shared" si="3"/>
        <v>5385624.4599609375</v>
      </c>
      <c r="CK48">
        <f t="shared" si="4"/>
        <v>1201.075927734375</v>
      </c>
    </row>
    <row r="49" spans="1:89">
      <c r="A49">
        <v>13126</v>
      </c>
      <c r="B49" t="s">
        <v>1839</v>
      </c>
      <c r="C49">
        <v>19.557754516601602</v>
      </c>
      <c r="D49" t="s">
        <v>1792</v>
      </c>
      <c r="E49">
        <v>1963</v>
      </c>
      <c r="F49" t="s">
        <v>1788</v>
      </c>
      <c r="G49" t="s">
        <v>169</v>
      </c>
      <c r="H49">
        <v>98119</v>
      </c>
      <c r="I49" t="s">
        <v>1789</v>
      </c>
      <c r="J49" t="s">
        <v>1785</v>
      </c>
      <c r="K49" t="s">
        <v>1774</v>
      </c>
      <c r="L49">
        <v>56</v>
      </c>
      <c r="M49">
        <v>11</v>
      </c>
      <c r="N49">
        <v>0</v>
      </c>
      <c r="O49">
        <v>11</v>
      </c>
      <c r="P49">
        <v>0</v>
      </c>
      <c r="Q49">
        <v>65285</v>
      </c>
      <c r="R49">
        <v>65285</v>
      </c>
      <c r="S49">
        <v>9102</v>
      </c>
      <c r="T49">
        <v>0</v>
      </c>
      <c r="U49">
        <v>0</v>
      </c>
      <c r="V49">
        <v>26</v>
      </c>
      <c r="W49">
        <v>30</v>
      </c>
      <c r="X49">
        <v>0</v>
      </c>
      <c r="Y49">
        <v>4</v>
      </c>
      <c r="Z49" t="b">
        <v>0</v>
      </c>
      <c r="AA49" t="b">
        <v>1</v>
      </c>
      <c r="AB49">
        <v>8</v>
      </c>
      <c r="AC49">
        <v>336830.4375</v>
      </c>
      <c r="AD49">
        <v>479283.125</v>
      </c>
      <c r="AE49">
        <v>816113.5625</v>
      </c>
      <c r="AH49">
        <v>3294.90283203125</v>
      </c>
      <c r="AI49">
        <v>3114069.75</v>
      </c>
      <c r="AJ49" t="s">
        <v>273</v>
      </c>
      <c r="AK49">
        <v>0</v>
      </c>
      <c r="AL49">
        <v>20</v>
      </c>
      <c r="AM49">
        <v>0</v>
      </c>
      <c r="AN49">
        <v>5</v>
      </c>
      <c r="AO49">
        <v>0</v>
      </c>
      <c r="AP49">
        <v>20</v>
      </c>
      <c r="AQ49">
        <v>0</v>
      </c>
      <c r="AR49">
        <v>0</v>
      </c>
      <c r="AS49">
        <v>55</v>
      </c>
      <c r="AT49" t="b">
        <v>1</v>
      </c>
      <c r="AU49">
        <v>22</v>
      </c>
      <c r="AV49">
        <v>22</v>
      </c>
      <c r="AW49">
        <v>2</v>
      </c>
      <c r="AX49" t="b">
        <v>0</v>
      </c>
      <c r="AY49" t="b">
        <v>0</v>
      </c>
      <c r="AZ49" t="b">
        <v>1</v>
      </c>
      <c r="BA49" t="b">
        <v>1</v>
      </c>
      <c r="BB49" t="s">
        <v>270</v>
      </c>
      <c r="BC49" t="s">
        <v>270</v>
      </c>
      <c r="BD49" t="s">
        <v>270</v>
      </c>
      <c r="BE49" t="s">
        <v>1775</v>
      </c>
      <c r="BF49" t="s">
        <v>1776</v>
      </c>
      <c r="BG49" t="s">
        <v>1777</v>
      </c>
      <c r="BH49" t="s">
        <v>1804</v>
      </c>
      <c r="BI49" t="s">
        <v>1812</v>
      </c>
      <c r="BJ49" t="b">
        <v>1</v>
      </c>
      <c r="BK49" t="b">
        <v>1</v>
      </c>
      <c r="BL49" t="b">
        <v>1</v>
      </c>
      <c r="BM49" t="b">
        <v>0</v>
      </c>
      <c r="BN49" t="b">
        <v>1</v>
      </c>
      <c r="BO49" t="b">
        <v>0</v>
      </c>
      <c r="BP49">
        <v>6</v>
      </c>
      <c r="BQ49">
        <v>59</v>
      </c>
      <c r="BR49">
        <v>1</v>
      </c>
      <c r="BS49">
        <v>1</v>
      </c>
      <c r="BT49" t="b">
        <v>1</v>
      </c>
      <c r="BU49">
        <v>0</v>
      </c>
      <c r="BV49">
        <v>75</v>
      </c>
      <c r="BW49">
        <v>23400</v>
      </c>
      <c r="BX49">
        <v>2</v>
      </c>
      <c r="BY49" t="s">
        <v>270</v>
      </c>
      <c r="BZ49" t="s">
        <v>273</v>
      </c>
      <c r="CA49" t="s">
        <v>270</v>
      </c>
      <c r="CB49" t="s">
        <v>270</v>
      </c>
      <c r="CC49" t="s">
        <v>1840</v>
      </c>
      <c r="CD49" t="s">
        <v>1841</v>
      </c>
      <c r="CE49" t="s">
        <v>1791</v>
      </c>
      <c r="CF49" t="s">
        <v>1842</v>
      </c>
      <c r="CG49" t="str">
        <f t="shared" si="0"/>
        <v/>
      </c>
      <c r="CH49" t="str">
        <f t="shared" si="1"/>
        <v/>
      </c>
      <c r="CI49" t="str">
        <f t="shared" si="2"/>
        <v/>
      </c>
      <c r="CJ49" t="str">
        <f t="shared" si="3"/>
        <v/>
      </c>
      <c r="CK49" t="str">
        <f t="shared" si="4"/>
        <v/>
      </c>
    </row>
    <row r="50" spans="1:89">
      <c r="A50">
        <v>13202</v>
      </c>
      <c r="B50" t="s">
        <v>1770</v>
      </c>
      <c r="C50">
        <v>480.43035888671898</v>
      </c>
      <c r="D50" t="s">
        <v>1808</v>
      </c>
      <c r="E50">
        <v>1996</v>
      </c>
      <c r="F50" t="s">
        <v>1843</v>
      </c>
      <c r="G50" t="s">
        <v>169</v>
      </c>
      <c r="H50">
        <v>98501</v>
      </c>
      <c r="I50" t="s">
        <v>1785</v>
      </c>
      <c r="K50" t="s">
        <v>1774</v>
      </c>
      <c r="L50">
        <v>10</v>
      </c>
      <c r="M50">
        <v>3</v>
      </c>
      <c r="N50">
        <v>0</v>
      </c>
      <c r="O50">
        <v>3</v>
      </c>
      <c r="P50">
        <v>0</v>
      </c>
      <c r="Q50">
        <v>10245</v>
      </c>
      <c r="R50">
        <v>10245</v>
      </c>
      <c r="S50">
        <v>0</v>
      </c>
      <c r="T50">
        <v>0</v>
      </c>
      <c r="U50">
        <v>4</v>
      </c>
      <c r="V50">
        <v>6</v>
      </c>
      <c r="W50">
        <v>0</v>
      </c>
      <c r="X50">
        <v>0</v>
      </c>
      <c r="Y50">
        <v>0</v>
      </c>
      <c r="Z50" t="b">
        <v>0</v>
      </c>
      <c r="AA50" t="b">
        <v>0</v>
      </c>
      <c r="AB50">
        <v>8</v>
      </c>
      <c r="AD50">
        <v>84571.1328125</v>
      </c>
      <c r="AE50">
        <v>84571.1328125</v>
      </c>
      <c r="AI50">
        <v>288556.71875</v>
      </c>
      <c r="AJ50" t="s">
        <v>270</v>
      </c>
      <c r="AL50">
        <v>37</v>
      </c>
      <c r="AM50">
        <v>0</v>
      </c>
      <c r="AN50">
        <v>6</v>
      </c>
      <c r="AO50">
        <v>0</v>
      </c>
      <c r="AP50">
        <v>6</v>
      </c>
      <c r="AQ50">
        <v>0</v>
      </c>
      <c r="AR50">
        <v>0</v>
      </c>
      <c r="AS50">
        <v>50</v>
      </c>
      <c r="AT50" t="b">
        <v>1</v>
      </c>
      <c r="AU50">
        <v>0</v>
      </c>
      <c r="AV50">
        <v>0</v>
      </c>
      <c r="AW50">
        <v>0</v>
      </c>
      <c r="AX50" t="b">
        <v>0</v>
      </c>
      <c r="AY50" t="b">
        <v>0</v>
      </c>
      <c r="AZ50" t="b">
        <v>0</v>
      </c>
      <c r="BA50" t="b">
        <v>0</v>
      </c>
      <c r="BB50" t="s">
        <v>270</v>
      </c>
      <c r="BC50" t="s">
        <v>270</v>
      </c>
      <c r="BD50" t="s">
        <v>270</v>
      </c>
      <c r="BE50" t="s">
        <v>1775</v>
      </c>
      <c r="BF50" t="s">
        <v>1776</v>
      </c>
      <c r="BG50" t="s">
        <v>1777</v>
      </c>
      <c r="BH50" t="s">
        <v>1804</v>
      </c>
      <c r="BI50" t="s">
        <v>1779</v>
      </c>
      <c r="BJ50" t="b">
        <v>0</v>
      </c>
      <c r="BK50" t="b">
        <v>1</v>
      </c>
      <c r="BL50" t="b">
        <v>0</v>
      </c>
      <c r="BM50" t="b">
        <v>0</v>
      </c>
      <c r="BN50" t="b">
        <v>0</v>
      </c>
      <c r="BO50" t="b">
        <v>0</v>
      </c>
      <c r="BQ50">
        <v>2</v>
      </c>
      <c r="BR50">
        <v>0</v>
      </c>
      <c r="BS50">
        <v>0</v>
      </c>
      <c r="BT50" t="b">
        <v>1</v>
      </c>
      <c r="BV50">
        <v>19</v>
      </c>
      <c r="BW50">
        <v>5890</v>
      </c>
      <c r="BX50">
        <v>0</v>
      </c>
      <c r="BY50" t="s">
        <v>270</v>
      </c>
      <c r="BZ50" t="s">
        <v>270</v>
      </c>
      <c r="CA50" t="s">
        <v>270</v>
      </c>
      <c r="CB50" t="s">
        <v>270</v>
      </c>
      <c r="CC50" t="s">
        <v>1787</v>
      </c>
      <c r="CD50" t="s">
        <v>1781</v>
      </c>
      <c r="CE50" t="s">
        <v>1782</v>
      </c>
      <c r="CF50" t="s">
        <v>1783</v>
      </c>
      <c r="CG50">
        <f t="shared" si="0"/>
        <v>480.43035888671898</v>
      </c>
      <c r="CH50">
        <f t="shared" si="1"/>
        <v>10245</v>
      </c>
      <c r="CI50">
        <f t="shared" si="2"/>
        <v>3</v>
      </c>
      <c r="CJ50">
        <f t="shared" si="3"/>
        <v>4922009.0267944364</v>
      </c>
      <c r="CK50">
        <f t="shared" si="4"/>
        <v>1441.2910766601569</v>
      </c>
    </row>
    <row r="51" spans="1:89">
      <c r="A51">
        <v>13218</v>
      </c>
      <c r="B51" t="s">
        <v>1770</v>
      </c>
      <c r="C51">
        <v>128.79620361328099</v>
      </c>
      <c r="D51" t="s">
        <v>1802</v>
      </c>
      <c r="E51">
        <v>1978</v>
      </c>
      <c r="F51" t="s">
        <v>1818</v>
      </c>
      <c r="G51" t="s">
        <v>169</v>
      </c>
      <c r="H51">
        <v>98270</v>
      </c>
      <c r="I51" t="s">
        <v>1797</v>
      </c>
      <c r="K51" t="s">
        <v>1774</v>
      </c>
      <c r="L51">
        <v>16</v>
      </c>
      <c r="M51">
        <v>2</v>
      </c>
      <c r="N51">
        <v>0</v>
      </c>
      <c r="O51">
        <v>2</v>
      </c>
      <c r="P51">
        <v>0</v>
      </c>
      <c r="Q51">
        <v>14652</v>
      </c>
      <c r="R51">
        <v>14652</v>
      </c>
      <c r="S51">
        <v>350</v>
      </c>
      <c r="T51">
        <v>0</v>
      </c>
      <c r="U51">
        <v>0</v>
      </c>
      <c r="V51">
        <v>15</v>
      </c>
      <c r="W51">
        <v>1</v>
      </c>
      <c r="X51">
        <v>0</v>
      </c>
      <c r="Y51">
        <v>0</v>
      </c>
      <c r="Z51" t="b">
        <v>0</v>
      </c>
      <c r="AA51" t="b">
        <v>1</v>
      </c>
      <c r="AB51">
        <v>7.6999998092651403</v>
      </c>
      <c r="AC51">
        <v>5269.19091796875</v>
      </c>
      <c r="AD51">
        <v>140716.203125</v>
      </c>
      <c r="AE51">
        <v>145985.390625</v>
      </c>
      <c r="AI51">
        <v>498102.15625</v>
      </c>
      <c r="AJ51" t="s">
        <v>270</v>
      </c>
      <c r="AK51">
        <v>0</v>
      </c>
      <c r="AL51">
        <v>0</v>
      </c>
      <c r="AM51">
        <v>0</v>
      </c>
      <c r="AN51">
        <v>40</v>
      </c>
      <c r="AO51">
        <v>0</v>
      </c>
      <c r="AP51">
        <v>60</v>
      </c>
      <c r="AQ51">
        <v>0</v>
      </c>
      <c r="AR51">
        <v>0</v>
      </c>
      <c r="AS51">
        <v>0</v>
      </c>
      <c r="AT51" t="b">
        <v>1</v>
      </c>
      <c r="AU51">
        <v>1</v>
      </c>
      <c r="AV51">
        <v>2</v>
      </c>
      <c r="AW51">
        <v>0</v>
      </c>
      <c r="AX51" t="b">
        <v>0</v>
      </c>
      <c r="AY51" t="b">
        <v>0</v>
      </c>
      <c r="AZ51" t="b">
        <v>0</v>
      </c>
      <c r="BA51" t="b">
        <v>0</v>
      </c>
      <c r="BB51" t="s">
        <v>270</v>
      </c>
      <c r="BC51" t="s">
        <v>270</v>
      </c>
      <c r="BD51" t="s">
        <v>270</v>
      </c>
      <c r="BE51" t="s">
        <v>1775</v>
      </c>
      <c r="BF51" t="s">
        <v>1776</v>
      </c>
      <c r="BG51" t="s">
        <v>1777</v>
      </c>
      <c r="BH51" t="s">
        <v>1778</v>
      </c>
      <c r="BI51" t="s">
        <v>1790</v>
      </c>
      <c r="BJ51" t="b">
        <v>0</v>
      </c>
      <c r="BK51" t="b">
        <v>1</v>
      </c>
      <c r="BL51" t="b">
        <v>0</v>
      </c>
      <c r="BM51" t="b">
        <v>0</v>
      </c>
      <c r="BN51" t="b">
        <v>0</v>
      </c>
      <c r="BO51" t="b">
        <v>0</v>
      </c>
      <c r="BP51">
        <v>1</v>
      </c>
      <c r="BQ51">
        <v>1</v>
      </c>
      <c r="BR51">
        <v>0</v>
      </c>
      <c r="BS51">
        <v>0</v>
      </c>
      <c r="BT51" t="b">
        <v>1</v>
      </c>
      <c r="BU51">
        <v>0</v>
      </c>
      <c r="BV51">
        <v>23</v>
      </c>
      <c r="BW51">
        <v>6350</v>
      </c>
      <c r="BX51">
        <v>0</v>
      </c>
      <c r="BY51" t="s">
        <v>270</v>
      </c>
      <c r="BZ51" t="s">
        <v>270</v>
      </c>
      <c r="CA51" t="s">
        <v>273</v>
      </c>
      <c r="CB51" t="s">
        <v>273</v>
      </c>
      <c r="CC51" t="s">
        <v>1787</v>
      </c>
      <c r="CD51" t="s">
        <v>1781</v>
      </c>
      <c r="CE51" t="s">
        <v>1782</v>
      </c>
      <c r="CF51" t="s">
        <v>1783</v>
      </c>
      <c r="CG51">
        <f t="shared" si="0"/>
        <v>128.79620361328099</v>
      </c>
      <c r="CH51">
        <f t="shared" si="1"/>
        <v>14652</v>
      </c>
      <c r="CI51">
        <f t="shared" si="2"/>
        <v>2</v>
      </c>
      <c r="CJ51">
        <f t="shared" si="3"/>
        <v>1887121.9753417931</v>
      </c>
      <c r="CK51">
        <f t="shared" si="4"/>
        <v>257.59240722656199</v>
      </c>
    </row>
    <row r="52" spans="1:89">
      <c r="A52">
        <v>13268</v>
      </c>
      <c r="B52" t="s">
        <v>1770</v>
      </c>
      <c r="C52">
        <v>171.72825622558599</v>
      </c>
      <c r="D52" t="s">
        <v>1771</v>
      </c>
      <c r="E52">
        <v>1984</v>
      </c>
      <c r="F52" t="s">
        <v>1844</v>
      </c>
      <c r="G52" t="s">
        <v>169</v>
      </c>
      <c r="H52">
        <v>98012</v>
      </c>
      <c r="I52" t="s">
        <v>1797</v>
      </c>
      <c r="J52" t="s">
        <v>1785</v>
      </c>
      <c r="K52" t="s">
        <v>1774</v>
      </c>
      <c r="L52">
        <v>12</v>
      </c>
      <c r="M52">
        <v>3</v>
      </c>
      <c r="N52">
        <v>0</v>
      </c>
      <c r="O52">
        <v>3</v>
      </c>
      <c r="P52">
        <v>0</v>
      </c>
      <c r="Q52">
        <v>8127</v>
      </c>
      <c r="R52">
        <v>8127</v>
      </c>
      <c r="S52">
        <v>0</v>
      </c>
      <c r="T52">
        <v>0</v>
      </c>
      <c r="U52">
        <v>0</v>
      </c>
      <c r="V52">
        <v>6</v>
      </c>
      <c r="W52">
        <v>6</v>
      </c>
      <c r="X52">
        <v>0</v>
      </c>
      <c r="Y52">
        <v>0</v>
      </c>
      <c r="Z52" t="b">
        <v>0</v>
      </c>
      <c r="AA52" t="b">
        <v>0</v>
      </c>
      <c r="AB52">
        <v>8</v>
      </c>
      <c r="AC52">
        <v>53949.71875</v>
      </c>
      <c r="AD52">
        <v>99899.1015625</v>
      </c>
      <c r="AE52">
        <v>153848.8125</v>
      </c>
      <c r="AH52">
        <v>3949.01684570313</v>
      </c>
      <c r="AI52">
        <v>919833.8125</v>
      </c>
      <c r="AJ52" t="s">
        <v>270</v>
      </c>
      <c r="AK52">
        <v>0</v>
      </c>
      <c r="AL52">
        <v>26</v>
      </c>
      <c r="AM52">
        <v>0</v>
      </c>
      <c r="AN52">
        <v>7</v>
      </c>
      <c r="AO52">
        <v>0</v>
      </c>
      <c r="AP52">
        <v>6</v>
      </c>
      <c r="AQ52">
        <v>0</v>
      </c>
      <c r="AR52">
        <v>0</v>
      </c>
      <c r="AS52">
        <v>61</v>
      </c>
      <c r="AT52" t="b">
        <v>1</v>
      </c>
      <c r="AU52">
        <v>0</v>
      </c>
      <c r="AV52">
        <v>0</v>
      </c>
      <c r="AW52">
        <v>0</v>
      </c>
      <c r="AX52" t="b">
        <v>0</v>
      </c>
      <c r="AY52" t="b">
        <v>0</v>
      </c>
      <c r="AZ52" t="b">
        <v>0</v>
      </c>
      <c r="BA52" t="b">
        <v>0</v>
      </c>
      <c r="BB52" t="s">
        <v>270</v>
      </c>
      <c r="BC52" t="s">
        <v>270</v>
      </c>
      <c r="BD52" t="s">
        <v>270</v>
      </c>
      <c r="BE52" t="s">
        <v>1775</v>
      </c>
      <c r="BF52" t="s">
        <v>1776</v>
      </c>
      <c r="BG52" t="s">
        <v>1777</v>
      </c>
      <c r="BH52" t="s">
        <v>1778</v>
      </c>
      <c r="BI52" t="s">
        <v>1779</v>
      </c>
      <c r="BJ52" t="b">
        <v>1</v>
      </c>
      <c r="BK52" t="b">
        <v>1</v>
      </c>
      <c r="BL52" t="b">
        <v>1</v>
      </c>
      <c r="BM52" t="b">
        <v>0</v>
      </c>
      <c r="BN52" t="b">
        <v>0</v>
      </c>
      <c r="BO52" t="b">
        <v>0</v>
      </c>
      <c r="BP52">
        <v>4</v>
      </c>
      <c r="BQ52">
        <v>13</v>
      </c>
      <c r="BR52">
        <v>1</v>
      </c>
      <c r="BS52">
        <v>1</v>
      </c>
      <c r="BT52" t="b">
        <v>1</v>
      </c>
      <c r="BU52">
        <v>0</v>
      </c>
      <c r="BV52">
        <v>18</v>
      </c>
      <c r="BW52">
        <v>5850</v>
      </c>
      <c r="BX52">
        <v>0</v>
      </c>
      <c r="BY52" t="s">
        <v>270</v>
      </c>
      <c r="BZ52" t="s">
        <v>270</v>
      </c>
      <c r="CA52" t="s">
        <v>273</v>
      </c>
      <c r="CB52" t="s">
        <v>273</v>
      </c>
      <c r="CC52" t="s">
        <v>1780</v>
      </c>
      <c r="CD52" t="s">
        <v>1781</v>
      </c>
      <c r="CE52" t="s">
        <v>1782</v>
      </c>
      <c r="CF52" t="s">
        <v>1783</v>
      </c>
      <c r="CG52">
        <f t="shared" si="0"/>
        <v>171.72825622558599</v>
      </c>
      <c r="CH52">
        <f t="shared" si="1"/>
        <v>8127</v>
      </c>
      <c r="CI52">
        <f t="shared" si="2"/>
        <v>3</v>
      </c>
      <c r="CJ52">
        <f t="shared" si="3"/>
        <v>1395635.5383453374</v>
      </c>
      <c r="CK52">
        <f t="shared" si="4"/>
        <v>515.18476867675804</v>
      </c>
    </row>
    <row r="53" spans="1:89">
      <c r="A53">
        <v>13321</v>
      </c>
      <c r="B53" t="s">
        <v>1770</v>
      </c>
      <c r="C53">
        <v>266.90576171875</v>
      </c>
      <c r="D53" t="s">
        <v>1771</v>
      </c>
      <c r="E53">
        <v>1983</v>
      </c>
      <c r="F53" t="s">
        <v>1807</v>
      </c>
      <c r="G53" t="s">
        <v>169</v>
      </c>
      <c r="H53">
        <v>98023</v>
      </c>
      <c r="I53" t="s">
        <v>1785</v>
      </c>
      <c r="K53" t="s">
        <v>1774</v>
      </c>
      <c r="L53">
        <v>18</v>
      </c>
      <c r="M53">
        <v>3</v>
      </c>
      <c r="N53">
        <v>0</v>
      </c>
      <c r="O53">
        <v>3</v>
      </c>
      <c r="P53">
        <v>0</v>
      </c>
      <c r="Q53">
        <v>11448</v>
      </c>
      <c r="R53">
        <v>11448</v>
      </c>
      <c r="S53">
        <v>0</v>
      </c>
      <c r="T53">
        <v>0</v>
      </c>
      <c r="U53">
        <v>0</v>
      </c>
      <c r="V53">
        <v>18</v>
      </c>
      <c r="W53">
        <v>0</v>
      </c>
      <c r="X53">
        <v>0</v>
      </c>
      <c r="Y53">
        <v>0</v>
      </c>
      <c r="Z53" t="b">
        <v>0</v>
      </c>
      <c r="AA53" t="b">
        <v>0</v>
      </c>
      <c r="AB53">
        <v>7.75</v>
      </c>
      <c r="AD53">
        <v>167943.4375</v>
      </c>
      <c r="AE53">
        <v>167943.4375</v>
      </c>
      <c r="AI53">
        <v>573023</v>
      </c>
      <c r="AJ53" t="s">
        <v>270</v>
      </c>
      <c r="AK53">
        <v>0</v>
      </c>
      <c r="AL53">
        <v>29</v>
      </c>
      <c r="AM53">
        <v>0</v>
      </c>
      <c r="AN53">
        <v>4</v>
      </c>
      <c r="AO53">
        <v>0</v>
      </c>
      <c r="AP53">
        <v>63</v>
      </c>
      <c r="AQ53">
        <v>0</v>
      </c>
      <c r="AR53">
        <v>0</v>
      </c>
      <c r="AS53">
        <v>4</v>
      </c>
      <c r="AT53" t="b">
        <v>1</v>
      </c>
      <c r="AU53">
        <v>0</v>
      </c>
      <c r="AV53">
        <v>0</v>
      </c>
      <c r="AW53">
        <v>0</v>
      </c>
      <c r="AX53" t="b">
        <v>0</v>
      </c>
      <c r="AY53" t="b">
        <v>0</v>
      </c>
      <c r="AZ53" t="b">
        <v>0</v>
      </c>
      <c r="BA53" t="b">
        <v>0</v>
      </c>
      <c r="BB53" t="s">
        <v>270</v>
      </c>
      <c r="BC53" t="s">
        <v>270</v>
      </c>
      <c r="BD53" t="s">
        <v>270</v>
      </c>
      <c r="BE53" t="s">
        <v>1775</v>
      </c>
      <c r="BF53" t="s">
        <v>1776</v>
      </c>
      <c r="BG53" t="s">
        <v>1777</v>
      </c>
      <c r="BH53" t="s">
        <v>1778</v>
      </c>
      <c r="BI53" t="s">
        <v>1779</v>
      </c>
      <c r="BJ53" t="b">
        <v>0</v>
      </c>
      <c r="BK53" t="b">
        <v>1</v>
      </c>
      <c r="BL53" t="b">
        <v>0</v>
      </c>
      <c r="BM53" t="b">
        <v>0</v>
      </c>
      <c r="BN53" t="b">
        <v>0</v>
      </c>
      <c r="BO53" t="b">
        <v>0</v>
      </c>
      <c r="BP53">
        <v>19</v>
      </c>
      <c r="BQ53">
        <v>19</v>
      </c>
      <c r="BR53">
        <v>0</v>
      </c>
      <c r="BS53">
        <v>0</v>
      </c>
      <c r="BT53" t="b">
        <v>1</v>
      </c>
      <c r="BU53">
        <v>0</v>
      </c>
      <c r="BV53">
        <v>23</v>
      </c>
      <c r="BW53">
        <v>9140</v>
      </c>
      <c r="BX53">
        <v>0</v>
      </c>
      <c r="BY53" t="s">
        <v>270</v>
      </c>
      <c r="BZ53" t="s">
        <v>270</v>
      </c>
      <c r="CA53" t="s">
        <v>273</v>
      </c>
      <c r="CB53" t="s">
        <v>273</v>
      </c>
      <c r="CC53" t="s">
        <v>1787</v>
      </c>
      <c r="CD53" t="s">
        <v>1781</v>
      </c>
      <c r="CE53" t="s">
        <v>1782</v>
      </c>
      <c r="CF53" t="s">
        <v>1783</v>
      </c>
      <c r="CG53">
        <f t="shared" si="0"/>
        <v>266.90576171875</v>
      </c>
      <c r="CH53">
        <f t="shared" si="1"/>
        <v>11448</v>
      </c>
      <c r="CI53">
        <f t="shared" si="2"/>
        <v>3</v>
      </c>
      <c r="CJ53">
        <f t="shared" si="3"/>
        <v>3055537.16015625</v>
      </c>
      <c r="CK53">
        <f t="shared" si="4"/>
        <v>800.71728515625</v>
      </c>
    </row>
    <row r="54" spans="1:89">
      <c r="A54">
        <v>13360</v>
      </c>
      <c r="B54" t="s">
        <v>1770</v>
      </c>
      <c r="C54">
        <v>343.16452026367199</v>
      </c>
      <c r="D54" t="s">
        <v>1792</v>
      </c>
      <c r="E54">
        <v>1968</v>
      </c>
      <c r="F54" t="s">
        <v>1807</v>
      </c>
      <c r="G54" t="s">
        <v>169</v>
      </c>
      <c r="H54">
        <v>98030</v>
      </c>
      <c r="I54" t="s">
        <v>1785</v>
      </c>
      <c r="J54" t="s">
        <v>1785</v>
      </c>
      <c r="K54" t="s">
        <v>1774</v>
      </c>
      <c r="L54">
        <v>14</v>
      </c>
      <c r="M54">
        <v>2</v>
      </c>
      <c r="N54">
        <v>0</v>
      </c>
      <c r="O54">
        <v>2</v>
      </c>
      <c r="P54">
        <v>0</v>
      </c>
      <c r="Q54">
        <v>7368</v>
      </c>
      <c r="R54">
        <v>7368</v>
      </c>
      <c r="S54">
        <v>200</v>
      </c>
      <c r="T54">
        <v>0</v>
      </c>
      <c r="U54">
        <v>0</v>
      </c>
      <c r="V54">
        <v>0</v>
      </c>
      <c r="W54">
        <v>14</v>
      </c>
      <c r="X54">
        <v>0</v>
      </c>
      <c r="Y54">
        <v>8</v>
      </c>
      <c r="Z54" t="b">
        <v>0</v>
      </c>
      <c r="AA54" t="b">
        <v>1</v>
      </c>
      <c r="AB54">
        <v>8</v>
      </c>
      <c r="AC54">
        <v>27101.984375</v>
      </c>
      <c r="AD54">
        <v>71240.3359375</v>
      </c>
      <c r="AE54">
        <v>98342.3203125</v>
      </c>
      <c r="AJ54" t="s">
        <v>273</v>
      </c>
      <c r="AK54">
        <v>0</v>
      </c>
      <c r="AL54">
        <v>0</v>
      </c>
      <c r="AM54">
        <v>0</v>
      </c>
      <c r="AN54">
        <v>40</v>
      </c>
      <c r="AO54">
        <v>0</v>
      </c>
      <c r="AP54">
        <v>56</v>
      </c>
      <c r="AQ54">
        <v>0</v>
      </c>
      <c r="AR54">
        <v>0</v>
      </c>
      <c r="AS54">
        <v>4</v>
      </c>
      <c r="AT54" t="b">
        <v>0</v>
      </c>
      <c r="AU54">
        <v>5</v>
      </c>
      <c r="AV54">
        <v>5</v>
      </c>
      <c r="AW54">
        <v>0</v>
      </c>
      <c r="AX54" t="b">
        <v>0</v>
      </c>
      <c r="AY54" t="b">
        <v>0</v>
      </c>
      <c r="AZ54" t="b">
        <v>0</v>
      </c>
      <c r="BA54" t="b">
        <v>0</v>
      </c>
      <c r="BB54" t="s">
        <v>270</v>
      </c>
      <c r="BC54" t="s">
        <v>270</v>
      </c>
      <c r="BD54" t="s">
        <v>270</v>
      </c>
      <c r="BE54" t="s">
        <v>1775</v>
      </c>
      <c r="BF54" t="s">
        <v>1776</v>
      </c>
      <c r="BG54" t="s">
        <v>1777</v>
      </c>
      <c r="BH54" t="s">
        <v>1778</v>
      </c>
      <c r="BI54" t="s">
        <v>1790</v>
      </c>
      <c r="BJ54" t="b">
        <v>1</v>
      </c>
      <c r="BK54" t="b">
        <v>1</v>
      </c>
      <c r="BL54" t="b">
        <v>0</v>
      </c>
      <c r="BM54" t="b">
        <v>0</v>
      </c>
      <c r="BN54" t="b">
        <v>0</v>
      </c>
      <c r="BO54" t="b">
        <v>0</v>
      </c>
      <c r="BP54">
        <v>1</v>
      </c>
      <c r="BQ54">
        <v>16</v>
      </c>
      <c r="BR54">
        <v>0</v>
      </c>
      <c r="BS54">
        <v>0</v>
      </c>
      <c r="BT54" t="b">
        <v>1</v>
      </c>
      <c r="BU54">
        <v>0</v>
      </c>
      <c r="BV54">
        <v>22</v>
      </c>
      <c r="BW54">
        <v>9350</v>
      </c>
      <c r="BX54">
        <v>0</v>
      </c>
      <c r="BY54" t="s">
        <v>270</v>
      </c>
      <c r="BZ54" t="s">
        <v>270</v>
      </c>
      <c r="CA54" t="s">
        <v>270</v>
      </c>
      <c r="CB54" t="s">
        <v>273</v>
      </c>
      <c r="CC54" t="s">
        <v>1787</v>
      </c>
      <c r="CD54" t="s">
        <v>1781</v>
      </c>
      <c r="CE54" t="s">
        <v>1815</v>
      </c>
      <c r="CF54" t="s">
        <v>1783</v>
      </c>
      <c r="CG54">
        <f t="shared" si="0"/>
        <v>343.16452026367199</v>
      </c>
      <c r="CH54">
        <f t="shared" si="1"/>
        <v>7368</v>
      </c>
      <c r="CI54">
        <f t="shared" si="2"/>
        <v>2</v>
      </c>
      <c r="CJ54">
        <f t="shared" si="3"/>
        <v>2528436.1853027353</v>
      </c>
      <c r="CK54">
        <f t="shared" si="4"/>
        <v>686.32904052734398</v>
      </c>
    </row>
    <row r="55" spans="1:89">
      <c r="A55">
        <v>13384</v>
      </c>
      <c r="B55" t="s">
        <v>1770</v>
      </c>
      <c r="C55">
        <v>343.45651245117199</v>
      </c>
      <c r="D55" t="s">
        <v>1802</v>
      </c>
      <c r="E55">
        <v>1978</v>
      </c>
      <c r="F55" t="s">
        <v>1834</v>
      </c>
      <c r="G55" t="s">
        <v>169</v>
      </c>
      <c r="H55">
        <v>98026</v>
      </c>
      <c r="I55" t="s">
        <v>1797</v>
      </c>
      <c r="K55" t="s">
        <v>1819</v>
      </c>
      <c r="L55">
        <v>6</v>
      </c>
      <c r="M55">
        <v>3</v>
      </c>
      <c r="N55">
        <v>0</v>
      </c>
      <c r="O55">
        <v>3</v>
      </c>
      <c r="P55">
        <v>0</v>
      </c>
      <c r="Q55">
        <v>5900</v>
      </c>
      <c r="R55">
        <v>5900</v>
      </c>
      <c r="S55">
        <v>0</v>
      </c>
      <c r="T55">
        <v>0</v>
      </c>
      <c r="U55">
        <v>0</v>
      </c>
      <c r="V55">
        <v>6</v>
      </c>
      <c r="W55">
        <v>0</v>
      </c>
      <c r="X55">
        <v>0</v>
      </c>
      <c r="Y55">
        <v>0</v>
      </c>
      <c r="Z55" t="b">
        <v>0</v>
      </c>
      <c r="AA55" t="b">
        <v>0</v>
      </c>
      <c r="AB55">
        <v>8</v>
      </c>
      <c r="AD55">
        <v>52903.515625</v>
      </c>
      <c r="AE55">
        <v>52903.515625</v>
      </c>
      <c r="AI55">
        <v>180506.796875</v>
      </c>
      <c r="AJ55" t="s">
        <v>270</v>
      </c>
      <c r="AK55">
        <v>0</v>
      </c>
      <c r="AL55">
        <v>9</v>
      </c>
      <c r="AM55">
        <v>0</v>
      </c>
      <c r="AN55">
        <v>62</v>
      </c>
      <c r="AO55">
        <v>0</v>
      </c>
      <c r="AP55">
        <v>22</v>
      </c>
      <c r="AQ55">
        <v>0</v>
      </c>
      <c r="AR55">
        <v>0</v>
      </c>
      <c r="AS55">
        <v>9</v>
      </c>
      <c r="AT55" t="b">
        <v>1</v>
      </c>
      <c r="AU55">
        <v>0</v>
      </c>
      <c r="AV55">
        <v>0</v>
      </c>
      <c r="AW55">
        <v>0</v>
      </c>
      <c r="AX55" t="b">
        <v>0</v>
      </c>
      <c r="AY55" t="b">
        <v>0</v>
      </c>
      <c r="AZ55" t="b">
        <v>0</v>
      </c>
      <c r="BA55" t="b">
        <v>0</v>
      </c>
      <c r="BB55" t="s">
        <v>270</v>
      </c>
      <c r="BC55" t="s">
        <v>270</v>
      </c>
      <c r="BD55" t="s">
        <v>270</v>
      </c>
      <c r="BE55" t="s">
        <v>1775</v>
      </c>
      <c r="BF55" t="s">
        <v>1776</v>
      </c>
      <c r="BG55" t="s">
        <v>1777</v>
      </c>
      <c r="BH55" t="s">
        <v>1778</v>
      </c>
      <c r="BI55" t="s">
        <v>1779</v>
      </c>
      <c r="BJ55" t="b">
        <v>0</v>
      </c>
      <c r="BK55" t="b">
        <v>1</v>
      </c>
      <c r="BL55" t="b">
        <v>0</v>
      </c>
      <c r="BM55" t="b">
        <v>0</v>
      </c>
      <c r="BN55" t="b">
        <v>0</v>
      </c>
      <c r="BO55" t="b">
        <v>0</v>
      </c>
      <c r="BP55">
        <v>1</v>
      </c>
      <c r="BQ55">
        <v>7</v>
      </c>
      <c r="BR55">
        <v>0</v>
      </c>
      <c r="BS55">
        <v>0</v>
      </c>
      <c r="BT55" t="b">
        <v>1</v>
      </c>
      <c r="BU55">
        <v>0</v>
      </c>
      <c r="BV55">
        <v>7</v>
      </c>
      <c r="BW55">
        <v>4705</v>
      </c>
      <c r="BX55">
        <v>1</v>
      </c>
      <c r="BY55" t="s">
        <v>273</v>
      </c>
      <c r="BZ55" t="s">
        <v>270</v>
      </c>
      <c r="CA55" t="s">
        <v>273</v>
      </c>
      <c r="CB55" t="s">
        <v>273</v>
      </c>
      <c r="CC55" t="s">
        <v>1780</v>
      </c>
      <c r="CD55" t="s">
        <v>1781</v>
      </c>
      <c r="CE55" t="s">
        <v>1782</v>
      </c>
      <c r="CF55" t="s">
        <v>1783</v>
      </c>
      <c r="CG55">
        <f t="shared" si="0"/>
        <v>343.45651245117199</v>
      </c>
      <c r="CH55">
        <f t="shared" si="1"/>
        <v>5900</v>
      </c>
      <c r="CI55">
        <f t="shared" si="2"/>
        <v>3</v>
      </c>
      <c r="CJ55">
        <f t="shared" si="3"/>
        <v>2026393.4234619148</v>
      </c>
      <c r="CK55">
        <f t="shared" si="4"/>
        <v>1030.3695373535161</v>
      </c>
    </row>
    <row r="56" spans="1:89">
      <c r="A56">
        <v>13520</v>
      </c>
      <c r="B56" t="s">
        <v>1770</v>
      </c>
      <c r="C56">
        <v>114.48550415039099</v>
      </c>
      <c r="D56" t="s">
        <v>1792</v>
      </c>
      <c r="E56">
        <v>1968</v>
      </c>
      <c r="F56" t="s">
        <v>1817</v>
      </c>
      <c r="G56" t="s">
        <v>169</v>
      </c>
      <c r="H56">
        <v>98203</v>
      </c>
      <c r="I56" t="s">
        <v>1797</v>
      </c>
      <c r="K56" t="s">
        <v>1774</v>
      </c>
      <c r="L56">
        <v>18</v>
      </c>
      <c r="M56">
        <v>3</v>
      </c>
      <c r="N56">
        <v>0</v>
      </c>
      <c r="O56">
        <v>3</v>
      </c>
      <c r="P56">
        <v>0</v>
      </c>
      <c r="Q56">
        <v>14900</v>
      </c>
      <c r="R56">
        <v>14900</v>
      </c>
      <c r="S56">
        <v>0</v>
      </c>
      <c r="T56">
        <v>0</v>
      </c>
      <c r="U56">
        <v>0</v>
      </c>
      <c r="V56">
        <v>6</v>
      </c>
      <c r="W56">
        <v>12</v>
      </c>
      <c r="X56">
        <v>0</v>
      </c>
      <c r="Y56">
        <v>11</v>
      </c>
      <c r="Z56" t="b">
        <v>0</v>
      </c>
      <c r="AA56" t="b">
        <v>0</v>
      </c>
      <c r="AB56">
        <v>7.75</v>
      </c>
      <c r="AC56">
        <v>14471.8251953125</v>
      </c>
      <c r="AD56">
        <v>146984.25</v>
      </c>
      <c r="AE56">
        <v>161456.078125</v>
      </c>
      <c r="AI56">
        <v>550888.125</v>
      </c>
      <c r="AJ56" t="s">
        <v>270</v>
      </c>
      <c r="AK56">
        <v>0</v>
      </c>
      <c r="AL56">
        <v>6</v>
      </c>
      <c r="AM56">
        <v>0</v>
      </c>
      <c r="AN56">
        <v>31</v>
      </c>
      <c r="AO56">
        <v>0</v>
      </c>
      <c r="AP56">
        <v>57</v>
      </c>
      <c r="AQ56">
        <v>0</v>
      </c>
      <c r="AR56">
        <v>0</v>
      </c>
      <c r="AS56">
        <v>6</v>
      </c>
      <c r="AT56" t="b">
        <v>1</v>
      </c>
      <c r="AU56">
        <v>0</v>
      </c>
      <c r="AV56">
        <v>0</v>
      </c>
      <c r="AW56">
        <v>0</v>
      </c>
      <c r="AX56" t="b">
        <v>0</v>
      </c>
      <c r="AY56" t="b">
        <v>0</v>
      </c>
      <c r="AZ56" t="b">
        <v>0</v>
      </c>
      <c r="BA56" t="b">
        <v>0</v>
      </c>
      <c r="BB56" t="s">
        <v>270</v>
      </c>
      <c r="BC56" t="s">
        <v>270</v>
      </c>
      <c r="BD56" t="s">
        <v>270</v>
      </c>
      <c r="BE56" t="s">
        <v>1775</v>
      </c>
      <c r="BF56" t="s">
        <v>1776</v>
      </c>
      <c r="BG56" t="s">
        <v>1777</v>
      </c>
      <c r="BH56" t="s">
        <v>1778</v>
      </c>
      <c r="BI56" t="s">
        <v>1779</v>
      </c>
      <c r="BJ56" t="b">
        <v>0</v>
      </c>
      <c r="BK56" t="b">
        <v>1</v>
      </c>
      <c r="BL56" t="b">
        <v>0</v>
      </c>
      <c r="BM56" t="b">
        <v>0</v>
      </c>
      <c r="BN56" t="b">
        <v>0</v>
      </c>
      <c r="BO56" t="b">
        <v>0</v>
      </c>
      <c r="BP56">
        <v>2</v>
      </c>
      <c r="BQ56">
        <v>38</v>
      </c>
      <c r="BR56">
        <v>0</v>
      </c>
      <c r="BS56">
        <v>0</v>
      </c>
      <c r="BT56" t="b">
        <v>1</v>
      </c>
      <c r="BU56">
        <v>0</v>
      </c>
      <c r="BV56">
        <v>24</v>
      </c>
      <c r="BW56">
        <v>10200</v>
      </c>
      <c r="BX56">
        <v>0</v>
      </c>
      <c r="BY56" t="s">
        <v>270</v>
      </c>
      <c r="BZ56" t="s">
        <v>270</v>
      </c>
      <c r="CA56" t="s">
        <v>270</v>
      </c>
      <c r="CB56" t="s">
        <v>273</v>
      </c>
      <c r="CC56" t="s">
        <v>1780</v>
      </c>
      <c r="CD56" t="s">
        <v>1781</v>
      </c>
      <c r="CE56" t="s">
        <v>1782</v>
      </c>
      <c r="CF56" t="s">
        <v>1783</v>
      </c>
      <c r="CG56">
        <f t="shared" si="0"/>
        <v>114.48550415039099</v>
      </c>
      <c r="CH56">
        <f t="shared" si="1"/>
        <v>14900</v>
      </c>
      <c r="CI56">
        <f t="shared" si="2"/>
        <v>3</v>
      </c>
      <c r="CJ56">
        <f t="shared" si="3"/>
        <v>1705834.0118408259</v>
      </c>
      <c r="CK56">
        <f t="shared" si="4"/>
        <v>343.45651245117301</v>
      </c>
    </row>
    <row r="57" spans="1:89">
      <c r="A57">
        <v>13628</v>
      </c>
      <c r="B57" t="s">
        <v>1770</v>
      </c>
      <c r="C57">
        <v>343.45651245117199</v>
      </c>
      <c r="D57" t="s">
        <v>1802</v>
      </c>
      <c r="E57">
        <v>1978</v>
      </c>
      <c r="F57" t="s">
        <v>1845</v>
      </c>
      <c r="G57" t="s">
        <v>169</v>
      </c>
      <c r="H57">
        <v>98290</v>
      </c>
      <c r="I57" t="s">
        <v>1797</v>
      </c>
      <c r="K57" t="s">
        <v>1774</v>
      </c>
      <c r="L57">
        <v>6</v>
      </c>
      <c r="M57">
        <v>2</v>
      </c>
      <c r="N57">
        <v>0</v>
      </c>
      <c r="O57">
        <v>2</v>
      </c>
      <c r="P57">
        <v>0</v>
      </c>
      <c r="Q57">
        <v>4256</v>
      </c>
      <c r="R57">
        <v>4256</v>
      </c>
      <c r="S57">
        <v>0</v>
      </c>
      <c r="T57">
        <v>0</v>
      </c>
      <c r="U57">
        <v>0</v>
      </c>
      <c r="V57">
        <v>4</v>
      </c>
      <c r="W57">
        <v>2</v>
      </c>
      <c r="X57">
        <v>0</v>
      </c>
      <c r="Y57">
        <v>0</v>
      </c>
      <c r="Z57" t="b">
        <v>0</v>
      </c>
      <c r="AA57" t="b">
        <v>0</v>
      </c>
      <c r="AB57">
        <v>7.75</v>
      </c>
      <c r="AD57">
        <v>51443.47265625</v>
      </c>
      <c r="AE57">
        <v>51443.47265625</v>
      </c>
      <c r="AI57">
        <v>175525.125</v>
      </c>
      <c r="AJ57" t="s">
        <v>270</v>
      </c>
      <c r="AK57">
        <v>0</v>
      </c>
      <c r="AL57">
        <v>0</v>
      </c>
      <c r="AM57">
        <v>0</v>
      </c>
      <c r="AN57">
        <v>33</v>
      </c>
      <c r="AO57">
        <v>0</v>
      </c>
      <c r="AP57">
        <v>66</v>
      </c>
      <c r="AQ57">
        <v>0</v>
      </c>
      <c r="AR57">
        <v>0</v>
      </c>
      <c r="AS57">
        <v>0</v>
      </c>
      <c r="AT57" t="b">
        <v>1</v>
      </c>
      <c r="AU57">
        <v>0</v>
      </c>
      <c r="AV57">
        <v>0</v>
      </c>
      <c r="AW57">
        <v>0</v>
      </c>
      <c r="AX57" t="b">
        <v>0</v>
      </c>
      <c r="AY57" t="b">
        <v>0</v>
      </c>
      <c r="AZ57" t="b">
        <v>0</v>
      </c>
      <c r="BA57" t="b">
        <v>0</v>
      </c>
      <c r="BB57" t="s">
        <v>270</v>
      </c>
      <c r="BC57" t="s">
        <v>270</v>
      </c>
      <c r="BD57" t="s">
        <v>270</v>
      </c>
      <c r="BE57" t="s">
        <v>1775</v>
      </c>
      <c r="BF57" t="s">
        <v>1776</v>
      </c>
      <c r="BG57" t="s">
        <v>1777</v>
      </c>
      <c r="BH57" t="s">
        <v>1778</v>
      </c>
      <c r="BI57" t="s">
        <v>1779</v>
      </c>
      <c r="BJ57" t="b">
        <v>0</v>
      </c>
      <c r="BK57" t="b">
        <v>1</v>
      </c>
      <c r="BL57" t="b">
        <v>0</v>
      </c>
      <c r="BM57" t="b">
        <v>0</v>
      </c>
      <c r="BN57" t="b">
        <v>0</v>
      </c>
      <c r="BO57" t="b">
        <v>0</v>
      </c>
      <c r="BP57">
        <v>1</v>
      </c>
      <c r="BQ57">
        <v>6</v>
      </c>
      <c r="BR57">
        <v>0</v>
      </c>
      <c r="BS57">
        <v>0</v>
      </c>
      <c r="BT57" t="b">
        <v>1</v>
      </c>
      <c r="BV57">
        <v>11</v>
      </c>
      <c r="BW57">
        <v>4675</v>
      </c>
      <c r="BX57">
        <v>0</v>
      </c>
      <c r="BY57" t="s">
        <v>270</v>
      </c>
      <c r="BZ57" t="s">
        <v>270</v>
      </c>
      <c r="CA57" t="s">
        <v>270</v>
      </c>
      <c r="CB57" t="s">
        <v>273</v>
      </c>
      <c r="CC57" t="s">
        <v>1780</v>
      </c>
      <c r="CD57" t="s">
        <v>1781</v>
      </c>
      <c r="CE57" t="s">
        <v>1795</v>
      </c>
      <c r="CF57" t="s">
        <v>1783</v>
      </c>
      <c r="CG57">
        <f t="shared" si="0"/>
        <v>343.45651245117199</v>
      </c>
      <c r="CH57">
        <f t="shared" si="1"/>
        <v>4256</v>
      </c>
      <c r="CI57">
        <f t="shared" si="2"/>
        <v>2</v>
      </c>
      <c r="CJ57">
        <f t="shared" si="3"/>
        <v>1461750.916992188</v>
      </c>
      <c r="CK57">
        <f t="shared" si="4"/>
        <v>686.91302490234398</v>
      </c>
    </row>
    <row r="58" spans="1:89">
      <c r="A58">
        <v>13694</v>
      </c>
      <c r="B58" t="s">
        <v>1770</v>
      </c>
      <c r="C58">
        <v>266.90576171875</v>
      </c>
      <c r="D58" t="s">
        <v>1802</v>
      </c>
      <c r="E58">
        <v>1978</v>
      </c>
      <c r="F58" t="s">
        <v>1846</v>
      </c>
      <c r="G58" t="s">
        <v>169</v>
      </c>
      <c r="H58">
        <v>98028</v>
      </c>
      <c r="I58" t="s">
        <v>1785</v>
      </c>
      <c r="J58" t="s">
        <v>1785</v>
      </c>
      <c r="K58" t="s">
        <v>1774</v>
      </c>
      <c r="L58">
        <v>18</v>
      </c>
      <c r="M58">
        <v>3</v>
      </c>
      <c r="N58">
        <v>0</v>
      </c>
      <c r="O58">
        <v>3</v>
      </c>
      <c r="P58">
        <v>0</v>
      </c>
      <c r="Q58">
        <v>15120</v>
      </c>
      <c r="R58">
        <v>15120</v>
      </c>
      <c r="S58">
        <v>0</v>
      </c>
      <c r="T58">
        <v>0</v>
      </c>
      <c r="U58">
        <v>0</v>
      </c>
      <c r="V58">
        <v>12</v>
      </c>
      <c r="W58">
        <v>6</v>
      </c>
      <c r="X58">
        <v>0</v>
      </c>
      <c r="Y58">
        <v>5</v>
      </c>
      <c r="Z58" t="b">
        <v>0</v>
      </c>
      <c r="AA58" t="b">
        <v>0</v>
      </c>
      <c r="AB58">
        <v>8.5</v>
      </c>
      <c r="AD58">
        <v>165493.53125</v>
      </c>
      <c r="AE58">
        <v>165493.53125</v>
      </c>
      <c r="AJ58" t="s">
        <v>270</v>
      </c>
      <c r="AK58">
        <v>0</v>
      </c>
      <c r="AL58">
        <v>66</v>
      </c>
      <c r="AM58">
        <v>0</v>
      </c>
      <c r="AN58">
        <v>8</v>
      </c>
      <c r="AO58">
        <v>0</v>
      </c>
      <c r="AP58">
        <v>7</v>
      </c>
      <c r="AQ58">
        <v>0</v>
      </c>
      <c r="AR58">
        <v>0</v>
      </c>
      <c r="AS58">
        <v>20</v>
      </c>
      <c r="AT58" t="b">
        <v>1</v>
      </c>
      <c r="AU58">
        <v>0</v>
      </c>
      <c r="AV58">
        <v>0</v>
      </c>
      <c r="AW58">
        <v>0</v>
      </c>
      <c r="AX58" t="b">
        <v>0</v>
      </c>
      <c r="AY58" t="b">
        <v>0</v>
      </c>
      <c r="AZ58" t="b">
        <v>0</v>
      </c>
      <c r="BA58" t="b">
        <v>0</v>
      </c>
      <c r="BB58" t="s">
        <v>270</v>
      </c>
      <c r="BC58" t="s">
        <v>270</v>
      </c>
      <c r="BD58" t="s">
        <v>270</v>
      </c>
      <c r="BE58" t="s">
        <v>1775</v>
      </c>
      <c r="BF58" t="s">
        <v>1776</v>
      </c>
      <c r="BG58" t="s">
        <v>1777</v>
      </c>
      <c r="BH58" t="s">
        <v>1778</v>
      </c>
      <c r="BI58" t="s">
        <v>1779</v>
      </c>
      <c r="BJ58" t="b">
        <v>1</v>
      </c>
      <c r="BK58" t="b">
        <v>1</v>
      </c>
      <c r="BL58" t="b">
        <v>0</v>
      </c>
      <c r="BM58" t="b">
        <v>0</v>
      </c>
      <c r="BN58" t="b">
        <v>0</v>
      </c>
      <c r="BO58" t="b">
        <v>0</v>
      </c>
      <c r="BQ58">
        <v>19</v>
      </c>
      <c r="BR58">
        <v>0</v>
      </c>
      <c r="BS58">
        <v>0</v>
      </c>
      <c r="BT58" t="b">
        <v>1</v>
      </c>
      <c r="BU58">
        <v>2</v>
      </c>
      <c r="BV58">
        <v>18</v>
      </c>
      <c r="BW58">
        <v>7650</v>
      </c>
      <c r="BX58">
        <v>0</v>
      </c>
      <c r="BY58" t="s">
        <v>270</v>
      </c>
      <c r="BZ58" t="s">
        <v>270</v>
      </c>
      <c r="CA58" t="s">
        <v>270</v>
      </c>
      <c r="CB58" t="s">
        <v>273</v>
      </c>
      <c r="CC58" t="s">
        <v>1787</v>
      </c>
      <c r="CD58" t="s">
        <v>1781</v>
      </c>
      <c r="CE58" t="s">
        <v>1782</v>
      </c>
      <c r="CF58" t="s">
        <v>1783</v>
      </c>
      <c r="CG58">
        <f t="shared" si="0"/>
        <v>266.90576171875</v>
      </c>
      <c r="CH58">
        <f t="shared" si="1"/>
        <v>15120</v>
      </c>
      <c r="CI58">
        <f t="shared" si="2"/>
        <v>3</v>
      </c>
      <c r="CJ58">
        <f t="shared" si="3"/>
        <v>4035615.1171875</v>
      </c>
      <c r="CK58">
        <f t="shared" si="4"/>
        <v>800.71728515625</v>
      </c>
    </row>
    <row r="59" spans="1:89">
      <c r="A59">
        <v>13712</v>
      </c>
      <c r="B59" t="s">
        <v>1770</v>
      </c>
      <c r="C59">
        <v>136.90428161621099</v>
      </c>
      <c r="D59" t="s">
        <v>1802</v>
      </c>
      <c r="E59">
        <v>1979</v>
      </c>
      <c r="F59" t="s">
        <v>1788</v>
      </c>
      <c r="G59" t="s">
        <v>169</v>
      </c>
      <c r="H59">
        <v>98103</v>
      </c>
      <c r="I59" t="s">
        <v>1789</v>
      </c>
      <c r="J59" t="s">
        <v>1785</v>
      </c>
      <c r="K59" t="s">
        <v>1774</v>
      </c>
      <c r="L59">
        <v>8</v>
      </c>
      <c r="M59">
        <v>2</v>
      </c>
      <c r="N59">
        <v>0</v>
      </c>
      <c r="O59">
        <v>3</v>
      </c>
      <c r="P59">
        <v>0</v>
      </c>
      <c r="Q59">
        <v>5600</v>
      </c>
      <c r="R59">
        <v>5600</v>
      </c>
      <c r="S59">
        <v>263</v>
      </c>
      <c r="T59">
        <v>0</v>
      </c>
      <c r="U59">
        <v>0</v>
      </c>
      <c r="V59">
        <v>4</v>
      </c>
      <c r="W59">
        <v>4</v>
      </c>
      <c r="X59">
        <v>0</v>
      </c>
      <c r="Y59">
        <v>0</v>
      </c>
      <c r="Z59" t="b">
        <v>0</v>
      </c>
      <c r="AA59" t="b">
        <v>1</v>
      </c>
      <c r="AB59">
        <v>8</v>
      </c>
      <c r="AC59">
        <v>6915.02880859375</v>
      </c>
      <c r="AD59">
        <v>62478.71875</v>
      </c>
      <c r="AE59">
        <v>69393.75</v>
      </c>
      <c r="AJ59" t="s">
        <v>270</v>
      </c>
      <c r="AK59">
        <v>0</v>
      </c>
      <c r="AL59">
        <v>14</v>
      </c>
      <c r="AM59">
        <v>0</v>
      </c>
      <c r="AN59">
        <v>34</v>
      </c>
      <c r="AO59">
        <v>0</v>
      </c>
      <c r="AP59">
        <v>37</v>
      </c>
      <c r="AQ59">
        <v>0</v>
      </c>
      <c r="AR59">
        <v>0</v>
      </c>
      <c r="AS59">
        <v>15</v>
      </c>
      <c r="AT59" t="b">
        <v>0</v>
      </c>
      <c r="AU59">
        <v>1</v>
      </c>
      <c r="AV59">
        <v>1</v>
      </c>
      <c r="AW59">
        <v>0</v>
      </c>
      <c r="AX59" t="b">
        <v>0</v>
      </c>
      <c r="AY59" t="b">
        <v>0</v>
      </c>
      <c r="AZ59" t="b">
        <v>0</v>
      </c>
      <c r="BA59" t="b">
        <v>0</v>
      </c>
      <c r="BB59" t="s">
        <v>270</v>
      </c>
      <c r="BC59" t="s">
        <v>270</v>
      </c>
      <c r="BD59" t="s">
        <v>270</v>
      </c>
      <c r="BE59" t="s">
        <v>1775</v>
      </c>
      <c r="BF59" t="s">
        <v>1776</v>
      </c>
      <c r="BG59" t="s">
        <v>1777</v>
      </c>
      <c r="BH59" t="s">
        <v>1778</v>
      </c>
      <c r="BI59" t="s">
        <v>1790</v>
      </c>
      <c r="BJ59" t="b">
        <v>1</v>
      </c>
      <c r="BK59" t="b">
        <v>1</v>
      </c>
      <c r="BL59" t="b">
        <v>0</v>
      </c>
      <c r="BM59" t="b">
        <v>0</v>
      </c>
      <c r="BN59" t="b">
        <v>0</v>
      </c>
      <c r="BO59" t="b">
        <v>0</v>
      </c>
      <c r="BP59">
        <v>1</v>
      </c>
      <c r="BQ59">
        <v>9</v>
      </c>
      <c r="BR59">
        <v>0</v>
      </c>
      <c r="BS59">
        <v>0</v>
      </c>
      <c r="BT59" t="b">
        <v>1</v>
      </c>
      <c r="BU59">
        <v>0</v>
      </c>
      <c r="BV59">
        <v>8</v>
      </c>
      <c r="BW59">
        <v>2090</v>
      </c>
      <c r="BX59">
        <v>1</v>
      </c>
      <c r="BY59" t="s">
        <v>270</v>
      </c>
      <c r="BZ59" t="s">
        <v>273</v>
      </c>
      <c r="CA59" t="s">
        <v>270</v>
      </c>
      <c r="CB59" t="s">
        <v>270</v>
      </c>
      <c r="CC59" t="s">
        <v>1787</v>
      </c>
      <c r="CD59" t="s">
        <v>1781</v>
      </c>
      <c r="CE59" t="s">
        <v>1791</v>
      </c>
      <c r="CF59" t="s">
        <v>1783</v>
      </c>
      <c r="CG59">
        <f t="shared" si="0"/>
        <v>136.90428161621099</v>
      </c>
      <c r="CH59">
        <f t="shared" si="1"/>
        <v>5600</v>
      </c>
      <c r="CI59">
        <f t="shared" si="2"/>
        <v>2</v>
      </c>
      <c r="CJ59">
        <f t="shared" si="3"/>
        <v>766663.9770507816</v>
      </c>
      <c r="CK59">
        <f t="shared" si="4"/>
        <v>273.80856323242199</v>
      </c>
    </row>
    <row r="60" spans="1:89">
      <c r="A60">
        <v>13861</v>
      </c>
      <c r="B60" t="s">
        <v>1770</v>
      </c>
      <c r="C60">
        <v>18.253904342651399</v>
      </c>
      <c r="D60" t="s">
        <v>1808</v>
      </c>
      <c r="E60">
        <v>1995</v>
      </c>
      <c r="F60" t="s">
        <v>1788</v>
      </c>
      <c r="G60" t="s">
        <v>169</v>
      </c>
      <c r="H60">
        <v>98112</v>
      </c>
      <c r="I60" t="s">
        <v>1789</v>
      </c>
      <c r="K60" t="s">
        <v>1774</v>
      </c>
      <c r="L60">
        <v>60</v>
      </c>
      <c r="M60">
        <v>3</v>
      </c>
      <c r="N60">
        <v>0</v>
      </c>
      <c r="O60">
        <v>3</v>
      </c>
      <c r="P60">
        <v>1</v>
      </c>
      <c r="Q60">
        <v>40688</v>
      </c>
      <c r="R60">
        <v>40688</v>
      </c>
      <c r="S60">
        <v>7296</v>
      </c>
      <c r="T60">
        <v>0</v>
      </c>
      <c r="U60">
        <v>0</v>
      </c>
      <c r="V60">
        <v>0</v>
      </c>
      <c r="W60">
        <v>60</v>
      </c>
      <c r="X60">
        <v>0</v>
      </c>
      <c r="Y60">
        <v>12</v>
      </c>
      <c r="Z60" t="b">
        <v>0</v>
      </c>
      <c r="AA60" t="b">
        <v>1</v>
      </c>
      <c r="AB60">
        <v>8</v>
      </c>
      <c r="AC60">
        <v>322058.1875</v>
      </c>
      <c r="AD60">
        <v>241963.296875</v>
      </c>
      <c r="AE60">
        <v>564021.5</v>
      </c>
      <c r="AI60">
        <v>1924441.375</v>
      </c>
      <c r="AJ60" t="s">
        <v>270</v>
      </c>
      <c r="AK60">
        <v>0</v>
      </c>
      <c r="AL60">
        <v>42</v>
      </c>
      <c r="AM60">
        <v>0</v>
      </c>
      <c r="AN60">
        <v>12</v>
      </c>
      <c r="AO60">
        <v>0</v>
      </c>
      <c r="AP60">
        <v>12</v>
      </c>
      <c r="AQ60">
        <v>0</v>
      </c>
      <c r="AR60">
        <v>0</v>
      </c>
      <c r="AS60">
        <v>34</v>
      </c>
      <c r="AT60" t="b">
        <v>0</v>
      </c>
      <c r="AU60">
        <v>3</v>
      </c>
      <c r="AV60">
        <v>3</v>
      </c>
      <c r="AW60">
        <v>1</v>
      </c>
      <c r="AX60" t="b">
        <v>0</v>
      </c>
      <c r="AY60" t="b">
        <v>0</v>
      </c>
      <c r="AZ60" t="b">
        <v>1</v>
      </c>
      <c r="BA60" t="b">
        <v>0</v>
      </c>
      <c r="BB60" t="s">
        <v>273</v>
      </c>
      <c r="BC60" t="s">
        <v>270</v>
      </c>
      <c r="BD60" t="s">
        <v>270</v>
      </c>
      <c r="BE60" t="s">
        <v>1775</v>
      </c>
      <c r="BF60" t="s">
        <v>1776</v>
      </c>
      <c r="BG60" t="s">
        <v>1777</v>
      </c>
      <c r="BH60" t="s">
        <v>1778</v>
      </c>
      <c r="BI60" t="s">
        <v>1847</v>
      </c>
      <c r="BJ60" t="b">
        <v>0</v>
      </c>
      <c r="BK60" t="b">
        <v>1</v>
      </c>
      <c r="BL60" t="b">
        <v>0</v>
      </c>
      <c r="BM60" t="b">
        <v>0</v>
      </c>
      <c r="BN60" t="b">
        <v>0</v>
      </c>
      <c r="BO60" t="b">
        <v>0</v>
      </c>
      <c r="BP60">
        <v>4</v>
      </c>
      <c r="BQ60">
        <v>62</v>
      </c>
      <c r="BR60">
        <v>0</v>
      </c>
      <c r="BS60">
        <v>0</v>
      </c>
      <c r="BT60" t="b">
        <v>1</v>
      </c>
      <c r="BV60">
        <v>22</v>
      </c>
      <c r="BW60">
        <v>9350</v>
      </c>
      <c r="BX60">
        <v>0</v>
      </c>
      <c r="BY60" t="s">
        <v>270</v>
      </c>
      <c r="BZ60" t="s">
        <v>270</v>
      </c>
      <c r="CA60" t="s">
        <v>270</v>
      </c>
      <c r="CB60" t="s">
        <v>273</v>
      </c>
      <c r="CC60" t="s">
        <v>1780</v>
      </c>
      <c r="CD60" t="s">
        <v>1781</v>
      </c>
      <c r="CE60" t="s">
        <v>1824</v>
      </c>
      <c r="CF60" t="s">
        <v>1783</v>
      </c>
      <c r="CG60">
        <f t="shared" si="0"/>
        <v>18.253904342651399</v>
      </c>
      <c r="CH60">
        <f t="shared" si="1"/>
        <v>40688</v>
      </c>
      <c r="CI60">
        <f t="shared" si="2"/>
        <v>3</v>
      </c>
      <c r="CJ60">
        <f t="shared" si="3"/>
        <v>742714.85989380011</v>
      </c>
      <c r="CK60">
        <f t="shared" si="4"/>
        <v>54.761713027954201</v>
      </c>
    </row>
    <row r="61" spans="1:89">
      <c r="A61">
        <v>13899</v>
      </c>
      <c r="B61" t="s">
        <v>1770</v>
      </c>
      <c r="C61">
        <v>42.124393463134801</v>
      </c>
      <c r="D61" t="s">
        <v>1802</v>
      </c>
      <c r="E61">
        <v>1978</v>
      </c>
      <c r="F61" t="s">
        <v>1788</v>
      </c>
      <c r="G61" t="s">
        <v>169</v>
      </c>
      <c r="H61">
        <v>98178</v>
      </c>
      <c r="I61" t="s">
        <v>1789</v>
      </c>
      <c r="K61" t="s">
        <v>1774</v>
      </c>
      <c r="L61">
        <v>26</v>
      </c>
      <c r="M61">
        <v>3</v>
      </c>
      <c r="N61">
        <v>0</v>
      </c>
      <c r="O61">
        <v>3</v>
      </c>
      <c r="P61">
        <v>0</v>
      </c>
      <c r="Q61">
        <v>21099</v>
      </c>
      <c r="R61">
        <v>21099</v>
      </c>
      <c r="S61">
        <v>128</v>
      </c>
      <c r="T61">
        <v>0</v>
      </c>
      <c r="U61">
        <v>0</v>
      </c>
      <c r="V61">
        <v>24</v>
      </c>
      <c r="W61">
        <v>2</v>
      </c>
      <c r="X61">
        <v>0</v>
      </c>
      <c r="Y61">
        <v>4</v>
      </c>
      <c r="Z61" t="b">
        <v>0</v>
      </c>
      <c r="AA61" t="b">
        <v>1</v>
      </c>
      <c r="AB61">
        <v>8</v>
      </c>
      <c r="AC61">
        <v>13962.4384765625</v>
      </c>
      <c r="AD61">
        <v>212962.125</v>
      </c>
      <c r="AE61">
        <v>226924.5625</v>
      </c>
      <c r="AI61">
        <v>774266.625</v>
      </c>
      <c r="AJ61" t="s">
        <v>270</v>
      </c>
      <c r="AK61">
        <v>0</v>
      </c>
      <c r="AL61">
        <v>38</v>
      </c>
      <c r="AM61">
        <v>0</v>
      </c>
      <c r="AN61">
        <v>8</v>
      </c>
      <c r="AO61">
        <v>0</v>
      </c>
      <c r="AP61">
        <v>6</v>
      </c>
      <c r="AQ61">
        <v>0</v>
      </c>
      <c r="AR61">
        <v>0</v>
      </c>
      <c r="AS61">
        <v>48</v>
      </c>
      <c r="AT61" t="b">
        <v>0</v>
      </c>
      <c r="AU61">
        <v>3</v>
      </c>
      <c r="AV61">
        <v>3</v>
      </c>
      <c r="AW61">
        <v>0</v>
      </c>
      <c r="AX61" t="b">
        <v>0</v>
      </c>
      <c r="AY61" t="b">
        <v>0</v>
      </c>
      <c r="AZ61" t="b">
        <v>0</v>
      </c>
      <c r="BA61" t="b">
        <v>0</v>
      </c>
      <c r="BB61" t="s">
        <v>270</v>
      </c>
      <c r="BC61" t="s">
        <v>270</v>
      </c>
      <c r="BD61" t="s">
        <v>270</v>
      </c>
      <c r="BE61" t="s">
        <v>1775</v>
      </c>
      <c r="BF61" t="s">
        <v>1776</v>
      </c>
      <c r="BG61" t="s">
        <v>1777</v>
      </c>
      <c r="BH61" t="s">
        <v>1778</v>
      </c>
      <c r="BI61" t="s">
        <v>1790</v>
      </c>
      <c r="BJ61" t="b">
        <v>0</v>
      </c>
      <c r="BK61" t="b">
        <v>1</v>
      </c>
      <c r="BL61" t="b">
        <v>0</v>
      </c>
      <c r="BM61" t="b">
        <v>0</v>
      </c>
      <c r="BN61" t="b">
        <v>0</v>
      </c>
      <c r="BO61" t="b">
        <v>0</v>
      </c>
      <c r="BP61">
        <v>1</v>
      </c>
      <c r="BQ61">
        <v>27</v>
      </c>
      <c r="BR61">
        <v>0</v>
      </c>
      <c r="BS61">
        <v>0</v>
      </c>
      <c r="BT61" t="b">
        <v>1</v>
      </c>
      <c r="BU61">
        <v>0</v>
      </c>
      <c r="BV61">
        <v>27</v>
      </c>
      <c r="BW61">
        <v>11475</v>
      </c>
      <c r="BX61">
        <v>0</v>
      </c>
      <c r="BY61" t="s">
        <v>270</v>
      </c>
      <c r="BZ61" t="s">
        <v>270</v>
      </c>
      <c r="CA61" t="s">
        <v>270</v>
      </c>
      <c r="CB61" t="s">
        <v>273</v>
      </c>
      <c r="CC61" t="s">
        <v>1780</v>
      </c>
      <c r="CD61" t="s">
        <v>1781</v>
      </c>
      <c r="CE61" t="s">
        <v>1782</v>
      </c>
      <c r="CF61" t="s">
        <v>1783</v>
      </c>
      <c r="CG61">
        <f t="shared" si="0"/>
        <v>42.124393463134801</v>
      </c>
      <c r="CH61">
        <f t="shared" si="1"/>
        <v>21099</v>
      </c>
      <c r="CI61">
        <f t="shared" si="2"/>
        <v>3</v>
      </c>
      <c r="CJ61">
        <f t="shared" si="3"/>
        <v>888782.57767868112</v>
      </c>
      <c r="CK61">
        <f t="shared" si="4"/>
        <v>126.37318038940441</v>
      </c>
    </row>
    <row r="62" spans="1:89">
      <c r="A62">
        <v>13988</v>
      </c>
      <c r="B62" t="s">
        <v>1770</v>
      </c>
      <c r="C62">
        <v>114.48550415039099</v>
      </c>
      <c r="D62" t="s">
        <v>1792</v>
      </c>
      <c r="E62">
        <v>1963</v>
      </c>
      <c r="F62" t="s">
        <v>1796</v>
      </c>
      <c r="G62" t="s">
        <v>169</v>
      </c>
      <c r="H62">
        <v>98087</v>
      </c>
      <c r="I62" t="s">
        <v>1797</v>
      </c>
      <c r="J62" t="s">
        <v>1785</v>
      </c>
      <c r="K62" t="s">
        <v>1774</v>
      </c>
      <c r="L62">
        <v>18</v>
      </c>
      <c r="M62">
        <v>1</v>
      </c>
      <c r="N62">
        <v>0</v>
      </c>
      <c r="O62">
        <v>1</v>
      </c>
      <c r="P62">
        <v>1</v>
      </c>
      <c r="Q62">
        <v>7772</v>
      </c>
      <c r="R62">
        <v>7772</v>
      </c>
      <c r="S62">
        <v>228</v>
      </c>
      <c r="T62">
        <v>0</v>
      </c>
      <c r="U62">
        <v>0</v>
      </c>
      <c r="V62">
        <v>0</v>
      </c>
      <c r="W62">
        <v>17</v>
      </c>
      <c r="X62">
        <v>1</v>
      </c>
      <c r="Y62">
        <v>0</v>
      </c>
      <c r="Z62" t="b">
        <v>0</v>
      </c>
      <c r="AA62" t="b">
        <v>1</v>
      </c>
      <c r="AB62">
        <v>8</v>
      </c>
      <c r="AD62">
        <v>52339.265625</v>
      </c>
      <c r="AE62">
        <v>52339.265625</v>
      </c>
      <c r="AH62">
        <v>9808.7470703125</v>
      </c>
      <c r="AI62">
        <v>1159456.25</v>
      </c>
      <c r="AJ62" t="s">
        <v>270</v>
      </c>
      <c r="AL62">
        <v>0</v>
      </c>
      <c r="AM62">
        <v>0</v>
      </c>
      <c r="AN62">
        <v>65</v>
      </c>
      <c r="AO62">
        <v>0</v>
      </c>
      <c r="AP62">
        <v>28</v>
      </c>
      <c r="AQ62">
        <v>0</v>
      </c>
      <c r="AR62">
        <v>0</v>
      </c>
      <c r="AS62">
        <v>7</v>
      </c>
      <c r="AT62" t="b">
        <v>0</v>
      </c>
      <c r="AU62">
        <v>2</v>
      </c>
      <c r="AV62">
        <v>2</v>
      </c>
      <c r="AW62">
        <v>0</v>
      </c>
      <c r="AX62" t="b">
        <v>0</v>
      </c>
      <c r="AY62" t="b">
        <v>0</v>
      </c>
      <c r="AZ62" t="b">
        <v>0</v>
      </c>
      <c r="BA62" t="b">
        <v>0</v>
      </c>
      <c r="BB62" t="s">
        <v>273</v>
      </c>
      <c r="BC62" t="s">
        <v>270</v>
      </c>
      <c r="BD62" t="s">
        <v>270</v>
      </c>
      <c r="BE62" t="s">
        <v>1775</v>
      </c>
      <c r="BF62" t="s">
        <v>1776</v>
      </c>
      <c r="BG62" t="s">
        <v>1777</v>
      </c>
      <c r="BH62" t="s">
        <v>1778</v>
      </c>
      <c r="BI62" t="s">
        <v>1848</v>
      </c>
      <c r="BJ62" t="b">
        <v>1</v>
      </c>
      <c r="BK62" t="b">
        <v>1</v>
      </c>
      <c r="BL62" t="b">
        <v>1</v>
      </c>
      <c r="BM62" t="b">
        <v>0</v>
      </c>
      <c r="BN62" t="b">
        <v>0</v>
      </c>
      <c r="BO62" t="b">
        <v>0</v>
      </c>
      <c r="BP62">
        <v>3</v>
      </c>
      <c r="BQ62">
        <v>19</v>
      </c>
      <c r="BR62">
        <v>2</v>
      </c>
      <c r="BS62">
        <v>2</v>
      </c>
      <c r="BT62" t="b">
        <v>1</v>
      </c>
      <c r="BU62">
        <v>27</v>
      </c>
      <c r="BV62">
        <v>20</v>
      </c>
      <c r="BW62">
        <v>8500</v>
      </c>
      <c r="BX62">
        <v>0</v>
      </c>
      <c r="BY62" t="s">
        <v>270</v>
      </c>
      <c r="BZ62" t="s">
        <v>270</v>
      </c>
      <c r="CA62" t="s">
        <v>270</v>
      </c>
      <c r="CB62" t="s">
        <v>273</v>
      </c>
      <c r="CC62" t="s">
        <v>1787</v>
      </c>
      <c r="CD62" t="s">
        <v>1781</v>
      </c>
      <c r="CE62" t="s">
        <v>1798</v>
      </c>
      <c r="CF62" t="s">
        <v>1783</v>
      </c>
      <c r="CG62">
        <f t="shared" si="0"/>
        <v>114.48550415039099</v>
      </c>
      <c r="CH62">
        <f t="shared" si="1"/>
        <v>7772</v>
      </c>
      <c r="CI62">
        <f t="shared" si="2"/>
        <v>1</v>
      </c>
      <c r="CJ62">
        <f t="shared" si="3"/>
        <v>889781.33825683885</v>
      </c>
      <c r="CK62">
        <f t="shared" si="4"/>
        <v>114.48550415039099</v>
      </c>
    </row>
    <row r="63" spans="1:89">
      <c r="A63">
        <v>14014</v>
      </c>
      <c r="B63" t="s">
        <v>1770</v>
      </c>
      <c r="C63">
        <v>85.864128112792997</v>
      </c>
      <c r="D63" t="s">
        <v>1802</v>
      </c>
      <c r="E63">
        <v>1979</v>
      </c>
      <c r="F63" t="s">
        <v>1820</v>
      </c>
      <c r="G63" t="s">
        <v>169</v>
      </c>
      <c r="H63">
        <v>98043</v>
      </c>
      <c r="I63" t="s">
        <v>1797</v>
      </c>
      <c r="K63" t="s">
        <v>1774</v>
      </c>
      <c r="L63">
        <v>24</v>
      </c>
      <c r="M63">
        <v>2</v>
      </c>
      <c r="N63">
        <v>0</v>
      </c>
      <c r="O63">
        <v>2</v>
      </c>
      <c r="P63">
        <v>0</v>
      </c>
      <c r="Q63">
        <v>16560</v>
      </c>
      <c r="R63">
        <v>16560</v>
      </c>
      <c r="S63">
        <v>0</v>
      </c>
      <c r="T63">
        <v>0</v>
      </c>
      <c r="U63">
        <v>0</v>
      </c>
      <c r="V63">
        <v>8</v>
      </c>
      <c r="W63">
        <v>16</v>
      </c>
      <c r="X63">
        <v>0</v>
      </c>
      <c r="Y63">
        <v>8</v>
      </c>
      <c r="Z63" t="b">
        <v>0</v>
      </c>
      <c r="AA63" t="b">
        <v>0</v>
      </c>
      <c r="AB63">
        <v>7.75</v>
      </c>
      <c r="AC63">
        <v>67212.0078125</v>
      </c>
      <c r="AD63">
        <v>177416.171875</v>
      </c>
      <c r="AE63">
        <v>244628.1875</v>
      </c>
      <c r="AI63">
        <v>834671.375</v>
      </c>
      <c r="AJ63" t="s">
        <v>270</v>
      </c>
      <c r="AK63">
        <v>0</v>
      </c>
      <c r="AL63">
        <v>48</v>
      </c>
      <c r="AM63">
        <v>0</v>
      </c>
      <c r="AN63">
        <v>4</v>
      </c>
      <c r="AO63">
        <v>0</v>
      </c>
      <c r="AP63">
        <v>4</v>
      </c>
      <c r="AQ63">
        <v>0</v>
      </c>
      <c r="AR63">
        <v>0</v>
      </c>
      <c r="AS63">
        <v>44</v>
      </c>
      <c r="AT63" t="b">
        <v>1</v>
      </c>
      <c r="AU63">
        <v>0</v>
      </c>
      <c r="AV63">
        <v>0</v>
      </c>
      <c r="AW63">
        <v>0</v>
      </c>
      <c r="AX63" t="b">
        <v>0</v>
      </c>
      <c r="AY63" t="b">
        <v>0</v>
      </c>
      <c r="AZ63" t="b">
        <v>0</v>
      </c>
      <c r="BA63" t="b">
        <v>0</v>
      </c>
      <c r="BB63" t="s">
        <v>270</v>
      </c>
      <c r="BC63" t="s">
        <v>270</v>
      </c>
      <c r="BD63" t="s">
        <v>270</v>
      </c>
      <c r="BE63" t="s">
        <v>1775</v>
      </c>
      <c r="BF63" t="s">
        <v>1776</v>
      </c>
      <c r="BG63" t="s">
        <v>1777</v>
      </c>
      <c r="BH63" t="s">
        <v>1778</v>
      </c>
      <c r="BI63" t="s">
        <v>1779</v>
      </c>
      <c r="BJ63" t="b">
        <v>0</v>
      </c>
      <c r="BK63" t="b">
        <v>1</v>
      </c>
      <c r="BL63" t="b">
        <v>0</v>
      </c>
      <c r="BM63" t="b">
        <v>0</v>
      </c>
      <c r="BN63" t="b">
        <v>0</v>
      </c>
      <c r="BO63" t="b">
        <v>0</v>
      </c>
      <c r="BP63">
        <v>4</v>
      </c>
      <c r="BQ63">
        <v>25</v>
      </c>
      <c r="BR63">
        <v>0</v>
      </c>
      <c r="BS63">
        <v>0</v>
      </c>
      <c r="BT63" t="b">
        <v>1</v>
      </c>
      <c r="BU63">
        <v>7</v>
      </c>
      <c r="BV63">
        <v>30</v>
      </c>
      <c r="BW63">
        <v>12750</v>
      </c>
      <c r="BX63">
        <v>0</v>
      </c>
      <c r="BY63" t="s">
        <v>270</v>
      </c>
      <c r="BZ63" t="s">
        <v>270</v>
      </c>
      <c r="CA63" t="s">
        <v>270</v>
      </c>
      <c r="CB63" t="s">
        <v>273</v>
      </c>
      <c r="CC63" t="s">
        <v>1780</v>
      </c>
      <c r="CD63" t="s">
        <v>1781</v>
      </c>
      <c r="CE63" t="s">
        <v>1782</v>
      </c>
      <c r="CF63" t="s">
        <v>1783</v>
      </c>
      <c r="CG63">
        <f t="shared" si="0"/>
        <v>85.864128112792997</v>
      </c>
      <c r="CH63">
        <f t="shared" si="1"/>
        <v>16560</v>
      </c>
      <c r="CI63">
        <f t="shared" si="2"/>
        <v>2</v>
      </c>
      <c r="CJ63">
        <f t="shared" si="3"/>
        <v>1421909.961547852</v>
      </c>
      <c r="CK63">
        <f t="shared" si="4"/>
        <v>171.72825622558599</v>
      </c>
    </row>
    <row r="64" spans="1:89">
      <c r="A64">
        <v>14020</v>
      </c>
      <c r="B64" t="s">
        <v>1770</v>
      </c>
      <c r="C64">
        <v>171.72825622558599</v>
      </c>
      <c r="D64" t="s">
        <v>1771</v>
      </c>
      <c r="E64">
        <v>1986</v>
      </c>
      <c r="F64" t="s">
        <v>1817</v>
      </c>
      <c r="G64" t="s">
        <v>169</v>
      </c>
      <c r="H64">
        <v>98204</v>
      </c>
      <c r="I64" t="s">
        <v>1797</v>
      </c>
      <c r="K64" t="s">
        <v>1774</v>
      </c>
      <c r="L64">
        <v>12</v>
      </c>
      <c r="M64">
        <v>3</v>
      </c>
      <c r="N64">
        <v>0</v>
      </c>
      <c r="O64">
        <v>2</v>
      </c>
      <c r="P64">
        <v>0</v>
      </c>
      <c r="Q64">
        <v>7530</v>
      </c>
      <c r="R64">
        <v>7530</v>
      </c>
      <c r="S64">
        <v>0</v>
      </c>
      <c r="T64">
        <v>0</v>
      </c>
      <c r="U64">
        <v>0</v>
      </c>
      <c r="V64">
        <v>0</v>
      </c>
      <c r="W64">
        <v>12</v>
      </c>
      <c r="X64">
        <v>0</v>
      </c>
      <c r="Y64">
        <v>8</v>
      </c>
      <c r="Z64" t="b">
        <v>0</v>
      </c>
      <c r="AA64" t="b">
        <v>0</v>
      </c>
      <c r="AB64">
        <v>8</v>
      </c>
      <c r="AD64">
        <v>73966.8515625</v>
      </c>
      <c r="AE64">
        <v>73966.8515625</v>
      </c>
      <c r="AI64">
        <v>252374.890625</v>
      </c>
      <c r="AJ64" t="s">
        <v>270</v>
      </c>
      <c r="AK64">
        <v>0</v>
      </c>
      <c r="AL64">
        <v>57</v>
      </c>
      <c r="AM64">
        <v>0</v>
      </c>
      <c r="AN64">
        <v>14</v>
      </c>
      <c r="AO64">
        <v>0</v>
      </c>
      <c r="AP64">
        <v>14</v>
      </c>
      <c r="AQ64">
        <v>0</v>
      </c>
      <c r="AR64">
        <v>0</v>
      </c>
      <c r="AS64">
        <v>15</v>
      </c>
      <c r="AT64" t="b">
        <v>1</v>
      </c>
      <c r="AU64">
        <v>0</v>
      </c>
      <c r="AV64">
        <v>0</v>
      </c>
      <c r="AW64">
        <v>0</v>
      </c>
      <c r="AX64" t="b">
        <v>0</v>
      </c>
      <c r="AY64" t="b">
        <v>0</v>
      </c>
      <c r="AZ64" t="b">
        <v>0</v>
      </c>
      <c r="BA64" t="b">
        <v>0</v>
      </c>
      <c r="BB64" t="s">
        <v>270</v>
      </c>
      <c r="BC64" t="s">
        <v>270</v>
      </c>
      <c r="BD64" t="s">
        <v>273</v>
      </c>
      <c r="BE64" t="s">
        <v>1775</v>
      </c>
      <c r="BF64" t="s">
        <v>1776</v>
      </c>
      <c r="BG64" t="s">
        <v>1777</v>
      </c>
      <c r="BH64" t="s">
        <v>1778</v>
      </c>
      <c r="BI64" t="s">
        <v>1779</v>
      </c>
      <c r="BJ64" t="b">
        <v>0</v>
      </c>
      <c r="BK64" t="b">
        <v>1</v>
      </c>
      <c r="BL64" t="b">
        <v>0</v>
      </c>
      <c r="BM64" t="b">
        <v>0</v>
      </c>
      <c r="BN64" t="b">
        <v>0</v>
      </c>
      <c r="BO64" t="b">
        <v>0</v>
      </c>
      <c r="BP64">
        <v>2</v>
      </c>
      <c r="BQ64">
        <v>14</v>
      </c>
      <c r="BR64">
        <v>0</v>
      </c>
      <c r="BS64">
        <v>0</v>
      </c>
      <c r="BT64" t="b">
        <v>1</v>
      </c>
      <c r="BU64">
        <v>0</v>
      </c>
      <c r="BV64">
        <v>18</v>
      </c>
      <c r="BW64">
        <v>4840</v>
      </c>
      <c r="BX64">
        <v>0</v>
      </c>
      <c r="BY64" t="s">
        <v>270</v>
      </c>
      <c r="BZ64" t="s">
        <v>270</v>
      </c>
      <c r="CA64" t="s">
        <v>273</v>
      </c>
      <c r="CB64" t="s">
        <v>273</v>
      </c>
      <c r="CC64" t="s">
        <v>1780</v>
      </c>
      <c r="CD64" t="s">
        <v>1781</v>
      </c>
      <c r="CE64" t="s">
        <v>1782</v>
      </c>
      <c r="CF64" t="s">
        <v>1783</v>
      </c>
      <c r="CG64">
        <f t="shared" si="0"/>
        <v>171.72825622558599</v>
      </c>
      <c r="CH64">
        <f t="shared" si="1"/>
        <v>7530</v>
      </c>
      <c r="CI64">
        <f t="shared" si="2"/>
        <v>3</v>
      </c>
      <c r="CJ64">
        <f t="shared" si="3"/>
        <v>1293113.7693786626</v>
      </c>
      <c r="CK64">
        <f t="shared" si="4"/>
        <v>515.18476867675804</v>
      </c>
    </row>
    <row r="65" spans="1:89">
      <c r="A65">
        <v>14059</v>
      </c>
      <c r="B65" t="s">
        <v>1799</v>
      </c>
      <c r="C65">
        <v>47.924167633056598</v>
      </c>
      <c r="D65" t="s">
        <v>1802</v>
      </c>
      <c r="E65">
        <v>1978</v>
      </c>
      <c r="F65" t="s">
        <v>1834</v>
      </c>
      <c r="G65" t="s">
        <v>169</v>
      </c>
      <c r="H65">
        <v>98020</v>
      </c>
      <c r="I65" t="s">
        <v>1797</v>
      </c>
      <c r="J65" t="s">
        <v>1785</v>
      </c>
      <c r="K65" t="s">
        <v>1774</v>
      </c>
      <c r="L65">
        <v>43</v>
      </c>
      <c r="M65">
        <v>4</v>
      </c>
      <c r="N65">
        <v>0</v>
      </c>
      <c r="O65">
        <v>4</v>
      </c>
      <c r="P65">
        <v>0</v>
      </c>
      <c r="Q65">
        <v>33596</v>
      </c>
      <c r="R65">
        <v>33596</v>
      </c>
      <c r="S65">
        <v>5962</v>
      </c>
      <c r="T65">
        <v>0</v>
      </c>
      <c r="U65">
        <v>0</v>
      </c>
      <c r="V65">
        <v>0</v>
      </c>
      <c r="W65">
        <v>43</v>
      </c>
      <c r="X65">
        <v>0</v>
      </c>
      <c r="Y65">
        <v>2</v>
      </c>
      <c r="Z65" t="b">
        <v>0</v>
      </c>
      <c r="AA65" t="b">
        <v>1</v>
      </c>
      <c r="AB65">
        <v>8.5</v>
      </c>
      <c r="AC65">
        <v>86768.171875</v>
      </c>
      <c r="AD65">
        <v>203131.578125</v>
      </c>
      <c r="AE65">
        <v>289899.75</v>
      </c>
      <c r="AJ65" t="s">
        <v>270</v>
      </c>
      <c r="AK65">
        <v>0</v>
      </c>
      <c r="AL65">
        <v>8</v>
      </c>
      <c r="AM65">
        <v>0</v>
      </c>
      <c r="AN65">
        <v>36</v>
      </c>
      <c r="AO65">
        <v>0</v>
      </c>
      <c r="AP65">
        <v>38</v>
      </c>
      <c r="AQ65">
        <v>0</v>
      </c>
      <c r="AR65">
        <v>0</v>
      </c>
      <c r="AS65">
        <v>18</v>
      </c>
      <c r="AT65" t="b">
        <v>1</v>
      </c>
      <c r="AU65">
        <v>2</v>
      </c>
      <c r="AV65">
        <v>2</v>
      </c>
      <c r="AW65">
        <v>1</v>
      </c>
      <c r="AX65" t="b">
        <v>0</v>
      </c>
      <c r="AY65" t="b">
        <v>0</v>
      </c>
      <c r="AZ65" t="b">
        <v>1</v>
      </c>
      <c r="BA65" t="b">
        <v>0</v>
      </c>
      <c r="BB65" t="s">
        <v>270</v>
      </c>
      <c r="BC65" t="s">
        <v>270</v>
      </c>
      <c r="BD65" t="s">
        <v>270</v>
      </c>
      <c r="BE65" t="s">
        <v>1775</v>
      </c>
      <c r="BF65" t="s">
        <v>1776</v>
      </c>
      <c r="BG65" t="s">
        <v>1777</v>
      </c>
      <c r="BH65" t="s">
        <v>1778</v>
      </c>
      <c r="BI65" t="s">
        <v>1790</v>
      </c>
      <c r="BJ65" t="b">
        <v>1</v>
      </c>
      <c r="BK65" t="b">
        <v>1</v>
      </c>
      <c r="BL65" t="b">
        <v>0</v>
      </c>
      <c r="BM65" t="b">
        <v>0</v>
      </c>
      <c r="BN65" t="b">
        <v>0</v>
      </c>
      <c r="BO65" t="b">
        <v>0</v>
      </c>
      <c r="BP65">
        <v>1</v>
      </c>
      <c r="BQ65">
        <v>1</v>
      </c>
      <c r="BR65">
        <v>0</v>
      </c>
      <c r="BS65">
        <v>0</v>
      </c>
      <c r="BT65" t="b">
        <v>1</v>
      </c>
      <c r="BV65">
        <v>20</v>
      </c>
      <c r="BW65">
        <v>8500</v>
      </c>
      <c r="BX65">
        <v>0</v>
      </c>
      <c r="BY65" t="s">
        <v>270</v>
      </c>
      <c r="BZ65" t="s">
        <v>270</v>
      </c>
      <c r="CA65" t="s">
        <v>270</v>
      </c>
      <c r="CB65" t="s">
        <v>273</v>
      </c>
      <c r="CC65" t="s">
        <v>1780</v>
      </c>
      <c r="CD65" t="s">
        <v>1781</v>
      </c>
      <c r="CE65" t="s">
        <v>1782</v>
      </c>
      <c r="CF65" t="s">
        <v>1783</v>
      </c>
      <c r="CG65" t="str">
        <f t="shared" si="0"/>
        <v/>
      </c>
      <c r="CH65" t="str">
        <f t="shared" si="1"/>
        <v/>
      </c>
      <c r="CI65" t="str">
        <f t="shared" si="2"/>
        <v/>
      </c>
      <c r="CJ65" t="str">
        <f t="shared" si="3"/>
        <v/>
      </c>
      <c r="CK65" t="str">
        <f t="shared" si="4"/>
        <v/>
      </c>
    </row>
    <row r="66" spans="1:89">
      <c r="A66">
        <v>14163</v>
      </c>
      <c r="B66" t="s">
        <v>1799</v>
      </c>
      <c r="C66">
        <v>38.881870269775398</v>
      </c>
      <c r="D66" t="s">
        <v>1792</v>
      </c>
      <c r="E66">
        <v>1967</v>
      </c>
      <c r="F66" t="s">
        <v>1834</v>
      </c>
      <c r="G66" t="s">
        <v>169</v>
      </c>
      <c r="H66">
        <v>98020</v>
      </c>
      <c r="I66" t="s">
        <v>1797</v>
      </c>
      <c r="K66" t="s">
        <v>1774</v>
      </c>
      <c r="L66">
        <v>53</v>
      </c>
      <c r="M66">
        <v>4</v>
      </c>
      <c r="N66">
        <v>0</v>
      </c>
      <c r="O66">
        <v>4</v>
      </c>
      <c r="P66">
        <v>0</v>
      </c>
      <c r="Q66">
        <v>56667</v>
      </c>
      <c r="R66">
        <v>56667</v>
      </c>
      <c r="S66">
        <v>15062</v>
      </c>
      <c r="T66">
        <v>0</v>
      </c>
      <c r="U66">
        <v>0</v>
      </c>
      <c r="V66">
        <v>28</v>
      </c>
      <c r="W66">
        <v>25</v>
      </c>
      <c r="X66">
        <v>0</v>
      </c>
      <c r="Y66">
        <v>2</v>
      </c>
      <c r="Z66" t="b">
        <v>0</v>
      </c>
      <c r="AA66" t="b">
        <v>1</v>
      </c>
      <c r="AB66">
        <v>8</v>
      </c>
      <c r="AJ66" t="s">
        <v>270</v>
      </c>
      <c r="AK66">
        <v>0</v>
      </c>
      <c r="AL66">
        <v>7</v>
      </c>
      <c r="AM66">
        <v>0</v>
      </c>
      <c r="AN66">
        <v>46</v>
      </c>
      <c r="AO66">
        <v>0</v>
      </c>
      <c r="AP66">
        <v>42</v>
      </c>
      <c r="AQ66">
        <v>0</v>
      </c>
      <c r="AR66">
        <v>0</v>
      </c>
      <c r="AS66">
        <v>5</v>
      </c>
      <c r="AT66" t="b">
        <v>1</v>
      </c>
      <c r="AU66">
        <v>5</v>
      </c>
      <c r="AV66">
        <v>5</v>
      </c>
      <c r="AW66">
        <v>1</v>
      </c>
      <c r="AX66" t="b">
        <v>0</v>
      </c>
      <c r="AY66" t="b">
        <v>0</v>
      </c>
      <c r="AZ66" t="b">
        <v>1</v>
      </c>
      <c r="BA66" t="b">
        <v>0</v>
      </c>
      <c r="BB66" t="s">
        <v>270</v>
      </c>
      <c r="BC66" t="s">
        <v>270</v>
      </c>
      <c r="BD66" t="s">
        <v>270</v>
      </c>
      <c r="BE66" t="s">
        <v>1775</v>
      </c>
      <c r="BF66" t="s">
        <v>1776</v>
      </c>
      <c r="BG66" t="s">
        <v>1777</v>
      </c>
      <c r="BH66" t="s">
        <v>1778</v>
      </c>
      <c r="BI66" t="s">
        <v>1790</v>
      </c>
      <c r="BJ66" t="b">
        <v>0</v>
      </c>
      <c r="BK66" t="b">
        <v>1</v>
      </c>
      <c r="BL66" t="b">
        <v>0</v>
      </c>
      <c r="BM66" t="b">
        <v>0</v>
      </c>
      <c r="BN66" t="b">
        <v>0</v>
      </c>
      <c r="BO66" t="b">
        <v>0</v>
      </c>
      <c r="BP66">
        <v>1</v>
      </c>
      <c r="BQ66">
        <v>54</v>
      </c>
      <c r="BR66">
        <v>0</v>
      </c>
      <c r="BS66">
        <v>0</v>
      </c>
      <c r="BT66" t="b">
        <v>1</v>
      </c>
      <c r="BU66">
        <v>0</v>
      </c>
      <c r="BV66">
        <v>77</v>
      </c>
      <c r="BW66">
        <v>30150</v>
      </c>
      <c r="BX66">
        <v>0</v>
      </c>
      <c r="BY66" t="s">
        <v>270</v>
      </c>
      <c r="BZ66" t="s">
        <v>270</v>
      </c>
      <c r="CA66" t="s">
        <v>273</v>
      </c>
      <c r="CB66" t="s">
        <v>273</v>
      </c>
      <c r="CC66" t="s">
        <v>1787</v>
      </c>
      <c r="CD66" t="s">
        <v>1781</v>
      </c>
      <c r="CE66" t="s">
        <v>1782</v>
      </c>
      <c r="CF66" t="s">
        <v>1783</v>
      </c>
      <c r="CG66" t="str">
        <f t="shared" si="0"/>
        <v/>
      </c>
      <c r="CH66" t="str">
        <f t="shared" si="1"/>
        <v/>
      </c>
      <c r="CI66" t="str">
        <f t="shared" si="2"/>
        <v/>
      </c>
      <c r="CJ66" t="str">
        <f t="shared" si="3"/>
        <v/>
      </c>
      <c r="CK66" t="str">
        <f t="shared" si="4"/>
        <v/>
      </c>
    </row>
    <row r="67" spans="1:89">
      <c r="A67">
        <v>14240</v>
      </c>
      <c r="B67" t="s">
        <v>1770</v>
      </c>
      <c r="C67">
        <v>800.71728515625</v>
      </c>
      <c r="D67" t="s">
        <v>1808</v>
      </c>
      <c r="E67">
        <v>2000</v>
      </c>
      <c r="F67" t="s">
        <v>1849</v>
      </c>
      <c r="G67" t="s">
        <v>169</v>
      </c>
      <c r="H67">
        <v>98065</v>
      </c>
      <c r="I67" t="s">
        <v>1785</v>
      </c>
      <c r="J67" t="s">
        <v>1785</v>
      </c>
      <c r="K67" t="s">
        <v>1774</v>
      </c>
      <c r="L67">
        <v>6</v>
      </c>
      <c r="M67">
        <v>1.5</v>
      </c>
      <c r="N67">
        <v>0</v>
      </c>
      <c r="O67">
        <v>2</v>
      </c>
      <c r="P67">
        <v>0</v>
      </c>
      <c r="Q67">
        <v>6170</v>
      </c>
      <c r="R67">
        <v>6170</v>
      </c>
      <c r="S67">
        <v>0</v>
      </c>
      <c r="T67">
        <v>0</v>
      </c>
      <c r="U67">
        <v>1</v>
      </c>
      <c r="V67">
        <v>4</v>
      </c>
      <c r="W67">
        <v>1</v>
      </c>
      <c r="X67">
        <v>0</v>
      </c>
      <c r="Y67">
        <v>0</v>
      </c>
      <c r="Z67" t="b">
        <v>0</v>
      </c>
      <c r="AA67" t="b">
        <v>0</v>
      </c>
      <c r="AB67">
        <v>9</v>
      </c>
      <c r="AG67">
        <v>917.98577880859398</v>
      </c>
      <c r="AH67">
        <v>917.98577880859398</v>
      </c>
      <c r="AJ67" t="s">
        <v>270</v>
      </c>
      <c r="AK67">
        <v>0</v>
      </c>
      <c r="AL67">
        <v>14</v>
      </c>
      <c r="AM67">
        <v>0</v>
      </c>
      <c r="AN67">
        <v>26</v>
      </c>
      <c r="AO67">
        <v>0</v>
      </c>
      <c r="AP67">
        <v>47</v>
      </c>
      <c r="AQ67">
        <v>0</v>
      </c>
      <c r="AR67">
        <v>0</v>
      </c>
      <c r="AS67">
        <v>13</v>
      </c>
      <c r="AT67" t="b">
        <v>1</v>
      </c>
      <c r="AU67">
        <v>0</v>
      </c>
      <c r="AV67">
        <v>0</v>
      </c>
      <c r="AW67">
        <v>0</v>
      </c>
      <c r="AX67" t="b">
        <v>0</v>
      </c>
      <c r="AY67" t="b">
        <v>0</v>
      </c>
      <c r="AZ67" t="b">
        <v>0</v>
      </c>
      <c r="BA67" t="b">
        <v>0</v>
      </c>
      <c r="BB67" t="s">
        <v>270</v>
      </c>
      <c r="BC67" t="s">
        <v>270</v>
      </c>
      <c r="BD67" t="s">
        <v>270</v>
      </c>
      <c r="BE67" t="s">
        <v>1827</v>
      </c>
      <c r="BF67" t="s">
        <v>1810</v>
      </c>
      <c r="BG67" t="s">
        <v>1777</v>
      </c>
      <c r="BH67" t="s">
        <v>1778</v>
      </c>
      <c r="BI67" t="s">
        <v>1779</v>
      </c>
      <c r="BJ67" t="b">
        <v>1</v>
      </c>
      <c r="BK67" t="b">
        <v>1</v>
      </c>
      <c r="BL67" t="b">
        <v>1</v>
      </c>
      <c r="BM67" t="b">
        <v>0</v>
      </c>
      <c r="BN67" t="b">
        <v>0</v>
      </c>
      <c r="BO67" t="b">
        <v>0</v>
      </c>
      <c r="BP67">
        <v>1</v>
      </c>
      <c r="BQ67">
        <v>7</v>
      </c>
      <c r="BR67">
        <v>1</v>
      </c>
      <c r="BS67">
        <v>6</v>
      </c>
      <c r="BT67" t="b">
        <v>1</v>
      </c>
      <c r="BU67">
        <v>0</v>
      </c>
      <c r="BV67">
        <v>6</v>
      </c>
      <c r="BW67">
        <v>1872</v>
      </c>
      <c r="BX67">
        <v>0.5</v>
      </c>
      <c r="BY67" t="s">
        <v>273</v>
      </c>
      <c r="BZ67" t="s">
        <v>270</v>
      </c>
      <c r="CA67" t="s">
        <v>270</v>
      </c>
      <c r="CB67" t="s">
        <v>270</v>
      </c>
      <c r="CC67" t="s">
        <v>1780</v>
      </c>
      <c r="CD67" t="s">
        <v>1781</v>
      </c>
      <c r="CE67" t="s">
        <v>1782</v>
      </c>
      <c r="CF67" t="s">
        <v>1783</v>
      </c>
      <c r="CG67" t="str">
        <f t="shared" si="0"/>
        <v/>
      </c>
      <c r="CH67" t="str">
        <f t="shared" si="1"/>
        <v/>
      </c>
      <c r="CI67" t="str">
        <f t="shared" si="2"/>
        <v/>
      </c>
      <c r="CJ67" t="str">
        <f t="shared" si="3"/>
        <v/>
      </c>
      <c r="CK67" t="str">
        <f t="shared" si="4"/>
        <v/>
      </c>
    </row>
    <row r="68" spans="1:89">
      <c r="A68">
        <v>14258</v>
      </c>
      <c r="B68" t="s">
        <v>1770</v>
      </c>
      <c r="C68">
        <v>436.75485229492199</v>
      </c>
      <c r="D68" t="s">
        <v>1808</v>
      </c>
      <c r="E68">
        <v>1998</v>
      </c>
      <c r="F68" t="s">
        <v>1850</v>
      </c>
      <c r="G68" t="s">
        <v>169</v>
      </c>
      <c r="H68">
        <v>98516</v>
      </c>
      <c r="I68" t="s">
        <v>1785</v>
      </c>
      <c r="J68" t="s">
        <v>1785</v>
      </c>
      <c r="K68" t="s">
        <v>1774</v>
      </c>
      <c r="L68">
        <v>11</v>
      </c>
      <c r="M68">
        <v>3</v>
      </c>
      <c r="N68">
        <v>0</v>
      </c>
      <c r="O68">
        <v>3</v>
      </c>
      <c r="P68">
        <v>0</v>
      </c>
      <c r="Q68">
        <v>11900</v>
      </c>
      <c r="R68">
        <v>11900</v>
      </c>
      <c r="S68">
        <v>0</v>
      </c>
      <c r="T68">
        <v>0</v>
      </c>
      <c r="U68">
        <v>0</v>
      </c>
      <c r="V68">
        <v>11</v>
      </c>
      <c r="W68">
        <v>0</v>
      </c>
      <c r="X68">
        <v>0</v>
      </c>
      <c r="Y68">
        <v>0</v>
      </c>
      <c r="Z68" t="b">
        <v>0</v>
      </c>
      <c r="AA68" t="b">
        <v>0</v>
      </c>
      <c r="AB68">
        <v>8</v>
      </c>
      <c r="AG68">
        <v>3731.52856445313</v>
      </c>
      <c r="AH68">
        <v>3731.52856445313</v>
      </c>
      <c r="AJ68" t="s">
        <v>270</v>
      </c>
      <c r="AK68">
        <v>0</v>
      </c>
      <c r="AL68">
        <v>0</v>
      </c>
      <c r="AM68">
        <v>52</v>
      </c>
      <c r="AN68">
        <v>0</v>
      </c>
      <c r="AO68">
        <v>3</v>
      </c>
      <c r="AP68">
        <v>0</v>
      </c>
      <c r="AQ68">
        <v>4</v>
      </c>
      <c r="AR68">
        <v>41</v>
      </c>
      <c r="AS68">
        <v>0</v>
      </c>
      <c r="AT68" t="b">
        <v>1</v>
      </c>
      <c r="AU68">
        <v>0</v>
      </c>
      <c r="AV68">
        <v>0</v>
      </c>
      <c r="AW68">
        <v>0</v>
      </c>
      <c r="AX68" t="b">
        <v>0</v>
      </c>
      <c r="AY68" t="b">
        <v>0</v>
      </c>
      <c r="AZ68" t="b">
        <v>0</v>
      </c>
      <c r="BA68" t="b">
        <v>0</v>
      </c>
      <c r="BB68" t="s">
        <v>270</v>
      </c>
      <c r="BC68" t="s">
        <v>270</v>
      </c>
      <c r="BE68" t="s">
        <v>1775</v>
      </c>
      <c r="BF68" t="s">
        <v>1776</v>
      </c>
      <c r="BG68" t="s">
        <v>1777</v>
      </c>
      <c r="BH68" t="s">
        <v>1778</v>
      </c>
      <c r="BI68" t="s">
        <v>1779</v>
      </c>
      <c r="BJ68" t="b">
        <v>1</v>
      </c>
      <c r="BK68" t="b">
        <v>1</v>
      </c>
      <c r="BL68" t="b">
        <v>1</v>
      </c>
      <c r="BM68" t="b">
        <v>0</v>
      </c>
      <c r="BN68" t="b">
        <v>0</v>
      </c>
      <c r="BO68" t="b">
        <v>0</v>
      </c>
      <c r="BP68">
        <v>2</v>
      </c>
      <c r="BQ68">
        <v>12</v>
      </c>
      <c r="BR68">
        <v>2</v>
      </c>
      <c r="BS68">
        <v>11</v>
      </c>
      <c r="BT68" t="b">
        <v>1</v>
      </c>
      <c r="BU68">
        <v>50</v>
      </c>
      <c r="BV68">
        <v>22</v>
      </c>
      <c r="BW68">
        <v>5500</v>
      </c>
      <c r="BX68">
        <v>0</v>
      </c>
      <c r="BY68" t="s">
        <v>270</v>
      </c>
      <c r="BZ68" t="s">
        <v>270</v>
      </c>
      <c r="CA68" t="s">
        <v>270</v>
      </c>
      <c r="CB68" t="s">
        <v>270</v>
      </c>
      <c r="CC68" t="s">
        <v>1787</v>
      </c>
      <c r="CD68" t="s">
        <v>1781</v>
      </c>
      <c r="CE68" t="s">
        <v>1782</v>
      </c>
      <c r="CF68" t="s">
        <v>1783</v>
      </c>
      <c r="CG68">
        <f t="shared" ref="CG68:CG131" si="5">IF(AND($B68="1-3 stories",$BF68="electric"),$C68,"")</f>
        <v>436.75485229492199</v>
      </c>
      <c r="CH68">
        <f t="shared" ref="CH68:CH131" si="6">IF(CG68="","",$Q68)</f>
        <v>11900</v>
      </c>
      <c r="CI68">
        <f t="shared" ref="CI68:CI131" si="7">IF($CG68="","",$M68)</f>
        <v>3</v>
      </c>
      <c r="CJ68">
        <f t="shared" ref="CJ68:CJ131" si="8">IFERROR($CG68*CH68,"")</f>
        <v>5197382.7423095712</v>
      </c>
      <c r="CK68">
        <f t="shared" ref="CK68:CK131" si="9">IFERROR($CG68*CI68,"")</f>
        <v>1310.2645568847661</v>
      </c>
    </row>
    <row r="69" spans="1:89">
      <c r="A69">
        <v>14259</v>
      </c>
      <c r="B69" t="s">
        <v>1799</v>
      </c>
      <c r="C69">
        <v>10.1410579681396</v>
      </c>
      <c r="D69" t="s">
        <v>1771</v>
      </c>
      <c r="E69">
        <v>1987</v>
      </c>
      <c r="F69" t="s">
        <v>1851</v>
      </c>
      <c r="G69" t="s">
        <v>169</v>
      </c>
      <c r="H69">
        <v>98109</v>
      </c>
      <c r="I69" t="s">
        <v>1789</v>
      </c>
      <c r="J69" t="s">
        <v>1785</v>
      </c>
      <c r="K69" t="s">
        <v>1774</v>
      </c>
      <c r="L69">
        <v>108</v>
      </c>
      <c r="M69">
        <v>4</v>
      </c>
      <c r="N69">
        <v>0</v>
      </c>
      <c r="O69">
        <v>4</v>
      </c>
      <c r="P69">
        <v>0</v>
      </c>
      <c r="Q69">
        <v>118274</v>
      </c>
      <c r="R69">
        <v>118274</v>
      </c>
      <c r="S69">
        <v>28405</v>
      </c>
      <c r="T69">
        <v>0</v>
      </c>
      <c r="U69">
        <v>0</v>
      </c>
      <c r="V69">
        <v>21</v>
      </c>
      <c r="W69">
        <v>83</v>
      </c>
      <c r="X69">
        <v>4</v>
      </c>
      <c r="Y69">
        <v>30</v>
      </c>
      <c r="Z69" t="b">
        <v>0</v>
      </c>
      <c r="AA69" t="b">
        <v>1</v>
      </c>
      <c r="AB69">
        <v>8</v>
      </c>
      <c r="AC69">
        <v>479592.6875</v>
      </c>
      <c r="AD69">
        <v>497082.625</v>
      </c>
      <c r="AE69">
        <v>976675.3125</v>
      </c>
      <c r="AJ69" t="s">
        <v>270</v>
      </c>
      <c r="AK69">
        <v>0</v>
      </c>
      <c r="AL69">
        <v>9</v>
      </c>
      <c r="AM69">
        <v>14</v>
      </c>
      <c r="AN69">
        <v>26</v>
      </c>
      <c r="AO69">
        <v>2</v>
      </c>
      <c r="AP69">
        <v>31</v>
      </c>
      <c r="AQ69">
        <v>11</v>
      </c>
      <c r="AR69">
        <v>1</v>
      </c>
      <c r="AS69">
        <v>6</v>
      </c>
      <c r="AT69" t="b">
        <v>1</v>
      </c>
      <c r="AU69">
        <v>4</v>
      </c>
      <c r="AV69">
        <v>4</v>
      </c>
      <c r="AW69">
        <v>3</v>
      </c>
      <c r="AX69" t="b">
        <v>0</v>
      </c>
      <c r="AY69" t="b">
        <v>0</v>
      </c>
      <c r="AZ69" t="b">
        <v>1</v>
      </c>
      <c r="BA69" t="b">
        <v>1</v>
      </c>
      <c r="BB69" t="s">
        <v>270</v>
      </c>
      <c r="BC69" t="s">
        <v>270</v>
      </c>
      <c r="BD69" t="s">
        <v>270</v>
      </c>
      <c r="BE69" t="s">
        <v>1775</v>
      </c>
      <c r="BF69" t="s">
        <v>1776</v>
      </c>
      <c r="BG69" t="s">
        <v>1777</v>
      </c>
      <c r="BH69" t="s">
        <v>1778</v>
      </c>
      <c r="BI69" t="s">
        <v>1812</v>
      </c>
      <c r="BJ69" t="b">
        <v>1</v>
      </c>
      <c r="BK69" t="b">
        <v>1</v>
      </c>
      <c r="BL69" t="b">
        <v>1</v>
      </c>
      <c r="BM69" t="b">
        <v>0</v>
      </c>
      <c r="BN69" t="b">
        <v>0</v>
      </c>
      <c r="BO69" t="b">
        <v>0</v>
      </c>
      <c r="BP69">
        <v>2</v>
      </c>
      <c r="BR69">
        <v>1</v>
      </c>
      <c r="BS69">
        <v>1</v>
      </c>
      <c r="BT69" t="b">
        <v>1</v>
      </c>
      <c r="BU69">
        <v>0</v>
      </c>
      <c r="BV69">
        <v>54</v>
      </c>
      <c r="BW69">
        <v>8059</v>
      </c>
      <c r="BX69">
        <v>1</v>
      </c>
      <c r="BY69" t="s">
        <v>270</v>
      </c>
      <c r="BZ69" t="s">
        <v>273</v>
      </c>
      <c r="CA69" t="s">
        <v>270</v>
      </c>
      <c r="CB69" t="s">
        <v>270</v>
      </c>
      <c r="CC69" t="s">
        <v>1780</v>
      </c>
      <c r="CD69" t="s">
        <v>1781</v>
      </c>
      <c r="CE69" t="s">
        <v>1798</v>
      </c>
      <c r="CF69" t="s">
        <v>1783</v>
      </c>
      <c r="CG69" t="str">
        <f t="shared" si="5"/>
        <v/>
      </c>
      <c r="CH69" t="str">
        <f t="shared" si="6"/>
        <v/>
      </c>
      <c r="CI69" t="str">
        <f t="shared" si="7"/>
        <v/>
      </c>
      <c r="CJ69" t="str">
        <f t="shared" si="8"/>
        <v/>
      </c>
      <c r="CK69" t="str">
        <f t="shared" si="9"/>
        <v/>
      </c>
    </row>
    <row r="70" spans="1:89">
      <c r="A70">
        <v>14346</v>
      </c>
      <c r="B70" t="s">
        <v>1770</v>
      </c>
      <c r="C70">
        <v>171.58226013183599</v>
      </c>
      <c r="D70" t="s">
        <v>1792</v>
      </c>
      <c r="E70">
        <v>1964</v>
      </c>
      <c r="F70" t="s">
        <v>1843</v>
      </c>
      <c r="G70" t="s">
        <v>169</v>
      </c>
      <c r="H70">
        <v>98501</v>
      </c>
      <c r="I70" t="s">
        <v>1785</v>
      </c>
      <c r="K70" t="s">
        <v>1774</v>
      </c>
      <c r="L70">
        <v>28</v>
      </c>
      <c r="M70">
        <v>4</v>
      </c>
      <c r="N70">
        <v>0</v>
      </c>
      <c r="O70">
        <v>3</v>
      </c>
      <c r="P70">
        <v>0</v>
      </c>
      <c r="Q70">
        <v>28000</v>
      </c>
      <c r="R70">
        <v>28000</v>
      </c>
      <c r="S70">
        <v>3142</v>
      </c>
      <c r="T70">
        <v>0</v>
      </c>
      <c r="U70">
        <v>0</v>
      </c>
      <c r="V70">
        <v>7</v>
      </c>
      <c r="W70">
        <v>17</v>
      </c>
      <c r="X70">
        <v>4</v>
      </c>
      <c r="Y70">
        <v>7</v>
      </c>
      <c r="Z70" t="b">
        <v>0</v>
      </c>
      <c r="AA70" t="b">
        <v>1</v>
      </c>
      <c r="AB70">
        <v>8</v>
      </c>
      <c r="AC70">
        <v>19965.30078125</v>
      </c>
      <c r="AD70">
        <v>138826.453125</v>
      </c>
      <c r="AE70">
        <v>158791.75</v>
      </c>
      <c r="AI70">
        <v>541797.4375</v>
      </c>
      <c r="AJ70" t="s">
        <v>273</v>
      </c>
      <c r="AK70">
        <v>0</v>
      </c>
      <c r="AL70">
        <v>25</v>
      </c>
      <c r="AM70">
        <v>0</v>
      </c>
      <c r="AN70">
        <v>25</v>
      </c>
      <c r="AO70">
        <v>0</v>
      </c>
      <c r="AP70">
        <v>25</v>
      </c>
      <c r="AQ70">
        <v>0</v>
      </c>
      <c r="AR70">
        <v>0</v>
      </c>
      <c r="AS70">
        <v>25</v>
      </c>
      <c r="AT70" t="b">
        <v>1</v>
      </c>
      <c r="AU70">
        <v>2</v>
      </c>
      <c r="AV70">
        <v>2</v>
      </c>
      <c r="AW70">
        <v>1</v>
      </c>
      <c r="AX70" t="b">
        <v>0</v>
      </c>
      <c r="AY70" t="b">
        <v>0</v>
      </c>
      <c r="AZ70" t="b">
        <v>0</v>
      </c>
      <c r="BA70" t="b">
        <v>0</v>
      </c>
      <c r="BB70" t="s">
        <v>270</v>
      </c>
      <c r="BC70" t="s">
        <v>270</v>
      </c>
      <c r="BD70" t="s">
        <v>270</v>
      </c>
      <c r="BE70" t="s">
        <v>1775</v>
      </c>
      <c r="BF70" t="s">
        <v>1776</v>
      </c>
      <c r="BG70" t="s">
        <v>1777</v>
      </c>
      <c r="BH70" t="s">
        <v>1778</v>
      </c>
      <c r="BI70" t="s">
        <v>1790</v>
      </c>
      <c r="BJ70" t="b">
        <v>0</v>
      </c>
      <c r="BK70" t="b">
        <v>1</v>
      </c>
      <c r="BL70" t="b">
        <v>0</v>
      </c>
      <c r="BM70" t="b">
        <v>0</v>
      </c>
      <c r="BN70" t="b">
        <v>0</v>
      </c>
      <c r="BO70" t="b">
        <v>0</v>
      </c>
      <c r="BP70">
        <v>1</v>
      </c>
      <c r="BQ70">
        <v>1</v>
      </c>
      <c r="BR70">
        <v>0</v>
      </c>
      <c r="BS70">
        <v>0</v>
      </c>
      <c r="BT70" t="b">
        <v>1</v>
      </c>
      <c r="BV70">
        <v>28</v>
      </c>
      <c r="BW70">
        <v>11900</v>
      </c>
      <c r="BX70">
        <v>0</v>
      </c>
      <c r="BY70" t="s">
        <v>270</v>
      </c>
      <c r="BZ70" t="s">
        <v>270</v>
      </c>
      <c r="CA70" t="s">
        <v>270</v>
      </c>
      <c r="CB70" t="s">
        <v>273</v>
      </c>
      <c r="CC70" t="s">
        <v>1787</v>
      </c>
      <c r="CD70" t="s">
        <v>1781</v>
      </c>
      <c r="CE70" t="s">
        <v>1824</v>
      </c>
      <c r="CF70" t="s">
        <v>1783</v>
      </c>
      <c r="CG70">
        <f t="shared" si="5"/>
        <v>171.58226013183599</v>
      </c>
      <c r="CH70">
        <f t="shared" si="6"/>
        <v>28000</v>
      </c>
      <c r="CI70">
        <f t="shared" si="7"/>
        <v>4</v>
      </c>
      <c r="CJ70">
        <f t="shared" si="8"/>
        <v>4804303.2836914081</v>
      </c>
      <c r="CK70">
        <f t="shared" si="9"/>
        <v>686.32904052734398</v>
      </c>
    </row>
    <row r="71" spans="1:89">
      <c r="A71">
        <v>14507</v>
      </c>
      <c r="B71" t="s">
        <v>1770</v>
      </c>
      <c r="C71">
        <v>412.14782714843801</v>
      </c>
      <c r="D71" t="s">
        <v>1802</v>
      </c>
      <c r="E71">
        <v>1978</v>
      </c>
      <c r="F71" t="s">
        <v>1834</v>
      </c>
      <c r="G71" t="s">
        <v>169</v>
      </c>
      <c r="H71">
        <v>98026</v>
      </c>
      <c r="I71" t="s">
        <v>1797</v>
      </c>
      <c r="K71" t="s">
        <v>1774</v>
      </c>
      <c r="L71">
        <v>5</v>
      </c>
      <c r="M71">
        <v>2</v>
      </c>
      <c r="N71">
        <v>0</v>
      </c>
      <c r="O71">
        <v>2</v>
      </c>
      <c r="P71">
        <v>0</v>
      </c>
      <c r="Q71">
        <v>5243</v>
      </c>
      <c r="R71">
        <v>5243</v>
      </c>
      <c r="S71">
        <v>0</v>
      </c>
      <c r="T71">
        <v>0</v>
      </c>
      <c r="U71">
        <v>1</v>
      </c>
      <c r="V71">
        <v>4</v>
      </c>
      <c r="W71">
        <v>0</v>
      </c>
      <c r="X71">
        <v>0</v>
      </c>
      <c r="Y71">
        <v>0</v>
      </c>
      <c r="Z71" t="b">
        <v>0</v>
      </c>
      <c r="AA71" t="b">
        <v>0</v>
      </c>
      <c r="AB71">
        <v>8</v>
      </c>
      <c r="AD71">
        <v>55611.02734375</v>
      </c>
      <c r="AE71">
        <v>55611.02734375</v>
      </c>
      <c r="AI71">
        <v>189744.828125</v>
      </c>
      <c r="AJ71" t="s">
        <v>270</v>
      </c>
      <c r="AK71">
        <v>0</v>
      </c>
      <c r="AL71">
        <v>9</v>
      </c>
      <c r="AM71">
        <v>0</v>
      </c>
      <c r="AN71">
        <v>23</v>
      </c>
      <c r="AO71">
        <v>0</v>
      </c>
      <c r="AP71">
        <v>62</v>
      </c>
      <c r="AQ71">
        <v>0</v>
      </c>
      <c r="AR71">
        <v>0</v>
      </c>
      <c r="AS71">
        <v>7</v>
      </c>
      <c r="AT71" t="b">
        <v>1</v>
      </c>
      <c r="AU71">
        <v>1</v>
      </c>
      <c r="AV71">
        <v>1</v>
      </c>
      <c r="AW71">
        <v>0</v>
      </c>
      <c r="AX71" t="b">
        <v>0</v>
      </c>
      <c r="AY71" t="b">
        <v>0</v>
      </c>
      <c r="AZ71" t="b">
        <v>0</v>
      </c>
      <c r="BA71" t="b">
        <v>0</v>
      </c>
      <c r="BB71" t="s">
        <v>270</v>
      </c>
      <c r="BC71" t="s">
        <v>270</v>
      </c>
      <c r="BD71" t="s">
        <v>270</v>
      </c>
      <c r="BE71" t="s">
        <v>1775</v>
      </c>
      <c r="BF71" t="s">
        <v>1776</v>
      </c>
      <c r="BG71" t="s">
        <v>1777</v>
      </c>
      <c r="BH71" t="s">
        <v>1778</v>
      </c>
      <c r="BI71" t="s">
        <v>1779</v>
      </c>
      <c r="BJ71" t="b">
        <v>0</v>
      </c>
      <c r="BK71" t="b">
        <v>1</v>
      </c>
      <c r="BL71" t="b">
        <v>0</v>
      </c>
      <c r="BM71" t="b">
        <v>0</v>
      </c>
      <c r="BN71" t="b">
        <v>0</v>
      </c>
      <c r="BO71" t="b">
        <v>0</v>
      </c>
      <c r="BP71">
        <v>1</v>
      </c>
      <c r="BQ71">
        <v>6</v>
      </c>
      <c r="BR71">
        <v>0</v>
      </c>
      <c r="BS71">
        <v>0</v>
      </c>
      <c r="BT71" t="b">
        <v>1</v>
      </c>
      <c r="BU71">
        <v>0</v>
      </c>
      <c r="BV71">
        <v>10</v>
      </c>
      <c r="BW71">
        <v>3293</v>
      </c>
      <c r="BX71">
        <v>1</v>
      </c>
      <c r="BY71" t="s">
        <v>270</v>
      </c>
      <c r="BZ71" t="s">
        <v>273</v>
      </c>
      <c r="CA71" t="s">
        <v>270</v>
      </c>
      <c r="CB71" t="s">
        <v>273</v>
      </c>
      <c r="CC71" t="s">
        <v>1787</v>
      </c>
      <c r="CD71" t="s">
        <v>1781</v>
      </c>
      <c r="CE71" t="s">
        <v>1782</v>
      </c>
      <c r="CF71" t="s">
        <v>1783</v>
      </c>
      <c r="CG71">
        <f t="shared" si="5"/>
        <v>412.14782714843801</v>
      </c>
      <c r="CH71">
        <f t="shared" si="6"/>
        <v>5243</v>
      </c>
      <c r="CI71">
        <f t="shared" si="7"/>
        <v>2</v>
      </c>
      <c r="CJ71">
        <f t="shared" si="8"/>
        <v>2160891.0577392606</v>
      </c>
      <c r="CK71">
        <f t="shared" si="9"/>
        <v>824.29565429687602</v>
      </c>
    </row>
    <row r="72" spans="1:89">
      <c r="A72">
        <v>14613</v>
      </c>
      <c r="B72" t="s">
        <v>1770</v>
      </c>
      <c r="C72">
        <v>99.650344848632798</v>
      </c>
      <c r="D72" t="s">
        <v>1808</v>
      </c>
      <c r="E72">
        <v>2000</v>
      </c>
      <c r="F72" t="s">
        <v>1793</v>
      </c>
      <c r="G72" t="s">
        <v>170</v>
      </c>
      <c r="H72">
        <v>97408</v>
      </c>
      <c r="I72" t="s">
        <v>1794</v>
      </c>
      <c r="J72" t="s">
        <v>1826</v>
      </c>
      <c r="K72" t="s">
        <v>1774</v>
      </c>
      <c r="L72">
        <v>18</v>
      </c>
      <c r="M72">
        <v>3</v>
      </c>
      <c r="N72">
        <v>0</v>
      </c>
      <c r="O72">
        <v>3</v>
      </c>
      <c r="P72">
        <v>0</v>
      </c>
      <c r="Q72">
        <v>16062</v>
      </c>
      <c r="R72">
        <v>16062</v>
      </c>
      <c r="S72">
        <v>0</v>
      </c>
      <c r="T72">
        <v>0</v>
      </c>
      <c r="U72">
        <v>0</v>
      </c>
      <c r="V72">
        <v>15</v>
      </c>
      <c r="W72">
        <v>3</v>
      </c>
      <c r="X72">
        <v>0</v>
      </c>
      <c r="Y72">
        <v>0</v>
      </c>
      <c r="Z72" t="b">
        <v>0</v>
      </c>
      <c r="AA72" t="b">
        <v>0</v>
      </c>
      <c r="AB72">
        <v>7.5</v>
      </c>
      <c r="AH72">
        <v>958.74322509765602</v>
      </c>
      <c r="AJ72" t="s">
        <v>270</v>
      </c>
      <c r="AK72">
        <v>0</v>
      </c>
      <c r="AL72">
        <v>34</v>
      </c>
      <c r="AM72">
        <v>0</v>
      </c>
      <c r="AN72">
        <v>2</v>
      </c>
      <c r="AO72">
        <v>0</v>
      </c>
      <c r="AP72">
        <v>2</v>
      </c>
      <c r="AQ72">
        <v>0</v>
      </c>
      <c r="AR72">
        <v>0</v>
      </c>
      <c r="AS72">
        <v>62</v>
      </c>
      <c r="AT72" t="b">
        <v>1</v>
      </c>
      <c r="AU72">
        <v>0</v>
      </c>
      <c r="AV72">
        <v>0</v>
      </c>
      <c r="AW72">
        <v>0</v>
      </c>
      <c r="AX72" t="b">
        <v>0</v>
      </c>
      <c r="AY72" t="b">
        <v>0</v>
      </c>
      <c r="AZ72" t="b">
        <v>0</v>
      </c>
      <c r="BA72" t="b">
        <v>0</v>
      </c>
      <c r="BB72" t="s">
        <v>270</v>
      </c>
      <c r="BC72" t="s">
        <v>270</v>
      </c>
      <c r="BD72" t="s">
        <v>270</v>
      </c>
      <c r="BE72" t="s">
        <v>1775</v>
      </c>
      <c r="BF72" t="s">
        <v>1776</v>
      </c>
      <c r="BG72" t="s">
        <v>1777</v>
      </c>
      <c r="BH72" t="s">
        <v>1804</v>
      </c>
      <c r="BI72" t="s">
        <v>1779</v>
      </c>
      <c r="BJ72" t="b">
        <v>1</v>
      </c>
      <c r="BK72" t="b">
        <v>1</v>
      </c>
      <c r="BL72" t="b">
        <v>1</v>
      </c>
      <c r="BM72" t="b">
        <v>0</v>
      </c>
      <c r="BN72" t="b">
        <v>0</v>
      </c>
      <c r="BO72" t="b">
        <v>0</v>
      </c>
      <c r="BP72">
        <v>45</v>
      </c>
      <c r="BQ72">
        <v>209</v>
      </c>
      <c r="BR72">
        <v>1</v>
      </c>
      <c r="BS72">
        <v>1</v>
      </c>
      <c r="BT72" t="b">
        <v>1</v>
      </c>
      <c r="BU72">
        <v>0</v>
      </c>
      <c r="BV72">
        <v>32</v>
      </c>
      <c r="BW72">
        <v>2095</v>
      </c>
      <c r="BX72">
        <v>1</v>
      </c>
      <c r="BY72" t="s">
        <v>273</v>
      </c>
      <c r="BZ72" t="s">
        <v>270</v>
      </c>
      <c r="CA72" t="s">
        <v>273</v>
      </c>
      <c r="CB72" t="s">
        <v>273</v>
      </c>
      <c r="CC72" t="s">
        <v>1780</v>
      </c>
      <c r="CD72" t="s">
        <v>1781</v>
      </c>
      <c r="CE72" t="s">
        <v>1782</v>
      </c>
      <c r="CF72" t="s">
        <v>1783</v>
      </c>
      <c r="CG72">
        <f t="shared" si="5"/>
        <v>99.650344848632798</v>
      </c>
      <c r="CH72">
        <f t="shared" si="6"/>
        <v>16062</v>
      </c>
      <c r="CI72">
        <f t="shared" si="7"/>
        <v>3</v>
      </c>
      <c r="CJ72">
        <f t="shared" si="8"/>
        <v>1600583.83895874</v>
      </c>
      <c r="CK72">
        <f t="shared" si="9"/>
        <v>298.95103454589838</v>
      </c>
    </row>
    <row r="73" spans="1:89">
      <c r="A73">
        <v>14614</v>
      </c>
      <c r="B73" t="s">
        <v>1770</v>
      </c>
      <c r="C73">
        <v>320.28689575195301</v>
      </c>
      <c r="D73" t="s">
        <v>1802</v>
      </c>
      <c r="E73">
        <v>1974</v>
      </c>
      <c r="F73" t="s">
        <v>1852</v>
      </c>
      <c r="G73" t="s">
        <v>169</v>
      </c>
      <c r="H73">
        <v>98003</v>
      </c>
      <c r="I73" t="s">
        <v>1785</v>
      </c>
      <c r="K73" t="s">
        <v>1774</v>
      </c>
      <c r="L73">
        <v>15</v>
      </c>
      <c r="M73">
        <v>3</v>
      </c>
      <c r="N73">
        <v>0</v>
      </c>
      <c r="O73">
        <v>3</v>
      </c>
      <c r="P73">
        <v>0</v>
      </c>
      <c r="Q73">
        <v>13227</v>
      </c>
      <c r="R73">
        <v>13227</v>
      </c>
      <c r="S73">
        <v>5352</v>
      </c>
      <c r="T73">
        <v>0</v>
      </c>
      <c r="U73">
        <v>0</v>
      </c>
      <c r="V73">
        <v>0</v>
      </c>
      <c r="W73">
        <v>15</v>
      </c>
      <c r="X73">
        <v>0</v>
      </c>
      <c r="Y73">
        <v>0</v>
      </c>
      <c r="Z73" t="b">
        <v>0</v>
      </c>
      <c r="AA73" t="b">
        <v>1</v>
      </c>
      <c r="AB73">
        <v>8</v>
      </c>
      <c r="AC73">
        <v>105733.703125</v>
      </c>
      <c r="AD73">
        <v>81992.8203125</v>
      </c>
      <c r="AE73">
        <v>187726.53125</v>
      </c>
      <c r="AI73">
        <v>640522.9375</v>
      </c>
      <c r="AJ73" t="s">
        <v>270</v>
      </c>
      <c r="AK73">
        <v>0</v>
      </c>
      <c r="AL73">
        <v>36</v>
      </c>
      <c r="AM73">
        <v>0</v>
      </c>
      <c r="AN73">
        <v>0</v>
      </c>
      <c r="AO73">
        <v>0</v>
      </c>
      <c r="AP73">
        <v>3</v>
      </c>
      <c r="AQ73">
        <v>0</v>
      </c>
      <c r="AR73">
        <v>0</v>
      </c>
      <c r="AS73">
        <v>61</v>
      </c>
      <c r="AT73" t="b">
        <v>1</v>
      </c>
      <c r="AU73">
        <v>10</v>
      </c>
      <c r="AV73">
        <v>10</v>
      </c>
      <c r="AW73">
        <v>0</v>
      </c>
      <c r="AX73" t="b">
        <v>0</v>
      </c>
      <c r="AY73" t="b">
        <v>0</v>
      </c>
      <c r="AZ73" t="b">
        <v>1</v>
      </c>
      <c r="BA73" t="b">
        <v>0</v>
      </c>
      <c r="BB73" t="s">
        <v>270</v>
      </c>
      <c r="BC73" t="s">
        <v>270</v>
      </c>
      <c r="BE73" t="s">
        <v>1775</v>
      </c>
      <c r="BF73" t="s">
        <v>1776</v>
      </c>
      <c r="BG73" t="s">
        <v>1777</v>
      </c>
      <c r="BH73" t="s">
        <v>1778</v>
      </c>
      <c r="BI73" t="s">
        <v>1790</v>
      </c>
      <c r="BJ73" t="b">
        <v>0</v>
      </c>
      <c r="BK73" t="b">
        <v>1</v>
      </c>
      <c r="BL73" t="b">
        <v>0</v>
      </c>
      <c r="BM73" t="b">
        <v>0</v>
      </c>
      <c r="BN73" t="b">
        <v>0</v>
      </c>
      <c r="BO73" t="b">
        <v>0</v>
      </c>
      <c r="BP73">
        <v>1</v>
      </c>
      <c r="BQ73">
        <v>16</v>
      </c>
      <c r="BR73">
        <v>0</v>
      </c>
      <c r="BS73">
        <v>0</v>
      </c>
      <c r="BT73" t="b">
        <v>1</v>
      </c>
      <c r="BU73">
        <v>0</v>
      </c>
      <c r="BV73">
        <v>22</v>
      </c>
      <c r="BW73">
        <v>9350</v>
      </c>
      <c r="BX73">
        <v>0</v>
      </c>
      <c r="BY73" t="s">
        <v>270</v>
      </c>
      <c r="BZ73" t="s">
        <v>270</v>
      </c>
      <c r="CA73" t="s">
        <v>270</v>
      </c>
      <c r="CB73" t="s">
        <v>273</v>
      </c>
      <c r="CC73" t="s">
        <v>1780</v>
      </c>
      <c r="CD73" t="s">
        <v>1781</v>
      </c>
      <c r="CE73" t="s">
        <v>1825</v>
      </c>
      <c r="CF73" t="s">
        <v>1783</v>
      </c>
      <c r="CG73">
        <f t="shared" si="5"/>
        <v>320.28689575195301</v>
      </c>
      <c r="CH73">
        <f t="shared" si="6"/>
        <v>13227</v>
      </c>
      <c r="CI73">
        <f t="shared" si="7"/>
        <v>3</v>
      </c>
      <c r="CJ73">
        <f t="shared" si="8"/>
        <v>4236434.7701110821</v>
      </c>
      <c r="CK73">
        <f t="shared" si="9"/>
        <v>960.86068725585903</v>
      </c>
    </row>
    <row r="74" spans="1:89">
      <c r="A74">
        <v>20021</v>
      </c>
      <c r="B74" t="s">
        <v>1839</v>
      </c>
      <c r="C74">
        <v>61.841342926025398</v>
      </c>
      <c r="D74" t="s">
        <v>1808</v>
      </c>
      <c r="E74">
        <v>1994</v>
      </c>
      <c r="F74" t="s">
        <v>1853</v>
      </c>
      <c r="G74" t="s">
        <v>170</v>
      </c>
      <c r="H74">
        <v>97201</v>
      </c>
      <c r="I74" t="s">
        <v>1854</v>
      </c>
      <c r="J74" t="s">
        <v>1826</v>
      </c>
      <c r="K74" t="s">
        <v>1774</v>
      </c>
      <c r="L74">
        <v>122</v>
      </c>
      <c r="M74">
        <v>9.5</v>
      </c>
      <c r="N74">
        <v>0.5</v>
      </c>
      <c r="O74">
        <v>10</v>
      </c>
      <c r="P74">
        <v>0</v>
      </c>
      <c r="Q74">
        <v>90920</v>
      </c>
      <c r="R74">
        <v>87439</v>
      </c>
      <c r="S74">
        <v>13425</v>
      </c>
      <c r="T74">
        <v>0</v>
      </c>
      <c r="U74">
        <v>0</v>
      </c>
      <c r="V74">
        <v>8</v>
      </c>
      <c r="W74">
        <v>49</v>
      </c>
      <c r="X74">
        <v>65</v>
      </c>
      <c r="Y74">
        <v>5</v>
      </c>
      <c r="Z74" t="b">
        <v>1</v>
      </c>
      <c r="AA74" t="b">
        <v>1</v>
      </c>
      <c r="AB74">
        <v>7.5</v>
      </c>
      <c r="AC74">
        <v>373563.6875</v>
      </c>
      <c r="AD74">
        <v>363661.75</v>
      </c>
      <c r="AE74">
        <v>737225.4375</v>
      </c>
      <c r="AH74">
        <v>19884.43359375</v>
      </c>
      <c r="AI74">
        <v>4503856.5</v>
      </c>
      <c r="AJ74" t="s">
        <v>273</v>
      </c>
      <c r="AK74">
        <v>3441</v>
      </c>
      <c r="AL74">
        <v>28</v>
      </c>
      <c r="AM74">
        <v>0</v>
      </c>
      <c r="AN74">
        <v>24</v>
      </c>
      <c r="AO74">
        <v>0</v>
      </c>
      <c r="AP74">
        <v>18</v>
      </c>
      <c r="AQ74">
        <v>0</v>
      </c>
      <c r="AR74">
        <v>0</v>
      </c>
      <c r="AS74">
        <v>30</v>
      </c>
      <c r="AT74" t="b">
        <v>1</v>
      </c>
      <c r="AU74">
        <v>8</v>
      </c>
      <c r="AV74">
        <v>12</v>
      </c>
      <c r="AW74">
        <v>2</v>
      </c>
      <c r="AX74" t="b">
        <v>0</v>
      </c>
      <c r="AY74" t="b">
        <v>0</v>
      </c>
      <c r="AZ74" t="b">
        <v>1</v>
      </c>
      <c r="BA74" t="b">
        <v>1</v>
      </c>
      <c r="BB74" t="s">
        <v>270</v>
      </c>
      <c r="BC74" t="s">
        <v>273</v>
      </c>
      <c r="BD74" t="s">
        <v>270</v>
      </c>
      <c r="BE74" t="s">
        <v>1775</v>
      </c>
      <c r="BF74" t="s">
        <v>1776</v>
      </c>
      <c r="BG74" t="s">
        <v>1777</v>
      </c>
      <c r="BH74" t="s">
        <v>1778</v>
      </c>
      <c r="BI74" t="s">
        <v>1812</v>
      </c>
      <c r="BJ74" t="b">
        <v>1</v>
      </c>
      <c r="BK74" t="b">
        <v>1</v>
      </c>
      <c r="BL74" t="b">
        <v>1</v>
      </c>
      <c r="BM74" t="b">
        <v>0</v>
      </c>
      <c r="BN74" t="b">
        <v>0</v>
      </c>
      <c r="BO74" t="b">
        <v>0</v>
      </c>
      <c r="BP74">
        <v>5</v>
      </c>
      <c r="BQ74">
        <v>126</v>
      </c>
      <c r="BR74">
        <v>1</v>
      </c>
      <c r="BS74">
        <v>1</v>
      </c>
      <c r="BT74" t="b">
        <v>1</v>
      </c>
      <c r="BU74">
        <v>10</v>
      </c>
      <c r="BV74">
        <v>39</v>
      </c>
      <c r="BW74">
        <v>12544</v>
      </c>
      <c r="BX74">
        <v>1</v>
      </c>
      <c r="BY74" t="s">
        <v>273</v>
      </c>
      <c r="BZ74" t="s">
        <v>270</v>
      </c>
      <c r="CA74" t="s">
        <v>270</v>
      </c>
      <c r="CB74" t="s">
        <v>270</v>
      </c>
      <c r="CC74" t="s">
        <v>1855</v>
      </c>
      <c r="CD74" t="s">
        <v>1841</v>
      </c>
      <c r="CE74" t="s">
        <v>1801</v>
      </c>
      <c r="CF74" t="s">
        <v>1842</v>
      </c>
      <c r="CG74" t="str">
        <f t="shared" si="5"/>
        <v/>
      </c>
      <c r="CH74" t="str">
        <f t="shared" si="6"/>
        <v/>
      </c>
      <c r="CI74" t="str">
        <f t="shared" si="7"/>
        <v/>
      </c>
      <c r="CJ74" t="str">
        <f t="shared" si="8"/>
        <v/>
      </c>
      <c r="CK74" t="str">
        <f t="shared" si="9"/>
        <v/>
      </c>
    </row>
    <row r="75" spans="1:89">
      <c r="A75">
        <v>20101</v>
      </c>
      <c r="B75" t="s">
        <v>1770</v>
      </c>
      <c r="C75">
        <v>167.65873718261699</v>
      </c>
      <c r="D75" t="s">
        <v>1802</v>
      </c>
      <c r="E75">
        <v>1971</v>
      </c>
      <c r="F75" t="s">
        <v>1856</v>
      </c>
      <c r="G75" t="s">
        <v>170</v>
      </c>
      <c r="H75">
        <v>97365</v>
      </c>
      <c r="I75" t="s">
        <v>1857</v>
      </c>
      <c r="J75" t="s">
        <v>1826</v>
      </c>
      <c r="K75" t="s">
        <v>1774</v>
      </c>
      <c r="L75">
        <v>45</v>
      </c>
      <c r="M75">
        <v>2</v>
      </c>
      <c r="N75">
        <v>0</v>
      </c>
      <c r="O75">
        <v>2</v>
      </c>
      <c r="P75">
        <v>0</v>
      </c>
      <c r="Q75">
        <v>30000</v>
      </c>
      <c r="R75">
        <v>30000</v>
      </c>
      <c r="S75">
        <v>5235</v>
      </c>
      <c r="T75">
        <v>0</v>
      </c>
      <c r="U75">
        <v>0</v>
      </c>
      <c r="V75">
        <v>6</v>
      </c>
      <c r="W75">
        <v>20</v>
      </c>
      <c r="X75">
        <v>19</v>
      </c>
      <c r="Y75">
        <v>2</v>
      </c>
      <c r="Z75" t="b">
        <v>0</v>
      </c>
      <c r="AA75" t="b">
        <v>1</v>
      </c>
      <c r="AB75">
        <v>8</v>
      </c>
      <c r="AE75">
        <v>254189.859375</v>
      </c>
      <c r="AH75">
        <v>4098.568359375</v>
      </c>
      <c r="AI75">
        <v>1277152.625</v>
      </c>
      <c r="AK75">
        <v>0</v>
      </c>
      <c r="AL75">
        <v>34</v>
      </c>
      <c r="AM75">
        <v>0</v>
      </c>
      <c r="AN75">
        <v>10</v>
      </c>
      <c r="AO75">
        <v>0</v>
      </c>
      <c r="AP75">
        <v>26</v>
      </c>
      <c r="AQ75">
        <v>0</v>
      </c>
      <c r="AR75">
        <v>0</v>
      </c>
      <c r="AS75">
        <v>30</v>
      </c>
      <c r="AT75" t="b">
        <v>0</v>
      </c>
      <c r="AU75">
        <v>4</v>
      </c>
      <c r="AV75">
        <v>4</v>
      </c>
      <c r="AW75">
        <v>0</v>
      </c>
      <c r="AX75" t="b">
        <v>0</v>
      </c>
      <c r="AY75" t="b">
        <v>0</v>
      </c>
      <c r="AZ75" t="b">
        <v>1</v>
      </c>
      <c r="BA75" t="b">
        <v>0</v>
      </c>
      <c r="BB75" t="s">
        <v>270</v>
      </c>
      <c r="BC75" t="s">
        <v>270</v>
      </c>
      <c r="BD75" t="s">
        <v>270</v>
      </c>
      <c r="BE75" t="s">
        <v>1775</v>
      </c>
      <c r="BF75" t="s">
        <v>1776</v>
      </c>
      <c r="BG75" t="s">
        <v>1777</v>
      </c>
      <c r="BH75" t="s">
        <v>1778</v>
      </c>
      <c r="BI75" t="s">
        <v>1812</v>
      </c>
      <c r="BJ75" t="b">
        <v>1</v>
      </c>
      <c r="BK75" t="b">
        <v>1</v>
      </c>
      <c r="BL75" t="b">
        <v>1</v>
      </c>
      <c r="BM75" t="b">
        <v>0</v>
      </c>
      <c r="BN75" t="b">
        <v>0</v>
      </c>
      <c r="BO75" t="b">
        <v>0</v>
      </c>
      <c r="BP75">
        <v>1</v>
      </c>
      <c r="BQ75">
        <v>1</v>
      </c>
      <c r="BR75">
        <v>1</v>
      </c>
      <c r="BS75">
        <v>1</v>
      </c>
      <c r="BT75" t="b">
        <v>1</v>
      </c>
      <c r="BV75">
        <v>66</v>
      </c>
      <c r="BW75">
        <v>28050</v>
      </c>
      <c r="BX75">
        <v>0</v>
      </c>
      <c r="BY75" t="s">
        <v>270</v>
      </c>
      <c r="BZ75" t="s">
        <v>270</v>
      </c>
      <c r="CA75" t="s">
        <v>270</v>
      </c>
      <c r="CB75" t="s">
        <v>273</v>
      </c>
      <c r="CC75" t="s">
        <v>1780</v>
      </c>
      <c r="CD75" t="s">
        <v>1781</v>
      </c>
      <c r="CE75" t="s">
        <v>1782</v>
      </c>
      <c r="CF75" t="s">
        <v>1783</v>
      </c>
      <c r="CG75">
        <f t="shared" si="5"/>
        <v>167.65873718261699</v>
      </c>
      <c r="CH75">
        <f t="shared" si="6"/>
        <v>30000</v>
      </c>
      <c r="CI75">
        <f t="shared" si="7"/>
        <v>2</v>
      </c>
      <c r="CJ75">
        <f t="shared" si="8"/>
        <v>5029762.11547851</v>
      </c>
      <c r="CK75">
        <f t="shared" si="9"/>
        <v>335.31747436523398</v>
      </c>
    </row>
    <row r="76" spans="1:89">
      <c r="A76">
        <v>20119</v>
      </c>
      <c r="B76" t="s">
        <v>1770</v>
      </c>
      <c r="C76">
        <v>116.07144165039099</v>
      </c>
      <c r="D76" t="s">
        <v>1806</v>
      </c>
      <c r="E76">
        <v>2005</v>
      </c>
      <c r="F76" t="s">
        <v>1858</v>
      </c>
      <c r="G76" t="s">
        <v>169</v>
      </c>
      <c r="H76">
        <v>98662</v>
      </c>
      <c r="I76" t="s">
        <v>1859</v>
      </c>
      <c r="J76" t="s">
        <v>1826</v>
      </c>
      <c r="K76" t="s">
        <v>1774</v>
      </c>
      <c r="L76">
        <v>65</v>
      </c>
      <c r="M76">
        <v>3</v>
      </c>
      <c r="N76">
        <v>0</v>
      </c>
      <c r="O76">
        <v>3</v>
      </c>
      <c r="P76">
        <v>0</v>
      </c>
      <c r="Q76">
        <v>54425</v>
      </c>
      <c r="R76">
        <v>54425</v>
      </c>
      <c r="S76">
        <v>15015</v>
      </c>
      <c r="T76">
        <v>0</v>
      </c>
      <c r="U76">
        <v>0</v>
      </c>
      <c r="V76">
        <v>1</v>
      </c>
      <c r="W76">
        <v>64</v>
      </c>
      <c r="X76">
        <v>0</v>
      </c>
      <c r="Y76">
        <v>0</v>
      </c>
      <c r="Z76" t="b">
        <v>0</v>
      </c>
      <c r="AA76" t="b">
        <v>1</v>
      </c>
      <c r="AB76">
        <v>8</v>
      </c>
      <c r="AC76">
        <v>109469.5</v>
      </c>
      <c r="AD76">
        <v>180237.25</v>
      </c>
      <c r="AE76">
        <v>289706.75</v>
      </c>
      <c r="AH76">
        <v>5457.55517578125</v>
      </c>
      <c r="AI76">
        <v>1534235</v>
      </c>
      <c r="AJ76" t="s">
        <v>270</v>
      </c>
      <c r="AK76">
        <v>0</v>
      </c>
      <c r="AL76">
        <v>16</v>
      </c>
      <c r="AM76">
        <v>10</v>
      </c>
      <c r="AN76">
        <v>16</v>
      </c>
      <c r="AO76">
        <v>16</v>
      </c>
      <c r="AP76">
        <v>8</v>
      </c>
      <c r="AQ76">
        <v>15</v>
      </c>
      <c r="AR76">
        <v>3</v>
      </c>
      <c r="AS76">
        <v>16</v>
      </c>
      <c r="AT76" t="b">
        <v>0</v>
      </c>
      <c r="AU76">
        <v>7</v>
      </c>
      <c r="AV76">
        <v>7</v>
      </c>
      <c r="AW76">
        <v>1</v>
      </c>
      <c r="AX76" t="b">
        <v>0</v>
      </c>
      <c r="AY76" t="b">
        <v>0</v>
      </c>
      <c r="AZ76" t="b">
        <v>1</v>
      </c>
      <c r="BA76" t="b">
        <v>1</v>
      </c>
      <c r="BB76" t="s">
        <v>273</v>
      </c>
      <c r="BC76" t="s">
        <v>270</v>
      </c>
      <c r="BD76" t="s">
        <v>270</v>
      </c>
      <c r="BE76" t="s">
        <v>1775</v>
      </c>
      <c r="BF76" t="s">
        <v>1776</v>
      </c>
      <c r="BG76" t="s">
        <v>1777</v>
      </c>
      <c r="BH76" t="s">
        <v>1804</v>
      </c>
      <c r="BI76" t="s">
        <v>1812</v>
      </c>
      <c r="BJ76" t="b">
        <v>1</v>
      </c>
      <c r="BK76" t="b">
        <v>1</v>
      </c>
      <c r="BL76" t="b">
        <v>1</v>
      </c>
      <c r="BM76" t="b">
        <v>0</v>
      </c>
      <c r="BN76" t="b">
        <v>0</v>
      </c>
      <c r="BO76" t="b">
        <v>0</v>
      </c>
      <c r="BP76">
        <v>1</v>
      </c>
      <c r="BQ76">
        <v>66</v>
      </c>
      <c r="BR76">
        <v>1</v>
      </c>
      <c r="BS76">
        <v>1</v>
      </c>
      <c r="BT76" t="b">
        <v>1</v>
      </c>
      <c r="BV76">
        <v>81</v>
      </c>
      <c r="BW76">
        <v>34425</v>
      </c>
      <c r="BX76">
        <v>0</v>
      </c>
      <c r="BY76" t="s">
        <v>270</v>
      </c>
      <c r="BZ76" t="s">
        <v>270</v>
      </c>
      <c r="CA76" t="s">
        <v>270</v>
      </c>
      <c r="CB76" t="s">
        <v>273</v>
      </c>
      <c r="CC76" t="s">
        <v>1780</v>
      </c>
      <c r="CD76" t="s">
        <v>1781</v>
      </c>
      <c r="CE76" t="s">
        <v>1782</v>
      </c>
      <c r="CF76" t="s">
        <v>1783</v>
      </c>
      <c r="CG76">
        <f t="shared" si="5"/>
        <v>116.07144165039099</v>
      </c>
      <c r="CH76">
        <f t="shared" si="6"/>
        <v>54425</v>
      </c>
      <c r="CI76">
        <f t="shared" si="7"/>
        <v>3</v>
      </c>
      <c r="CJ76">
        <f t="shared" si="8"/>
        <v>6317188.2118225303</v>
      </c>
      <c r="CK76">
        <f t="shared" si="9"/>
        <v>348.21432495117301</v>
      </c>
    </row>
    <row r="77" spans="1:89">
      <c r="A77">
        <v>20165</v>
      </c>
      <c r="B77" t="s">
        <v>1770</v>
      </c>
      <c r="C77">
        <v>628.72027587890602</v>
      </c>
      <c r="D77" t="s">
        <v>1806</v>
      </c>
      <c r="E77">
        <v>2008</v>
      </c>
      <c r="F77" t="s">
        <v>1860</v>
      </c>
      <c r="G77" t="s">
        <v>169</v>
      </c>
      <c r="H77">
        <v>99022</v>
      </c>
      <c r="I77" t="s">
        <v>1861</v>
      </c>
      <c r="K77" t="s">
        <v>1774</v>
      </c>
      <c r="L77">
        <v>12</v>
      </c>
      <c r="M77">
        <v>3</v>
      </c>
      <c r="N77">
        <v>0</v>
      </c>
      <c r="O77">
        <v>3</v>
      </c>
      <c r="P77">
        <v>0</v>
      </c>
      <c r="Q77">
        <v>10146</v>
      </c>
      <c r="R77">
        <v>10146</v>
      </c>
      <c r="S77">
        <v>0</v>
      </c>
      <c r="T77">
        <v>0</v>
      </c>
      <c r="U77">
        <v>0</v>
      </c>
      <c r="V77">
        <v>6</v>
      </c>
      <c r="W77">
        <v>6</v>
      </c>
      <c r="X77">
        <v>0</v>
      </c>
      <c r="Y77">
        <v>16</v>
      </c>
      <c r="Z77" t="b">
        <v>0</v>
      </c>
      <c r="AA77" t="b">
        <v>0</v>
      </c>
      <c r="AB77">
        <v>9</v>
      </c>
      <c r="AJ77" t="s">
        <v>270</v>
      </c>
      <c r="AK77">
        <v>0</v>
      </c>
      <c r="AL77">
        <v>14</v>
      </c>
      <c r="AM77">
        <v>0</v>
      </c>
      <c r="AN77">
        <v>33</v>
      </c>
      <c r="AO77">
        <v>0</v>
      </c>
      <c r="AP77">
        <v>53</v>
      </c>
      <c r="AQ77">
        <v>0</v>
      </c>
      <c r="AR77">
        <v>0</v>
      </c>
      <c r="AS77">
        <v>14</v>
      </c>
      <c r="AT77" t="b">
        <v>1</v>
      </c>
      <c r="AU77">
        <v>0</v>
      </c>
      <c r="AV77">
        <v>0</v>
      </c>
      <c r="AW77">
        <v>0</v>
      </c>
      <c r="AX77" t="b">
        <v>0</v>
      </c>
      <c r="AY77" t="b">
        <v>0</v>
      </c>
      <c r="AZ77" t="b">
        <v>0</v>
      </c>
      <c r="BA77" t="b">
        <v>0</v>
      </c>
      <c r="BB77" t="s">
        <v>270</v>
      </c>
      <c r="BC77" t="s">
        <v>270</v>
      </c>
      <c r="BD77" t="s">
        <v>270</v>
      </c>
      <c r="BE77" t="s">
        <v>1775</v>
      </c>
      <c r="BF77" t="s">
        <v>1776</v>
      </c>
      <c r="BG77" t="s">
        <v>1777</v>
      </c>
      <c r="BH77" t="s">
        <v>1804</v>
      </c>
      <c r="BI77" t="s">
        <v>1779</v>
      </c>
      <c r="BJ77" t="b">
        <v>0</v>
      </c>
      <c r="BK77" t="b">
        <v>1</v>
      </c>
      <c r="BL77" t="b">
        <v>0</v>
      </c>
      <c r="BM77" t="b">
        <v>0</v>
      </c>
      <c r="BN77" t="b">
        <v>0</v>
      </c>
      <c r="BO77" t="b">
        <v>0</v>
      </c>
      <c r="BP77">
        <v>12</v>
      </c>
      <c r="BQ77">
        <v>70</v>
      </c>
      <c r="BR77">
        <v>0</v>
      </c>
      <c r="BS77">
        <v>0</v>
      </c>
      <c r="BT77" t="b">
        <v>1</v>
      </c>
      <c r="BU77">
        <v>0</v>
      </c>
      <c r="BV77">
        <v>20</v>
      </c>
      <c r="BW77">
        <v>8500</v>
      </c>
      <c r="BX77">
        <v>0</v>
      </c>
      <c r="BY77" t="s">
        <v>270</v>
      </c>
      <c r="BZ77" t="s">
        <v>270</v>
      </c>
      <c r="CA77" t="s">
        <v>270</v>
      </c>
      <c r="CB77" t="s">
        <v>273</v>
      </c>
      <c r="CC77" t="s">
        <v>1787</v>
      </c>
      <c r="CD77" t="s">
        <v>1781</v>
      </c>
      <c r="CE77" t="s">
        <v>1795</v>
      </c>
      <c r="CF77" t="s">
        <v>1783</v>
      </c>
      <c r="CG77">
        <f t="shared" si="5"/>
        <v>628.72027587890602</v>
      </c>
      <c r="CH77">
        <f t="shared" si="6"/>
        <v>10146</v>
      </c>
      <c r="CI77">
        <f t="shared" si="7"/>
        <v>3</v>
      </c>
      <c r="CJ77">
        <f t="shared" si="8"/>
        <v>6378995.9190673809</v>
      </c>
      <c r="CK77">
        <f t="shared" si="9"/>
        <v>1886.1608276367181</v>
      </c>
    </row>
    <row r="78" spans="1:89">
      <c r="A78">
        <v>20193</v>
      </c>
      <c r="B78" t="s">
        <v>1770</v>
      </c>
      <c r="C78">
        <v>538.903076171875</v>
      </c>
      <c r="D78" t="s">
        <v>1792</v>
      </c>
      <c r="E78">
        <v>1968</v>
      </c>
      <c r="F78" t="s">
        <v>1862</v>
      </c>
      <c r="G78" t="s">
        <v>170</v>
      </c>
      <c r="H78">
        <v>97223</v>
      </c>
      <c r="I78" t="s">
        <v>1854</v>
      </c>
      <c r="K78" t="s">
        <v>1774</v>
      </c>
      <c r="L78">
        <v>14</v>
      </c>
      <c r="M78">
        <v>2</v>
      </c>
      <c r="N78">
        <v>0</v>
      </c>
      <c r="O78">
        <v>2</v>
      </c>
      <c r="P78">
        <v>0</v>
      </c>
      <c r="Q78">
        <v>12096</v>
      </c>
      <c r="R78">
        <v>12096</v>
      </c>
      <c r="S78">
        <v>243</v>
      </c>
      <c r="T78">
        <v>0</v>
      </c>
      <c r="U78">
        <v>0</v>
      </c>
      <c r="V78">
        <v>12</v>
      </c>
      <c r="W78">
        <v>2</v>
      </c>
      <c r="X78">
        <v>0</v>
      </c>
      <c r="Y78">
        <v>0</v>
      </c>
      <c r="Z78" t="b">
        <v>0</v>
      </c>
      <c r="AA78" t="b">
        <v>1</v>
      </c>
      <c r="AB78">
        <v>8</v>
      </c>
      <c r="AC78">
        <v>14848.0478515625</v>
      </c>
      <c r="AD78">
        <v>133824.703125</v>
      </c>
      <c r="AE78">
        <v>148672.75</v>
      </c>
      <c r="AI78">
        <v>507271.4375</v>
      </c>
      <c r="AJ78" t="s">
        <v>270</v>
      </c>
      <c r="AK78">
        <v>0</v>
      </c>
      <c r="AL78">
        <v>0</v>
      </c>
      <c r="AM78">
        <v>0</v>
      </c>
      <c r="AN78">
        <v>33</v>
      </c>
      <c r="AO78">
        <v>0</v>
      </c>
      <c r="AP78">
        <v>66</v>
      </c>
      <c r="AQ78">
        <v>0</v>
      </c>
      <c r="AR78">
        <v>0</v>
      </c>
      <c r="AS78">
        <v>1</v>
      </c>
      <c r="AT78" t="b">
        <v>1</v>
      </c>
      <c r="AU78">
        <v>2</v>
      </c>
      <c r="AV78">
        <v>2</v>
      </c>
      <c r="AW78">
        <v>0</v>
      </c>
      <c r="AX78" t="b">
        <v>0</v>
      </c>
      <c r="AY78" t="b">
        <v>0</v>
      </c>
      <c r="AZ78" t="b">
        <v>1</v>
      </c>
      <c r="BA78" t="b">
        <v>0</v>
      </c>
      <c r="BD78" t="s">
        <v>270</v>
      </c>
      <c r="BE78" t="s">
        <v>1821</v>
      </c>
      <c r="BF78" t="s">
        <v>1776</v>
      </c>
      <c r="BG78" t="s">
        <v>1777</v>
      </c>
      <c r="BH78" t="s">
        <v>1804</v>
      </c>
      <c r="BI78" t="s">
        <v>1790</v>
      </c>
      <c r="BJ78" t="b">
        <v>0</v>
      </c>
      <c r="BK78" t="b">
        <v>1</v>
      </c>
      <c r="BL78" t="b">
        <v>0</v>
      </c>
      <c r="BM78" t="b">
        <v>0</v>
      </c>
      <c r="BN78" t="b">
        <v>0</v>
      </c>
      <c r="BO78" t="b">
        <v>0</v>
      </c>
      <c r="BP78">
        <v>15</v>
      </c>
      <c r="BQ78">
        <v>15</v>
      </c>
      <c r="BR78">
        <v>0</v>
      </c>
      <c r="BS78">
        <v>0</v>
      </c>
      <c r="BT78" t="b">
        <v>1</v>
      </c>
      <c r="BU78">
        <v>0</v>
      </c>
      <c r="BV78">
        <v>21</v>
      </c>
      <c r="BW78">
        <v>8925</v>
      </c>
      <c r="BX78">
        <v>0</v>
      </c>
      <c r="BY78" t="s">
        <v>270</v>
      </c>
      <c r="BZ78" t="s">
        <v>270</v>
      </c>
      <c r="CA78" t="s">
        <v>270</v>
      </c>
      <c r="CB78" t="s">
        <v>273</v>
      </c>
      <c r="CC78" t="s">
        <v>1780</v>
      </c>
      <c r="CD78" t="s">
        <v>1781</v>
      </c>
      <c r="CE78" t="s">
        <v>1782</v>
      </c>
      <c r="CF78" t="s">
        <v>1783</v>
      </c>
      <c r="CG78">
        <f t="shared" si="5"/>
        <v>538.903076171875</v>
      </c>
      <c r="CH78">
        <f t="shared" si="6"/>
        <v>12096</v>
      </c>
      <c r="CI78">
        <f t="shared" si="7"/>
        <v>2</v>
      </c>
      <c r="CJ78">
        <f t="shared" si="8"/>
        <v>6518571.609375</v>
      </c>
      <c r="CK78">
        <f t="shared" si="9"/>
        <v>1077.80615234375</v>
      </c>
    </row>
    <row r="79" spans="1:89">
      <c r="A79">
        <v>20195</v>
      </c>
      <c r="B79" t="s">
        <v>1799</v>
      </c>
      <c r="C79">
        <v>580.357177734375</v>
      </c>
      <c r="D79" t="s">
        <v>1822</v>
      </c>
      <c r="E79">
        <v>1936</v>
      </c>
      <c r="F79" t="s">
        <v>1863</v>
      </c>
      <c r="G79" t="s">
        <v>170</v>
      </c>
      <c r="H79">
        <v>97301</v>
      </c>
      <c r="I79" t="s">
        <v>1864</v>
      </c>
      <c r="K79" t="s">
        <v>1774</v>
      </c>
      <c r="L79">
        <v>13</v>
      </c>
      <c r="M79">
        <v>1.5</v>
      </c>
      <c r="N79">
        <v>3.5</v>
      </c>
      <c r="O79">
        <v>5</v>
      </c>
      <c r="P79">
        <v>0.5</v>
      </c>
      <c r="Q79">
        <v>51581</v>
      </c>
      <c r="R79">
        <v>15116</v>
      </c>
      <c r="S79">
        <v>1230</v>
      </c>
      <c r="T79">
        <v>0</v>
      </c>
      <c r="U79">
        <v>0</v>
      </c>
      <c r="V79">
        <v>5</v>
      </c>
      <c r="W79">
        <v>2</v>
      </c>
      <c r="X79">
        <v>6</v>
      </c>
      <c r="Y79">
        <v>25</v>
      </c>
      <c r="Z79" t="b">
        <v>1</v>
      </c>
      <c r="AA79" t="b">
        <v>1</v>
      </c>
      <c r="AB79">
        <v>9</v>
      </c>
      <c r="AK79">
        <v>36465</v>
      </c>
      <c r="AL79">
        <v>50</v>
      </c>
      <c r="AM79">
        <v>0</v>
      </c>
      <c r="AN79">
        <v>10</v>
      </c>
      <c r="AO79">
        <v>0</v>
      </c>
      <c r="AP79">
        <v>10</v>
      </c>
      <c r="AQ79">
        <v>0</v>
      </c>
      <c r="AR79">
        <v>0</v>
      </c>
      <c r="AS79">
        <v>30</v>
      </c>
      <c r="AT79" t="b">
        <v>0</v>
      </c>
      <c r="AU79">
        <v>0</v>
      </c>
      <c r="AV79">
        <v>0</v>
      </c>
      <c r="AW79">
        <v>1</v>
      </c>
      <c r="AX79" t="b">
        <v>0</v>
      </c>
      <c r="AY79" t="b">
        <v>0</v>
      </c>
      <c r="AZ79" t="b">
        <v>0</v>
      </c>
      <c r="BA79" t="b">
        <v>0</v>
      </c>
      <c r="BB79" t="s">
        <v>270</v>
      </c>
      <c r="BC79" t="s">
        <v>270</v>
      </c>
      <c r="BD79" t="s">
        <v>270</v>
      </c>
      <c r="BE79" t="s">
        <v>1821</v>
      </c>
      <c r="BF79" t="s">
        <v>1776</v>
      </c>
      <c r="BG79" t="s">
        <v>1777</v>
      </c>
      <c r="BH79" t="s">
        <v>1804</v>
      </c>
      <c r="BI79" t="s">
        <v>1779</v>
      </c>
      <c r="BJ79" t="b">
        <v>0</v>
      </c>
      <c r="BK79" t="b">
        <v>1</v>
      </c>
      <c r="BL79" t="b">
        <v>0</v>
      </c>
      <c r="BM79" t="b">
        <v>0</v>
      </c>
      <c r="BN79" t="b">
        <v>0</v>
      </c>
      <c r="BO79" t="b">
        <v>0</v>
      </c>
      <c r="BP79">
        <v>1</v>
      </c>
      <c r="BQ79">
        <v>28</v>
      </c>
      <c r="BR79">
        <v>0</v>
      </c>
      <c r="BS79">
        <v>0</v>
      </c>
      <c r="BT79" t="b">
        <v>0</v>
      </c>
      <c r="BV79">
        <v>0</v>
      </c>
      <c r="BW79">
        <v>0</v>
      </c>
      <c r="BX79">
        <v>0</v>
      </c>
      <c r="BY79" t="s">
        <v>270</v>
      </c>
      <c r="BZ79" t="s">
        <v>270</v>
      </c>
      <c r="CA79" t="s">
        <v>270</v>
      </c>
      <c r="CB79" t="s">
        <v>270</v>
      </c>
      <c r="CC79" t="s">
        <v>1840</v>
      </c>
      <c r="CD79" t="s">
        <v>1841</v>
      </c>
      <c r="CE79" t="s">
        <v>1865</v>
      </c>
      <c r="CF79" t="s">
        <v>1842</v>
      </c>
      <c r="CG79" t="str">
        <f t="shared" si="5"/>
        <v/>
      </c>
      <c r="CH79" t="str">
        <f t="shared" si="6"/>
        <v/>
      </c>
      <c r="CI79" t="str">
        <f t="shared" si="7"/>
        <v/>
      </c>
      <c r="CJ79" t="str">
        <f t="shared" si="8"/>
        <v/>
      </c>
      <c r="CK79" t="str">
        <f t="shared" si="9"/>
        <v/>
      </c>
    </row>
    <row r="80" spans="1:89">
      <c r="A80">
        <v>20241</v>
      </c>
      <c r="B80" t="s">
        <v>1770</v>
      </c>
      <c r="C80">
        <v>1257.44055175781</v>
      </c>
      <c r="D80" t="s">
        <v>1792</v>
      </c>
      <c r="E80">
        <v>1965</v>
      </c>
      <c r="F80" t="s">
        <v>1866</v>
      </c>
      <c r="G80" t="s">
        <v>169</v>
      </c>
      <c r="H80">
        <v>98625</v>
      </c>
      <c r="I80" t="s">
        <v>1867</v>
      </c>
      <c r="K80" t="s">
        <v>1774</v>
      </c>
      <c r="L80">
        <v>6</v>
      </c>
      <c r="M80">
        <v>3</v>
      </c>
      <c r="N80">
        <v>0</v>
      </c>
      <c r="O80">
        <v>3</v>
      </c>
      <c r="P80">
        <v>0</v>
      </c>
      <c r="Q80">
        <v>6659</v>
      </c>
      <c r="R80">
        <v>6659</v>
      </c>
      <c r="S80">
        <v>0</v>
      </c>
      <c r="T80">
        <v>1</v>
      </c>
      <c r="U80">
        <v>0</v>
      </c>
      <c r="V80">
        <v>5</v>
      </c>
      <c r="W80">
        <v>0</v>
      </c>
      <c r="X80">
        <v>0</v>
      </c>
      <c r="Y80">
        <v>0</v>
      </c>
      <c r="Z80" t="b">
        <v>0</v>
      </c>
      <c r="AA80" t="b">
        <v>0</v>
      </c>
      <c r="AB80">
        <v>8</v>
      </c>
      <c r="AD80">
        <v>81457.859375</v>
      </c>
      <c r="AE80">
        <v>81457.859375</v>
      </c>
      <c r="AI80">
        <v>277934.21875</v>
      </c>
      <c r="AJ80" t="s">
        <v>270</v>
      </c>
      <c r="AK80">
        <v>0</v>
      </c>
      <c r="AL80">
        <v>12</v>
      </c>
      <c r="AM80">
        <v>0</v>
      </c>
      <c r="AN80">
        <v>13</v>
      </c>
      <c r="AO80">
        <v>0</v>
      </c>
      <c r="AP80">
        <v>25</v>
      </c>
      <c r="AQ80">
        <v>0</v>
      </c>
      <c r="AR80">
        <v>0</v>
      </c>
      <c r="AS80">
        <v>50</v>
      </c>
      <c r="AT80" t="b">
        <v>1</v>
      </c>
      <c r="AU80">
        <v>0</v>
      </c>
      <c r="AV80">
        <v>0</v>
      </c>
      <c r="AW80">
        <v>0</v>
      </c>
      <c r="AX80" t="b">
        <v>0</v>
      </c>
      <c r="AY80" t="b">
        <v>0</v>
      </c>
      <c r="AZ80" t="b">
        <v>0</v>
      </c>
      <c r="BA80" t="b">
        <v>0</v>
      </c>
      <c r="BB80" t="s">
        <v>270</v>
      </c>
      <c r="BC80" t="s">
        <v>270</v>
      </c>
      <c r="BD80" t="s">
        <v>273</v>
      </c>
      <c r="BE80" t="s">
        <v>1775</v>
      </c>
      <c r="BF80" t="s">
        <v>1776</v>
      </c>
      <c r="BG80" t="s">
        <v>1777</v>
      </c>
      <c r="BH80" t="s">
        <v>1804</v>
      </c>
      <c r="BI80" t="s">
        <v>1779</v>
      </c>
      <c r="BJ80" t="b">
        <v>0</v>
      </c>
      <c r="BK80" t="b">
        <v>1</v>
      </c>
      <c r="BL80" t="b">
        <v>0</v>
      </c>
      <c r="BM80" t="b">
        <v>0</v>
      </c>
      <c r="BN80" t="b">
        <v>0</v>
      </c>
      <c r="BO80" t="b">
        <v>0</v>
      </c>
      <c r="BP80">
        <v>1</v>
      </c>
      <c r="BQ80">
        <v>6</v>
      </c>
      <c r="BR80">
        <v>0</v>
      </c>
      <c r="BS80">
        <v>0</v>
      </c>
      <c r="BT80" t="b">
        <v>1</v>
      </c>
      <c r="BV80">
        <v>6</v>
      </c>
      <c r="BW80">
        <v>2550</v>
      </c>
      <c r="BX80">
        <v>0</v>
      </c>
      <c r="BY80" t="s">
        <v>270</v>
      </c>
      <c r="BZ80" t="s">
        <v>270</v>
      </c>
      <c r="CA80" t="s">
        <v>270</v>
      </c>
      <c r="CB80" t="s">
        <v>273</v>
      </c>
      <c r="CC80" t="s">
        <v>1787</v>
      </c>
      <c r="CD80" t="s">
        <v>1781</v>
      </c>
      <c r="CE80" t="s">
        <v>1824</v>
      </c>
      <c r="CF80" t="s">
        <v>1783</v>
      </c>
      <c r="CG80">
        <f t="shared" si="5"/>
        <v>1257.44055175781</v>
      </c>
      <c r="CH80">
        <f t="shared" si="6"/>
        <v>6659</v>
      </c>
      <c r="CI80">
        <f t="shared" si="7"/>
        <v>3</v>
      </c>
      <c r="CJ80">
        <f t="shared" si="8"/>
        <v>8373296.6341552567</v>
      </c>
      <c r="CK80">
        <f t="shared" si="9"/>
        <v>3772.3216552734302</v>
      </c>
    </row>
    <row r="81" spans="1:89">
      <c r="A81">
        <v>20289</v>
      </c>
      <c r="B81" t="s">
        <v>1770</v>
      </c>
      <c r="C81">
        <v>943.08038330078102</v>
      </c>
      <c r="D81" t="s">
        <v>1802</v>
      </c>
      <c r="E81">
        <v>1971</v>
      </c>
      <c r="F81" t="s">
        <v>1868</v>
      </c>
      <c r="G81" t="s">
        <v>169</v>
      </c>
      <c r="H81">
        <v>99153</v>
      </c>
      <c r="I81" t="s">
        <v>1869</v>
      </c>
      <c r="K81" t="s">
        <v>1774</v>
      </c>
      <c r="L81">
        <v>8</v>
      </c>
      <c r="M81">
        <v>2</v>
      </c>
      <c r="N81">
        <v>0</v>
      </c>
      <c r="O81">
        <v>2</v>
      </c>
      <c r="P81">
        <v>0</v>
      </c>
      <c r="Q81">
        <v>5466</v>
      </c>
      <c r="R81">
        <v>5466</v>
      </c>
      <c r="S81">
        <v>1108</v>
      </c>
      <c r="T81">
        <v>0</v>
      </c>
      <c r="U81">
        <v>0</v>
      </c>
      <c r="V81">
        <v>0</v>
      </c>
      <c r="W81">
        <v>8</v>
      </c>
      <c r="X81">
        <v>0</v>
      </c>
      <c r="Y81">
        <v>12.5</v>
      </c>
      <c r="Z81" t="b">
        <v>0</v>
      </c>
      <c r="AA81" t="b">
        <v>1</v>
      </c>
      <c r="AB81">
        <v>10</v>
      </c>
      <c r="AJ81" t="s">
        <v>270</v>
      </c>
      <c r="AK81">
        <v>0</v>
      </c>
      <c r="AL81">
        <v>0</v>
      </c>
      <c r="AM81">
        <v>30</v>
      </c>
      <c r="AN81">
        <v>0</v>
      </c>
      <c r="AO81">
        <v>0</v>
      </c>
      <c r="AP81">
        <v>0</v>
      </c>
      <c r="AQ81">
        <v>0</v>
      </c>
      <c r="AR81">
        <v>70</v>
      </c>
      <c r="AS81">
        <v>0</v>
      </c>
      <c r="AT81" t="b">
        <v>1</v>
      </c>
      <c r="AU81">
        <v>2</v>
      </c>
      <c r="AV81">
        <v>2</v>
      </c>
      <c r="AW81">
        <v>0</v>
      </c>
      <c r="AX81" t="b">
        <v>0</v>
      </c>
      <c r="AY81" t="b">
        <v>0</v>
      </c>
      <c r="AZ81" t="b">
        <v>1</v>
      </c>
      <c r="BA81" t="b">
        <v>0</v>
      </c>
      <c r="BB81" t="s">
        <v>270</v>
      </c>
      <c r="BC81" t="s">
        <v>270</v>
      </c>
      <c r="BD81" t="s">
        <v>270</v>
      </c>
      <c r="BE81" t="s">
        <v>1775</v>
      </c>
      <c r="BF81" t="s">
        <v>1776</v>
      </c>
      <c r="BG81" t="s">
        <v>1777</v>
      </c>
      <c r="BH81" t="s">
        <v>1804</v>
      </c>
      <c r="BI81" t="s">
        <v>1790</v>
      </c>
      <c r="BJ81" t="b">
        <v>0</v>
      </c>
      <c r="BK81" t="b">
        <v>1</v>
      </c>
      <c r="BL81" t="b">
        <v>0</v>
      </c>
      <c r="BM81" t="b">
        <v>0</v>
      </c>
      <c r="BN81" t="b">
        <v>0</v>
      </c>
      <c r="BO81" t="b">
        <v>0</v>
      </c>
      <c r="BP81">
        <v>1</v>
      </c>
      <c r="BQ81">
        <v>1</v>
      </c>
      <c r="BR81">
        <v>0</v>
      </c>
      <c r="BS81">
        <v>0</v>
      </c>
      <c r="BT81" t="b">
        <v>0</v>
      </c>
      <c r="BV81">
        <v>0</v>
      </c>
      <c r="BW81">
        <v>0</v>
      </c>
      <c r="BX81">
        <v>0</v>
      </c>
      <c r="BY81" t="s">
        <v>270</v>
      </c>
      <c r="BZ81" t="s">
        <v>270</v>
      </c>
      <c r="CA81" t="s">
        <v>270</v>
      </c>
      <c r="CB81" t="s">
        <v>270</v>
      </c>
      <c r="CC81" t="s">
        <v>1780</v>
      </c>
      <c r="CD81" t="s">
        <v>1781</v>
      </c>
      <c r="CE81" t="s">
        <v>1782</v>
      </c>
      <c r="CF81" t="s">
        <v>1783</v>
      </c>
      <c r="CG81">
        <f t="shared" si="5"/>
        <v>943.08038330078102</v>
      </c>
      <c r="CH81">
        <f t="shared" si="6"/>
        <v>5466</v>
      </c>
      <c r="CI81">
        <f t="shared" si="7"/>
        <v>2</v>
      </c>
      <c r="CJ81">
        <f t="shared" si="8"/>
        <v>5154877.3751220694</v>
      </c>
      <c r="CK81">
        <f t="shared" si="9"/>
        <v>1886.160766601562</v>
      </c>
    </row>
    <row r="82" spans="1:89">
      <c r="A82">
        <v>20532</v>
      </c>
      <c r="B82" t="s">
        <v>1770</v>
      </c>
      <c r="C82">
        <v>502.97622680664102</v>
      </c>
      <c r="D82" t="s">
        <v>1802</v>
      </c>
      <c r="E82">
        <v>1972</v>
      </c>
      <c r="F82" t="s">
        <v>1870</v>
      </c>
      <c r="G82" t="s">
        <v>169</v>
      </c>
      <c r="H82">
        <v>98801</v>
      </c>
      <c r="I82" t="s">
        <v>1871</v>
      </c>
      <c r="K82" t="s">
        <v>1774</v>
      </c>
      <c r="L82">
        <v>15</v>
      </c>
      <c r="M82">
        <v>3</v>
      </c>
      <c r="N82">
        <v>0</v>
      </c>
      <c r="O82">
        <v>3</v>
      </c>
      <c r="P82">
        <v>0</v>
      </c>
      <c r="Q82">
        <v>8813</v>
      </c>
      <c r="R82">
        <v>8813</v>
      </c>
      <c r="S82">
        <v>0</v>
      </c>
      <c r="T82">
        <v>0</v>
      </c>
      <c r="U82">
        <v>0</v>
      </c>
      <c r="V82">
        <v>0</v>
      </c>
      <c r="W82">
        <v>9</v>
      </c>
      <c r="X82">
        <v>6</v>
      </c>
      <c r="Y82">
        <v>7</v>
      </c>
      <c r="Z82" t="b">
        <v>0</v>
      </c>
      <c r="AA82" t="b">
        <v>0</v>
      </c>
      <c r="AB82">
        <v>8</v>
      </c>
      <c r="AD82">
        <v>122885.09375</v>
      </c>
      <c r="AE82">
        <v>122885.09375</v>
      </c>
      <c r="AI82">
        <v>419283.9375</v>
      </c>
      <c r="AJ82" t="s">
        <v>270</v>
      </c>
      <c r="AK82">
        <v>0</v>
      </c>
      <c r="AL82">
        <v>79</v>
      </c>
      <c r="AM82">
        <v>0</v>
      </c>
      <c r="AN82">
        <v>0</v>
      </c>
      <c r="AO82">
        <v>0</v>
      </c>
      <c r="AP82">
        <v>7</v>
      </c>
      <c r="AQ82">
        <v>0</v>
      </c>
      <c r="AR82">
        <v>0</v>
      </c>
      <c r="AS82">
        <v>14</v>
      </c>
      <c r="AT82" t="b">
        <v>0</v>
      </c>
      <c r="AU82">
        <v>0</v>
      </c>
      <c r="AV82">
        <v>0</v>
      </c>
      <c r="AW82">
        <v>0</v>
      </c>
      <c r="AX82" t="b">
        <v>0</v>
      </c>
      <c r="AY82" t="b">
        <v>0</v>
      </c>
      <c r="AZ82" t="b">
        <v>0</v>
      </c>
      <c r="BA82" t="b">
        <v>0</v>
      </c>
      <c r="BB82" t="s">
        <v>270</v>
      </c>
      <c r="BC82" t="s">
        <v>270</v>
      </c>
      <c r="BD82" t="s">
        <v>270</v>
      </c>
      <c r="BE82" t="s">
        <v>1775</v>
      </c>
      <c r="BF82" t="s">
        <v>1776</v>
      </c>
      <c r="BG82" t="s">
        <v>1777</v>
      </c>
      <c r="BH82" t="s">
        <v>1804</v>
      </c>
      <c r="BI82" t="s">
        <v>1779</v>
      </c>
      <c r="BJ82" t="b">
        <v>0</v>
      </c>
      <c r="BK82" t="b">
        <v>1</v>
      </c>
      <c r="BL82" t="b">
        <v>0</v>
      </c>
      <c r="BM82" t="b">
        <v>0</v>
      </c>
      <c r="BN82" t="b">
        <v>0</v>
      </c>
      <c r="BO82" t="b">
        <v>0</v>
      </c>
      <c r="BP82">
        <v>1</v>
      </c>
      <c r="BQ82">
        <v>16</v>
      </c>
      <c r="BR82">
        <v>0</v>
      </c>
      <c r="BS82">
        <v>0</v>
      </c>
      <c r="BT82" t="b">
        <v>1</v>
      </c>
      <c r="BU82">
        <v>0</v>
      </c>
      <c r="BV82">
        <v>15</v>
      </c>
      <c r="BW82">
        <v>5495</v>
      </c>
      <c r="BX82">
        <v>0</v>
      </c>
      <c r="BY82" t="s">
        <v>270</v>
      </c>
      <c r="BZ82" t="s">
        <v>270</v>
      </c>
      <c r="CA82" t="s">
        <v>273</v>
      </c>
      <c r="CB82" t="s">
        <v>273</v>
      </c>
      <c r="CC82" t="s">
        <v>1780</v>
      </c>
      <c r="CD82" t="s">
        <v>1781</v>
      </c>
      <c r="CE82" t="s">
        <v>1782</v>
      </c>
      <c r="CF82" t="s">
        <v>1783</v>
      </c>
      <c r="CG82">
        <f t="shared" si="5"/>
        <v>502.97622680664102</v>
      </c>
      <c r="CH82">
        <f t="shared" si="6"/>
        <v>8813</v>
      </c>
      <c r="CI82">
        <f t="shared" si="7"/>
        <v>3</v>
      </c>
      <c r="CJ82">
        <f t="shared" si="8"/>
        <v>4432729.4868469276</v>
      </c>
      <c r="CK82">
        <f t="shared" si="9"/>
        <v>1508.928680419923</v>
      </c>
    </row>
    <row r="83" spans="1:89">
      <c r="A83">
        <v>20566</v>
      </c>
      <c r="B83" t="s">
        <v>1770</v>
      </c>
      <c r="C83">
        <v>754.46429443359398</v>
      </c>
      <c r="D83" t="s">
        <v>1792</v>
      </c>
      <c r="E83">
        <v>1970</v>
      </c>
      <c r="F83" t="s">
        <v>1853</v>
      </c>
      <c r="G83" t="s">
        <v>170</v>
      </c>
      <c r="H83">
        <v>97233</v>
      </c>
      <c r="I83" t="s">
        <v>1854</v>
      </c>
      <c r="K83" t="s">
        <v>1774</v>
      </c>
      <c r="L83">
        <v>10</v>
      </c>
      <c r="M83">
        <v>2</v>
      </c>
      <c r="N83">
        <v>0</v>
      </c>
      <c r="O83">
        <v>2</v>
      </c>
      <c r="P83">
        <v>0</v>
      </c>
      <c r="Q83">
        <v>6734</v>
      </c>
      <c r="R83">
        <v>6734</v>
      </c>
      <c r="S83">
        <v>0</v>
      </c>
      <c r="T83">
        <v>0</v>
      </c>
      <c r="U83">
        <v>0</v>
      </c>
      <c r="V83">
        <v>0</v>
      </c>
      <c r="W83">
        <v>10</v>
      </c>
      <c r="X83">
        <v>0</v>
      </c>
      <c r="Y83">
        <v>0</v>
      </c>
      <c r="Z83" t="b">
        <v>0</v>
      </c>
      <c r="AA83" t="b">
        <v>0</v>
      </c>
      <c r="AB83">
        <v>8</v>
      </c>
      <c r="AD83">
        <v>69241.25</v>
      </c>
      <c r="AE83">
        <v>69241.25</v>
      </c>
      <c r="AI83">
        <v>236251.140625</v>
      </c>
      <c r="AJ83" t="s">
        <v>270</v>
      </c>
      <c r="AK83">
        <v>0</v>
      </c>
      <c r="AL83">
        <v>0</v>
      </c>
      <c r="AM83">
        <v>0</v>
      </c>
      <c r="AN83">
        <v>27</v>
      </c>
      <c r="AO83">
        <v>0</v>
      </c>
      <c r="AP83">
        <v>73</v>
      </c>
      <c r="AQ83">
        <v>0</v>
      </c>
      <c r="AR83">
        <v>0</v>
      </c>
      <c r="AS83">
        <v>0</v>
      </c>
      <c r="AT83" t="b">
        <v>1</v>
      </c>
      <c r="AU83">
        <v>0</v>
      </c>
      <c r="AV83">
        <v>0</v>
      </c>
      <c r="AW83">
        <v>0</v>
      </c>
      <c r="AX83" t="b">
        <v>0</v>
      </c>
      <c r="AY83" t="b">
        <v>0</v>
      </c>
      <c r="AZ83" t="b">
        <v>0</v>
      </c>
      <c r="BA83" t="b">
        <v>0</v>
      </c>
      <c r="BB83" t="s">
        <v>270</v>
      </c>
      <c r="BC83" t="s">
        <v>270</v>
      </c>
      <c r="BD83" t="s">
        <v>270</v>
      </c>
      <c r="BE83" t="s">
        <v>1775</v>
      </c>
      <c r="BF83" t="s">
        <v>1776</v>
      </c>
      <c r="BG83" t="s">
        <v>1777</v>
      </c>
      <c r="BH83" t="s">
        <v>1804</v>
      </c>
      <c r="BI83" t="s">
        <v>1779</v>
      </c>
      <c r="BJ83" t="b">
        <v>0</v>
      </c>
      <c r="BK83" t="b">
        <v>1</v>
      </c>
      <c r="BL83" t="b">
        <v>0</v>
      </c>
      <c r="BM83" t="b">
        <v>0</v>
      </c>
      <c r="BN83" t="b">
        <v>0</v>
      </c>
      <c r="BO83" t="b">
        <v>0</v>
      </c>
      <c r="BP83">
        <v>10</v>
      </c>
      <c r="BQ83">
        <v>11</v>
      </c>
      <c r="BR83">
        <v>0</v>
      </c>
      <c r="BS83">
        <v>0</v>
      </c>
      <c r="BT83" t="b">
        <v>1</v>
      </c>
      <c r="BU83">
        <v>0</v>
      </c>
      <c r="BV83">
        <v>10</v>
      </c>
      <c r="BW83">
        <v>4250</v>
      </c>
      <c r="BX83">
        <v>0</v>
      </c>
      <c r="BY83" t="s">
        <v>270</v>
      </c>
      <c r="BZ83" t="s">
        <v>270</v>
      </c>
      <c r="CA83" t="s">
        <v>270</v>
      </c>
      <c r="CB83" t="s">
        <v>273</v>
      </c>
      <c r="CC83" t="s">
        <v>1787</v>
      </c>
      <c r="CD83" t="s">
        <v>1781</v>
      </c>
      <c r="CE83" t="s">
        <v>1795</v>
      </c>
      <c r="CF83" t="s">
        <v>1783</v>
      </c>
      <c r="CG83">
        <f t="shared" si="5"/>
        <v>754.46429443359398</v>
      </c>
      <c r="CH83">
        <f t="shared" si="6"/>
        <v>6734</v>
      </c>
      <c r="CI83">
        <f t="shared" si="7"/>
        <v>2</v>
      </c>
      <c r="CJ83">
        <f t="shared" si="8"/>
        <v>5080562.5587158222</v>
      </c>
      <c r="CK83">
        <f t="shared" si="9"/>
        <v>1508.928588867188</v>
      </c>
    </row>
    <row r="84" spans="1:89">
      <c r="A84">
        <v>20581</v>
      </c>
      <c r="B84" t="s">
        <v>1770</v>
      </c>
      <c r="C84">
        <v>1257.44055175781</v>
      </c>
      <c r="D84" t="s">
        <v>1792</v>
      </c>
      <c r="E84">
        <v>1970</v>
      </c>
      <c r="F84" t="s">
        <v>1872</v>
      </c>
      <c r="G84" t="s">
        <v>170</v>
      </c>
      <c r="H84">
        <v>97005</v>
      </c>
      <c r="I84" t="s">
        <v>1854</v>
      </c>
      <c r="K84" t="s">
        <v>1819</v>
      </c>
      <c r="L84">
        <v>6</v>
      </c>
      <c r="M84">
        <v>2</v>
      </c>
      <c r="N84">
        <v>0</v>
      </c>
      <c r="O84">
        <v>2</v>
      </c>
      <c r="P84">
        <v>0</v>
      </c>
      <c r="Q84">
        <v>4895</v>
      </c>
      <c r="R84">
        <v>4895</v>
      </c>
      <c r="S84">
        <v>110</v>
      </c>
      <c r="T84">
        <v>0</v>
      </c>
      <c r="U84">
        <v>0</v>
      </c>
      <c r="V84">
        <v>4</v>
      </c>
      <c r="W84">
        <v>2</v>
      </c>
      <c r="X84">
        <v>0</v>
      </c>
      <c r="Y84">
        <v>0</v>
      </c>
      <c r="Z84" t="b">
        <v>0</v>
      </c>
      <c r="AA84" t="b">
        <v>1</v>
      </c>
      <c r="AB84">
        <v>8</v>
      </c>
      <c r="AD84">
        <v>83870.8671875</v>
      </c>
      <c r="AE84">
        <v>83870.8671875</v>
      </c>
      <c r="AI84">
        <v>286167.40625</v>
      </c>
      <c r="AJ84" t="s">
        <v>270</v>
      </c>
      <c r="AK84">
        <v>0</v>
      </c>
      <c r="AL84">
        <v>0</v>
      </c>
      <c r="AM84">
        <v>0</v>
      </c>
      <c r="AN84">
        <v>44</v>
      </c>
      <c r="AO84">
        <v>0</v>
      </c>
      <c r="AP84">
        <v>56</v>
      </c>
      <c r="AQ84">
        <v>0</v>
      </c>
      <c r="AR84">
        <v>0</v>
      </c>
      <c r="AS84">
        <v>0</v>
      </c>
      <c r="AT84" t="b">
        <v>0</v>
      </c>
      <c r="AU84">
        <v>2</v>
      </c>
      <c r="AV84">
        <v>2</v>
      </c>
      <c r="AW84">
        <v>0</v>
      </c>
      <c r="AX84" t="b">
        <v>0</v>
      </c>
      <c r="AY84" t="b">
        <v>0</v>
      </c>
      <c r="AZ84" t="b">
        <v>0</v>
      </c>
      <c r="BA84" t="b">
        <v>0</v>
      </c>
      <c r="BB84" t="s">
        <v>270</v>
      </c>
      <c r="BC84" t="s">
        <v>270</v>
      </c>
      <c r="BD84" t="s">
        <v>270</v>
      </c>
      <c r="BE84" t="s">
        <v>1775</v>
      </c>
      <c r="BF84" t="s">
        <v>1776</v>
      </c>
      <c r="BG84" t="s">
        <v>1777</v>
      </c>
      <c r="BH84" t="s">
        <v>1778</v>
      </c>
      <c r="BI84" t="s">
        <v>1790</v>
      </c>
      <c r="BJ84" t="b">
        <v>0</v>
      </c>
      <c r="BK84" t="b">
        <v>1</v>
      </c>
      <c r="BL84" t="b">
        <v>0</v>
      </c>
      <c r="BM84" t="b">
        <v>0</v>
      </c>
      <c r="BN84" t="b">
        <v>0</v>
      </c>
      <c r="BO84" t="b">
        <v>0</v>
      </c>
      <c r="BP84">
        <v>3</v>
      </c>
      <c r="BQ84">
        <v>13</v>
      </c>
      <c r="BR84">
        <v>0</v>
      </c>
      <c r="BS84">
        <v>0</v>
      </c>
      <c r="BT84" t="b">
        <v>1</v>
      </c>
      <c r="BU84">
        <v>0</v>
      </c>
      <c r="BV84">
        <v>8</v>
      </c>
      <c r="BW84">
        <v>3400</v>
      </c>
      <c r="BX84">
        <v>0</v>
      </c>
      <c r="BY84" t="s">
        <v>270</v>
      </c>
      <c r="BZ84" t="s">
        <v>270</v>
      </c>
      <c r="CA84" t="s">
        <v>270</v>
      </c>
      <c r="CB84" t="s">
        <v>273</v>
      </c>
      <c r="CC84" t="s">
        <v>1787</v>
      </c>
      <c r="CD84" t="s">
        <v>1781</v>
      </c>
      <c r="CE84" t="s">
        <v>1782</v>
      </c>
      <c r="CF84" t="s">
        <v>1783</v>
      </c>
      <c r="CG84">
        <f t="shared" si="5"/>
        <v>1257.44055175781</v>
      </c>
      <c r="CH84">
        <f t="shared" si="6"/>
        <v>4895</v>
      </c>
      <c r="CI84">
        <f t="shared" si="7"/>
        <v>2</v>
      </c>
      <c r="CJ84">
        <f t="shared" si="8"/>
        <v>6155171.5008544801</v>
      </c>
      <c r="CK84">
        <f t="shared" si="9"/>
        <v>2514.88110351562</v>
      </c>
    </row>
    <row r="85" spans="1:89">
      <c r="A85">
        <v>20665</v>
      </c>
      <c r="B85" t="s">
        <v>1770</v>
      </c>
      <c r="C85">
        <v>685.87664794921898</v>
      </c>
      <c r="D85" t="s">
        <v>1802</v>
      </c>
      <c r="E85">
        <v>1977</v>
      </c>
      <c r="F85" t="s">
        <v>1863</v>
      </c>
      <c r="G85" t="s">
        <v>170</v>
      </c>
      <c r="H85">
        <v>97301</v>
      </c>
      <c r="I85" t="s">
        <v>1854</v>
      </c>
      <c r="K85" t="s">
        <v>1774</v>
      </c>
      <c r="L85">
        <v>11</v>
      </c>
      <c r="M85">
        <v>3</v>
      </c>
      <c r="N85">
        <v>0</v>
      </c>
      <c r="O85">
        <v>3</v>
      </c>
      <c r="P85">
        <v>0</v>
      </c>
      <c r="Q85">
        <v>9500</v>
      </c>
      <c r="R85">
        <v>9500</v>
      </c>
      <c r="S85">
        <v>144</v>
      </c>
      <c r="T85">
        <v>0</v>
      </c>
      <c r="U85">
        <v>0</v>
      </c>
      <c r="V85">
        <v>11</v>
      </c>
      <c r="W85">
        <v>0</v>
      </c>
      <c r="X85">
        <v>0</v>
      </c>
      <c r="Y85">
        <v>10</v>
      </c>
      <c r="Z85" t="b">
        <v>0</v>
      </c>
      <c r="AA85" t="b">
        <v>1</v>
      </c>
      <c r="AB85">
        <v>8</v>
      </c>
      <c r="AC85">
        <v>33666.51171875</v>
      </c>
      <c r="AD85">
        <v>56208.30859375</v>
      </c>
      <c r="AE85">
        <v>89874.8203125</v>
      </c>
      <c r="AI85">
        <v>306652.875</v>
      </c>
      <c r="AJ85" t="s">
        <v>270</v>
      </c>
      <c r="AK85">
        <v>0</v>
      </c>
      <c r="AL85">
        <v>3</v>
      </c>
      <c r="AM85">
        <v>0</v>
      </c>
      <c r="AN85">
        <v>60</v>
      </c>
      <c r="AO85">
        <v>0</v>
      </c>
      <c r="AP85">
        <v>5</v>
      </c>
      <c r="AQ85">
        <v>0</v>
      </c>
      <c r="AR85">
        <v>0</v>
      </c>
      <c r="AS85">
        <v>32</v>
      </c>
      <c r="AT85" t="b">
        <v>1</v>
      </c>
      <c r="AU85">
        <v>2</v>
      </c>
      <c r="AV85">
        <v>2</v>
      </c>
      <c r="AW85">
        <v>1</v>
      </c>
      <c r="AX85" t="b">
        <v>0</v>
      </c>
      <c r="AY85" t="b">
        <v>0</v>
      </c>
      <c r="AZ85" t="b">
        <v>0</v>
      </c>
      <c r="BA85" t="b">
        <v>0</v>
      </c>
      <c r="BB85" t="s">
        <v>270</v>
      </c>
      <c r="BC85" t="s">
        <v>270</v>
      </c>
      <c r="BD85" t="s">
        <v>270</v>
      </c>
      <c r="BE85" t="s">
        <v>1821</v>
      </c>
      <c r="BF85" t="s">
        <v>1776</v>
      </c>
      <c r="BG85" t="s">
        <v>1777</v>
      </c>
      <c r="BH85" t="s">
        <v>1804</v>
      </c>
      <c r="BI85" t="s">
        <v>1790</v>
      </c>
      <c r="BJ85" t="b">
        <v>0</v>
      </c>
      <c r="BK85" t="b">
        <v>1</v>
      </c>
      <c r="BL85" t="b">
        <v>0</v>
      </c>
      <c r="BM85" t="b">
        <v>0</v>
      </c>
      <c r="BN85" t="b">
        <v>0</v>
      </c>
      <c r="BO85" t="b">
        <v>0</v>
      </c>
      <c r="BP85">
        <v>1</v>
      </c>
      <c r="BQ85">
        <v>12</v>
      </c>
      <c r="BR85">
        <v>0</v>
      </c>
      <c r="BS85">
        <v>0</v>
      </c>
      <c r="BT85" t="b">
        <v>1</v>
      </c>
      <c r="BU85">
        <v>0</v>
      </c>
      <c r="BV85">
        <v>12</v>
      </c>
      <c r="BW85">
        <v>1260</v>
      </c>
      <c r="BX85">
        <v>1</v>
      </c>
      <c r="BY85" t="s">
        <v>270</v>
      </c>
      <c r="BZ85" t="s">
        <v>270</v>
      </c>
      <c r="CA85" t="s">
        <v>273</v>
      </c>
      <c r="CB85" t="s">
        <v>270</v>
      </c>
      <c r="CC85" t="s">
        <v>1787</v>
      </c>
      <c r="CD85" t="s">
        <v>1781</v>
      </c>
      <c r="CE85" t="s">
        <v>1795</v>
      </c>
      <c r="CF85" t="s">
        <v>1783</v>
      </c>
      <c r="CG85">
        <f t="shared" si="5"/>
        <v>685.87664794921898</v>
      </c>
      <c r="CH85">
        <f t="shared" si="6"/>
        <v>9500</v>
      </c>
      <c r="CI85">
        <f t="shared" si="7"/>
        <v>3</v>
      </c>
      <c r="CJ85">
        <f t="shared" si="8"/>
        <v>6515828.15551758</v>
      </c>
      <c r="CK85">
        <f t="shared" si="9"/>
        <v>2057.6299438476572</v>
      </c>
    </row>
    <row r="86" spans="1:89">
      <c r="A86">
        <v>20705</v>
      </c>
      <c r="B86" t="s">
        <v>1770</v>
      </c>
      <c r="C86">
        <v>1257.44055175781</v>
      </c>
      <c r="D86" t="s">
        <v>1802</v>
      </c>
      <c r="E86">
        <v>1977</v>
      </c>
      <c r="F86" t="s">
        <v>1873</v>
      </c>
      <c r="G86" t="s">
        <v>170</v>
      </c>
      <c r="H86">
        <v>97439</v>
      </c>
      <c r="I86" t="s">
        <v>1857</v>
      </c>
      <c r="K86" t="s">
        <v>1774</v>
      </c>
      <c r="L86">
        <v>6</v>
      </c>
      <c r="M86">
        <v>1</v>
      </c>
      <c r="N86">
        <v>0</v>
      </c>
      <c r="O86">
        <v>1</v>
      </c>
      <c r="P86">
        <v>0</v>
      </c>
      <c r="Q86">
        <v>5540</v>
      </c>
      <c r="R86">
        <v>5540</v>
      </c>
      <c r="S86">
        <v>490</v>
      </c>
      <c r="T86">
        <v>0</v>
      </c>
      <c r="U86">
        <v>5</v>
      </c>
      <c r="V86">
        <v>1</v>
      </c>
      <c r="W86">
        <v>0</v>
      </c>
      <c r="X86">
        <v>0</v>
      </c>
      <c r="Y86">
        <v>0</v>
      </c>
      <c r="Z86" t="b">
        <v>0</v>
      </c>
      <c r="AA86" t="b">
        <v>1</v>
      </c>
      <c r="AB86">
        <v>7.5</v>
      </c>
      <c r="AD86">
        <v>64331.05859375</v>
      </c>
      <c r="AE86">
        <v>64331.05859375</v>
      </c>
      <c r="AI86">
        <v>219497.578125</v>
      </c>
      <c r="AJ86" t="s">
        <v>270</v>
      </c>
      <c r="AK86">
        <v>0</v>
      </c>
      <c r="AL86">
        <v>0</v>
      </c>
      <c r="AM86">
        <v>0</v>
      </c>
      <c r="AN86">
        <v>56</v>
      </c>
      <c r="AO86">
        <v>0</v>
      </c>
      <c r="AP86">
        <v>40</v>
      </c>
      <c r="AQ86">
        <v>0</v>
      </c>
      <c r="AR86">
        <v>0</v>
      </c>
      <c r="AS86">
        <v>4</v>
      </c>
      <c r="AT86" t="b">
        <v>0</v>
      </c>
      <c r="AU86">
        <v>3</v>
      </c>
      <c r="AV86">
        <v>3</v>
      </c>
      <c r="AW86">
        <v>0</v>
      </c>
      <c r="AX86" t="b">
        <v>0</v>
      </c>
      <c r="AY86" t="b">
        <v>0</v>
      </c>
      <c r="AZ86" t="b">
        <v>1</v>
      </c>
      <c r="BA86" t="b">
        <v>0</v>
      </c>
      <c r="BB86" t="s">
        <v>270</v>
      </c>
      <c r="BC86" t="s">
        <v>270</v>
      </c>
      <c r="BD86" t="s">
        <v>270</v>
      </c>
      <c r="BE86" t="s">
        <v>1775</v>
      </c>
      <c r="BF86" t="s">
        <v>1776</v>
      </c>
      <c r="BG86" t="s">
        <v>1777</v>
      </c>
      <c r="BH86" t="s">
        <v>1778</v>
      </c>
      <c r="BI86" t="s">
        <v>1790</v>
      </c>
      <c r="BJ86" t="b">
        <v>0</v>
      </c>
      <c r="BK86" t="b">
        <v>1</v>
      </c>
      <c r="BL86" t="b">
        <v>0</v>
      </c>
      <c r="BM86" t="b">
        <v>0</v>
      </c>
      <c r="BN86" t="b">
        <v>0</v>
      </c>
      <c r="BO86" t="b">
        <v>0</v>
      </c>
      <c r="BP86">
        <v>15</v>
      </c>
      <c r="BQ86">
        <v>7</v>
      </c>
      <c r="BR86">
        <v>0</v>
      </c>
      <c r="BS86">
        <v>0</v>
      </c>
      <c r="BT86" t="b">
        <v>1</v>
      </c>
      <c r="BU86">
        <v>0</v>
      </c>
      <c r="BV86">
        <v>9</v>
      </c>
      <c r="BW86">
        <v>3825</v>
      </c>
      <c r="BX86">
        <v>0</v>
      </c>
      <c r="BY86" t="s">
        <v>270</v>
      </c>
      <c r="BZ86" t="s">
        <v>270</v>
      </c>
      <c r="CA86" t="s">
        <v>270</v>
      </c>
      <c r="CB86" t="s">
        <v>273</v>
      </c>
      <c r="CC86" t="s">
        <v>1787</v>
      </c>
      <c r="CD86" t="s">
        <v>1781</v>
      </c>
      <c r="CE86" t="s">
        <v>1795</v>
      </c>
      <c r="CF86" t="s">
        <v>1783</v>
      </c>
      <c r="CG86">
        <f t="shared" si="5"/>
        <v>1257.44055175781</v>
      </c>
      <c r="CH86">
        <f t="shared" si="6"/>
        <v>5540</v>
      </c>
      <c r="CI86">
        <f t="shared" si="7"/>
        <v>1</v>
      </c>
      <c r="CJ86">
        <f t="shared" si="8"/>
        <v>6966220.6567382673</v>
      </c>
      <c r="CK86">
        <f t="shared" si="9"/>
        <v>1257.44055175781</v>
      </c>
    </row>
    <row r="87" spans="1:89">
      <c r="A87">
        <v>20803</v>
      </c>
      <c r="B87" t="s">
        <v>1770</v>
      </c>
      <c r="C87">
        <v>838.293701171875</v>
      </c>
      <c r="D87" t="s">
        <v>1802</v>
      </c>
      <c r="E87">
        <v>1976</v>
      </c>
      <c r="F87" t="s">
        <v>1874</v>
      </c>
      <c r="G87" t="s">
        <v>169</v>
      </c>
      <c r="H87">
        <v>98901</v>
      </c>
      <c r="I87" t="s">
        <v>1875</v>
      </c>
      <c r="K87" t="s">
        <v>1774</v>
      </c>
      <c r="L87">
        <v>9</v>
      </c>
      <c r="M87">
        <v>2</v>
      </c>
      <c r="N87">
        <v>0</v>
      </c>
      <c r="O87">
        <v>2</v>
      </c>
      <c r="P87">
        <v>0</v>
      </c>
      <c r="Q87">
        <v>5650</v>
      </c>
      <c r="R87">
        <v>5650</v>
      </c>
      <c r="S87">
        <v>101</v>
      </c>
      <c r="T87">
        <v>0</v>
      </c>
      <c r="U87">
        <v>0</v>
      </c>
      <c r="V87">
        <v>1</v>
      </c>
      <c r="W87">
        <v>8</v>
      </c>
      <c r="X87">
        <v>0</v>
      </c>
      <c r="Y87">
        <v>0</v>
      </c>
      <c r="Z87" t="b">
        <v>0</v>
      </c>
      <c r="AA87" t="b">
        <v>1</v>
      </c>
      <c r="AB87">
        <v>7.5</v>
      </c>
      <c r="AJ87" t="s">
        <v>270</v>
      </c>
      <c r="AK87">
        <v>0</v>
      </c>
      <c r="AL87">
        <v>11</v>
      </c>
      <c r="AM87">
        <v>0</v>
      </c>
      <c r="AN87">
        <v>41</v>
      </c>
      <c r="AO87">
        <v>0</v>
      </c>
      <c r="AP87">
        <v>38</v>
      </c>
      <c r="AQ87">
        <v>0</v>
      </c>
      <c r="AR87">
        <v>0</v>
      </c>
      <c r="AS87">
        <v>10</v>
      </c>
      <c r="AT87" t="b">
        <v>0</v>
      </c>
      <c r="AU87">
        <v>2</v>
      </c>
      <c r="AV87">
        <v>2</v>
      </c>
      <c r="AW87">
        <v>0</v>
      </c>
      <c r="AX87" t="b">
        <v>0</v>
      </c>
      <c r="AY87" t="b">
        <v>0</v>
      </c>
      <c r="AZ87" t="b">
        <v>0</v>
      </c>
      <c r="BA87" t="b">
        <v>0</v>
      </c>
      <c r="BB87" t="s">
        <v>270</v>
      </c>
      <c r="BC87" t="s">
        <v>270</v>
      </c>
      <c r="BD87" t="s">
        <v>270</v>
      </c>
      <c r="BE87" t="s">
        <v>1775</v>
      </c>
      <c r="BF87" t="s">
        <v>1776</v>
      </c>
      <c r="BG87" t="s">
        <v>1777</v>
      </c>
      <c r="BH87" t="s">
        <v>1804</v>
      </c>
      <c r="BI87" t="s">
        <v>1812</v>
      </c>
      <c r="BJ87" t="b">
        <v>0</v>
      </c>
      <c r="BK87" t="b">
        <v>1</v>
      </c>
      <c r="BL87" t="b">
        <v>0</v>
      </c>
      <c r="BM87" t="b">
        <v>0</v>
      </c>
      <c r="BN87" t="b">
        <v>0</v>
      </c>
      <c r="BO87" t="b">
        <v>0</v>
      </c>
      <c r="BP87">
        <v>1</v>
      </c>
      <c r="BQ87">
        <v>9</v>
      </c>
      <c r="BR87">
        <v>0</v>
      </c>
      <c r="BS87">
        <v>0</v>
      </c>
      <c r="BT87" t="b">
        <v>1</v>
      </c>
      <c r="BV87">
        <v>10</v>
      </c>
      <c r="BW87">
        <v>4250</v>
      </c>
      <c r="BX87">
        <v>0</v>
      </c>
      <c r="BY87" t="s">
        <v>270</v>
      </c>
      <c r="BZ87" t="s">
        <v>270</v>
      </c>
      <c r="CA87" t="s">
        <v>270</v>
      </c>
      <c r="CB87" t="s">
        <v>273</v>
      </c>
      <c r="CC87" t="s">
        <v>1787</v>
      </c>
      <c r="CD87" t="s">
        <v>1781</v>
      </c>
      <c r="CE87" t="s">
        <v>1795</v>
      </c>
      <c r="CF87" t="s">
        <v>1783</v>
      </c>
      <c r="CG87">
        <f t="shared" si="5"/>
        <v>838.293701171875</v>
      </c>
      <c r="CH87">
        <f t="shared" si="6"/>
        <v>5650</v>
      </c>
      <c r="CI87">
        <f t="shared" si="7"/>
        <v>2</v>
      </c>
      <c r="CJ87">
        <f t="shared" si="8"/>
        <v>4736359.4116210937</v>
      </c>
      <c r="CK87">
        <f t="shared" si="9"/>
        <v>1676.58740234375</v>
      </c>
    </row>
    <row r="88" spans="1:89">
      <c r="A88">
        <v>21000</v>
      </c>
      <c r="B88" t="s">
        <v>1770</v>
      </c>
      <c r="C88">
        <v>251.48811340332</v>
      </c>
      <c r="D88" t="s">
        <v>1822</v>
      </c>
      <c r="E88">
        <v>1952</v>
      </c>
      <c r="F88" t="s">
        <v>1876</v>
      </c>
      <c r="G88" t="s">
        <v>169</v>
      </c>
      <c r="H88">
        <v>98926</v>
      </c>
      <c r="I88" t="s">
        <v>1877</v>
      </c>
      <c r="K88" t="s">
        <v>1774</v>
      </c>
      <c r="L88">
        <v>30</v>
      </c>
      <c r="M88">
        <v>2</v>
      </c>
      <c r="N88">
        <v>0</v>
      </c>
      <c r="O88">
        <v>2</v>
      </c>
      <c r="P88">
        <v>0</v>
      </c>
      <c r="Q88">
        <v>26968</v>
      </c>
      <c r="R88">
        <v>26264</v>
      </c>
      <c r="S88">
        <v>8359</v>
      </c>
      <c r="T88">
        <v>0</v>
      </c>
      <c r="U88">
        <v>0</v>
      </c>
      <c r="V88">
        <v>18</v>
      </c>
      <c r="W88">
        <v>2</v>
      </c>
      <c r="X88">
        <v>10</v>
      </c>
      <c r="Y88">
        <v>0</v>
      </c>
      <c r="Z88" t="b">
        <v>1</v>
      </c>
      <c r="AA88" t="b">
        <v>1</v>
      </c>
      <c r="AB88">
        <v>8</v>
      </c>
      <c r="AD88">
        <v>196690.265625</v>
      </c>
      <c r="AE88">
        <v>196690.265625</v>
      </c>
      <c r="AI88">
        <v>671107.1875</v>
      </c>
      <c r="AJ88" t="s">
        <v>270</v>
      </c>
      <c r="AK88">
        <v>706</v>
      </c>
      <c r="AL88">
        <v>37</v>
      </c>
      <c r="AM88">
        <v>0</v>
      </c>
      <c r="AN88">
        <v>17</v>
      </c>
      <c r="AO88">
        <v>0</v>
      </c>
      <c r="AP88">
        <v>17</v>
      </c>
      <c r="AQ88">
        <v>0</v>
      </c>
      <c r="AR88">
        <v>0</v>
      </c>
      <c r="AS88">
        <v>29</v>
      </c>
      <c r="AT88" t="b">
        <v>1</v>
      </c>
      <c r="AU88">
        <v>2</v>
      </c>
      <c r="AV88">
        <v>2</v>
      </c>
      <c r="AW88">
        <v>1</v>
      </c>
      <c r="AX88" t="b">
        <v>0</v>
      </c>
      <c r="AY88" t="b">
        <v>0</v>
      </c>
      <c r="AZ88" t="b">
        <v>1</v>
      </c>
      <c r="BA88" t="b">
        <v>0</v>
      </c>
      <c r="BB88" t="s">
        <v>270</v>
      </c>
      <c r="BC88" t="s">
        <v>270</v>
      </c>
      <c r="BD88" t="s">
        <v>270</v>
      </c>
      <c r="BE88" t="s">
        <v>1775</v>
      </c>
      <c r="BF88" t="s">
        <v>1776</v>
      </c>
      <c r="BG88" t="s">
        <v>1777</v>
      </c>
      <c r="BH88" t="s">
        <v>1804</v>
      </c>
      <c r="BI88" t="s">
        <v>1790</v>
      </c>
      <c r="BJ88" t="b">
        <v>0</v>
      </c>
      <c r="BK88" t="b">
        <v>1</v>
      </c>
      <c r="BL88" t="b">
        <v>0</v>
      </c>
      <c r="BM88" t="b">
        <v>0</v>
      </c>
      <c r="BN88" t="b">
        <v>0</v>
      </c>
      <c r="BO88" t="b">
        <v>0</v>
      </c>
      <c r="BP88">
        <v>2</v>
      </c>
      <c r="BQ88">
        <v>32</v>
      </c>
      <c r="BR88">
        <v>0</v>
      </c>
      <c r="BS88">
        <v>0</v>
      </c>
      <c r="BT88" t="b">
        <v>1</v>
      </c>
      <c r="BV88">
        <v>29</v>
      </c>
      <c r="BW88">
        <v>12325</v>
      </c>
      <c r="BX88">
        <v>0</v>
      </c>
      <c r="BY88" t="s">
        <v>270</v>
      </c>
      <c r="BZ88" t="s">
        <v>270</v>
      </c>
      <c r="CA88" t="s">
        <v>270</v>
      </c>
      <c r="CB88" t="s">
        <v>273</v>
      </c>
      <c r="CC88" t="s">
        <v>1787</v>
      </c>
      <c r="CD88" t="s">
        <v>1781</v>
      </c>
      <c r="CE88" t="s">
        <v>1795</v>
      </c>
      <c r="CF88" t="s">
        <v>1783</v>
      </c>
      <c r="CG88">
        <f t="shared" si="5"/>
        <v>251.48811340332</v>
      </c>
      <c r="CH88">
        <f t="shared" si="6"/>
        <v>26968</v>
      </c>
      <c r="CI88">
        <f t="shared" si="7"/>
        <v>2</v>
      </c>
      <c r="CJ88">
        <f t="shared" si="8"/>
        <v>6782131.4422607338</v>
      </c>
      <c r="CK88">
        <f t="shared" si="9"/>
        <v>502.97622680664</v>
      </c>
    </row>
    <row r="89" spans="1:89">
      <c r="A89">
        <v>21268</v>
      </c>
      <c r="B89" t="s">
        <v>1770</v>
      </c>
      <c r="C89">
        <v>1257.44055175781</v>
      </c>
      <c r="D89" t="s">
        <v>1802</v>
      </c>
      <c r="E89">
        <v>1979</v>
      </c>
      <c r="F89" t="s">
        <v>1858</v>
      </c>
      <c r="G89" t="s">
        <v>169</v>
      </c>
      <c r="H89">
        <v>98665</v>
      </c>
      <c r="I89" t="s">
        <v>1859</v>
      </c>
      <c r="K89" t="s">
        <v>1819</v>
      </c>
      <c r="L89">
        <v>6</v>
      </c>
      <c r="M89">
        <v>2</v>
      </c>
      <c r="N89">
        <v>0</v>
      </c>
      <c r="O89">
        <v>2</v>
      </c>
      <c r="P89">
        <v>0</v>
      </c>
      <c r="Q89">
        <v>4316</v>
      </c>
      <c r="R89">
        <v>4316</v>
      </c>
      <c r="S89">
        <v>0</v>
      </c>
      <c r="T89">
        <v>0</v>
      </c>
      <c r="U89">
        <v>0</v>
      </c>
      <c r="V89">
        <v>4</v>
      </c>
      <c r="W89">
        <v>2</v>
      </c>
      <c r="X89">
        <v>0</v>
      </c>
      <c r="Y89">
        <v>0</v>
      </c>
      <c r="Z89" t="b">
        <v>0</v>
      </c>
      <c r="AA89" t="b">
        <v>0</v>
      </c>
      <c r="AB89">
        <v>7.5</v>
      </c>
      <c r="AD89">
        <v>57394.25</v>
      </c>
      <c r="AE89">
        <v>57394.25</v>
      </c>
      <c r="AI89">
        <v>195829.1875</v>
      </c>
      <c r="AJ89" t="s">
        <v>270</v>
      </c>
      <c r="AK89">
        <v>0</v>
      </c>
      <c r="AL89">
        <v>0</v>
      </c>
      <c r="AM89">
        <v>0</v>
      </c>
      <c r="AN89">
        <v>50</v>
      </c>
      <c r="AO89">
        <v>0</v>
      </c>
      <c r="AP89">
        <v>50</v>
      </c>
      <c r="AQ89">
        <v>0</v>
      </c>
      <c r="AR89">
        <v>0</v>
      </c>
      <c r="AS89">
        <v>0</v>
      </c>
      <c r="AT89" t="b">
        <v>0</v>
      </c>
      <c r="AU89">
        <v>0</v>
      </c>
      <c r="AV89">
        <v>0</v>
      </c>
      <c r="AW89">
        <v>0</v>
      </c>
      <c r="AX89" t="b">
        <v>0</v>
      </c>
      <c r="AY89" t="b">
        <v>0</v>
      </c>
      <c r="AZ89" t="b">
        <v>0</v>
      </c>
      <c r="BA89" t="b">
        <v>0</v>
      </c>
      <c r="BB89" t="s">
        <v>270</v>
      </c>
      <c r="BC89" t="s">
        <v>270</v>
      </c>
      <c r="BD89" t="s">
        <v>270</v>
      </c>
      <c r="BE89" t="s">
        <v>1775</v>
      </c>
      <c r="BF89" t="s">
        <v>1776</v>
      </c>
      <c r="BG89" t="s">
        <v>1777</v>
      </c>
      <c r="BH89" t="s">
        <v>1778</v>
      </c>
      <c r="BI89" t="s">
        <v>1779</v>
      </c>
      <c r="BJ89" t="b">
        <v>0</v>
      </c>
      <c r="BK89" t="b">
        <v>1</v>
      </c>
      <c r="BL89" t="b">
        <v>0</v>
      </c>
      <c r="BM89" t="b">
        <v>0</v>
      </c>
      <c r="BN89" t="b">
        <v>0</v>
      </c>
      <c r="BO89" t="b">
        <v>0</v>
      </c>
      <c r="BP89">
        <v>6</v>
      </c>
      <c r="BQ89">
        <v>6</v>
      </c>
      <c r="BR89">
        <v>0</v>
      </c>
      <c r="BS89">
        <v>0</v>
      </c>
      <c r="BT89" t="b">
        <v>1</v>
      </c>
      <c r="BU89">
        <v>0</v>
      </c>
      <c r="BV89">
        <v>10</v>
      </c>
      <c r="BW89">
        <v>4250</v>
      </c>
      <c r="BX89">
        <v>0</v>
      </c>
      <c r="BY89" t="s">
        <v>270</v>
      </c>
      <c r="BZ89" t="s">
        <v>270</v>
      </c>
      <c r="CA89" t="s">
        <v>270</v>
      </c>
      <c r="CB89" t="s">
        <v>273</v>
      </c>
      <c r="CC89" t="s">
        <v>1787</v>
      </c>
      <c r="CD89" t="s">
        <v>1781</v>
      </c>
      <c r="CE89" t="s">
        <v>1795</v>
      </c>
      <c r="CF89" t="s">
        <v>1783</v>
      </c>
      <c r="CG89">
        <f t="shared" si="5"/>
        <v>1257.44055175781</v>
      </c>
      <c r="CH89">
        <f t="shared" si="6"/>
        <v>4316</v>
      </c>
      <c r="CI89">
        <f t="shared" si="7"/>
        <v>2</v>
      </c>
      <c r="CJ89">
        <f t="shared" si="8"/>
        <v>5427113.4213867076</v>
      </c>
      <c r="CK89">
        <f t="shared" si="9"/>
        <v>2514.88110351562</v>
      </c>
    </row>
    <row r="90" spans="1:89">
      <c r="A90">
        <v>21346</v>
      </c>
      <c r="B90" t="s">
        <v>1770</v>
      </c>
      <c r="C90">
        <v>754.46429443359398</v>
      </c>
      <c r="D90" t="s">
        <v>1808</v>
      </c>
      <c r="E90">
        <v>1998</v>
      </c>
      <c r="F90" t="s">
        <v>1878</v>
      </c>
      <c r="G90" t="s">
        <v>172</v>
      </c>
      <c r="H90">
        <v>59602</v>
      </c>
      <c r="I90" t="s">
        <v>1879</v>
      </c>
      <c r="J90" t="s">
        <v>1879</v>
      </c>
      <c r="K90" t="s">
        <v>1774</v>
      </c>
      <c r="L90">
        <v>10</v>
      </c>
      <c r="M90">
        <v>2</v>
      </c>
      <c r="N90">
        <v>0</v>
      </c>
      <c r="O90">
        <v>2</v>
      </c>
      <c r="P90">
        <v>0</v>
      </c>
      <c r="Q90">
        <v>10050</v>
      </c>
      <c r="R90">
        <v>10050</v>
      </c>
      <c r="S90">
        <v>0</v>
      </c>
      <c r="T90">
        <v>0</v>
      </c>
      <c r="U90">
        <v>0</v>
      </c>
      <c r="V90">
        <v>10</v>
      </c>
      <c r="W90">
        <v>0</v>
      </c>
      <c r="X90">
        <v>0</v>
      </c>
      <c r="Y90">
        <v>6</v>
      </c>
      <c r="Z90" t="b">
        <v>0</v>
      </c>
      <c r="AA90" t="b">
        <v>0</v>
      </c>
      <c r="AB90">
        <v>8</v>
      </c>
      <c r="AJ90" t="s">
        <v>270</v>
      </c>
      <c r="AK90">
        <v>0</v>
      </c>
      <c r="AL90">
        <v>10</v>
      </c>
      <c r="AM90">
        <v>0</v>
      </c>
      <c r="AN90">
        <v>30</v>
      </c>
      <c r="AO90">
        <v>0</v>
      </c>
      <c r="AP90">
        <v>50</v>
      </c>
      <c r="AQ90">
        <v>0</v>
      </c>
      <c r="AR90">
        <v>0</v>
      </c>
      <c r="AS90">
        <v>10</v>
      </c>
      <c r="AT90" t="b">
        <v>1</v>
      </c>
      <c r="AU90">
        <v>0</v>
      </c>
      <c r="AV90">
        <v>0</v>
      </c>
      <c r="AW90">
        <v>0</v>
      </c>
      <c r="AX90" t="b">
        <v>0</v>
      </c>
      <c r="AY90" t="b">
        <v>0</v>
      </c>
      <c r="AZ90" t="b">
        <v>0</v>
      </c>
      <c r="BA90" t="b">
        <v>0</v>
      </c>
      <c r="BB90" t="s">
        <v>270</v>
      </c>
      <c r="BC90" t="s">
        <v>270</v>
      </c>
      <c r="BD90" t="s">
        <v>270</v>
      </c>
      <c r="BE90" t="s">
        <v>1809</v>
      </c>
      <c r="BF90" t="s">
        <v>1810</v>
      </c>
      <c r="BG90" t="s">
        <v>1777</v>
      </c>
      <c r="BH90" t="s">
        <v>1778</v>
      </c>
      <c r="BI90" t="s">
        <v>1779</v>
      </c>
      <c r="BJ90" t="b">
        <v>1</v>
      </c>
      <c r="BK90" t="b">
        <v>1</v>
      </c>
      <c r="BL90" t="b">
        <v>1</v>
      </c>
      <c r="BM90" t="b">
        <v>0</v>
      </c>
      <c r="BN90" t="b">
        <v>0</v>
      </c>
      <c r="BO90" t="b">
        <v>0</v>
      </c>
      <c r="BP90">
        <v>1</v>
      </c>
      <c r="BQ90">
        <v>10</v>
      </c>
      <c r="BR90">
        <v>10</v>
      </c>
      <c r="BS90">
        <v>10</v>
      </c>
      <c r="BT90" t="b">
        <v>1</v>
      </c>
      <c r="BU90">
        <v>0</v>
      </c>
      <c r="BV90">
        <v>13</v>
      </c>
      <c r="BW90">
        <v>5525</v>
      </c>
      <c r="BX90">
        <v>0</v>
      </c>
      <c r="BY90" t="s">
        <v>270</v>
      </c>
      <c r="BZ90" t="s">
        <v>270</v>
      </c>
      <c r="CA90" t="s">
        <v>270</v>
      </c>
      <c r="CB90" t="s">
        <v>273</v>
      </c>
      <c r="CC90" t="s">
        <v>1780</v>
      </c>
      <c r="CD90" t="s">
        <v>1781</v>
      </c>
      <c r="CE90" t="s">
        <v>1782</v>
      </c>
      <c r="CF90" t="s">
        <v>1783</v>
      </c>
      <c r="CG90" t="str">
        <f t="shared" si="5"/>
        <v/>
      </c>
      <c r="CH90" t="str">
        <f t="shared" si="6"/>
        <v/>
      </c>
      <c r="CI90" t="str">
        <f t="shared" si="7"/>
        <v/>
      </c>
      <c r="CJ90" t="str">
        <f t="shared" si="8"/>
        <v/>
      </c>
      <c r="CK90" t="str">
        <f t="shared" si="9"/>
        <v/>
      </c>
    </row>
    <row r="91" spans="1:89">
      <c r="A91">
        <v>21424</v>
      </c>
      <c r="B91" t="s">
        <v>1770</v>
      </c>
      <c r="C91">
        <v>397.08648681640602</v>
      </c>
      <c r="D91" t="s">
        <v>1802</v>
      </c>
      <c r="E91">
        <v>1972</v>
      </c>
      <c r="F91" t="s">
        <v>1880</v>
      </c>
      <c r="G91" t="s">
        <v>170</v>
      </c>
      <c r="H91">
        <v>97504</v>
      </c>
      <c r="I91" t="s">
        <v>1875</v>
      </c>
      <c r="J91" t="s">
        <v>1861</v>
      </c>
      <c r="K91" t="s">
        <v>1774</v>
      </c>
      <c r="L91">
        <v>19</v>
      </c>
      <c r="M91">
        <v>2</v>
      </c>
      <c r="N91">
        <v>0</v>
      </c>
      <c r="O91">
        <v>3</v>
      </c>
      <c r="P91">
        <v>0</v>
      </c>
      <c r="Q91">
        <v>14360</v>
      </c>
      <c r="R91">
        <v>14360</v>
      </c>
      <c r="S91">
        <v>162</v>
      </c>
      <c r="T91">
        <v>0</v>
      </c>
      <c r="U91">
        <v>0</v>
      </c>
      <c r="V91">
        <v>0</v>
      </c>
      <c r="W91">
        <v>18</v>
      </c>
      <c r="X91">
        <v>1</v>
      </c>
      <c r="Y91">
        <v>5</v>
      </c>
      <c r="Z91" t="b">
        <v>0</v>
      </c>
      <c r="AA91" t="b">
        <v>1</v>
      </c>
      <c r="AB91">
        <v>8</v>
      </c>
      <c r="AC91">
        <v>6422.76708984375</v>
      </c>
      <c r="AD91">
        <v>56584.93359375</v>
      </c>
      <c r="AE91">
        <v>63007.69921875</v>
      </c>
      <c r="AJ91" t="s">
        <v>270</v>
      </c>
      <c r="AK91">
        <v>0</v>
      </c>
      <c r="AL91">
        <v>18</v>
      </c>
      <c r="AM91">
        <v>0</v>
      </c>
      <c r="AN91">
        <v>53</v>
      </c>
      <c r="AO91">
        <v>0</v>
      </c>
      <c r="AP91">
        <v>23</v>
      </c>
      <c r="AQ91">
        <v>0</v>
      </c>
      <c r="AR91">
        <v>0</v>
      </c>
      <c r="AS91">
        <v>6</v>
      </c>
      <c r="AT91" t="b">
        <v>1</v>
      </c>
      <c r="AU91">
        <v>3</v>
      </c>
      <c r="AV91">
        <v>3</v>
      </c>
      <c r="AW91">
        <v>0</v>
      </c>
      <c r="AX91" t="b">
        <v>0</v>
      </c>
      <c r="AY91" t="b">
        <v>0</v>
      </c>
      <c r="AZ91" t="b">
        <v>0</v>
      </c>
      <c r="BA91" t="b">
        <v>0</v>
      </c>
      <c r="BB91" t="s">
        <v>270</v>
      </c>
      <c r="BC91" t="s">
        <v>270</v>
      </c>
      <c r="BD91" t="s">
        <v>270</v>
      </c>
      <c r="BE91" t="s">
        <v>1809</v>
      </c>
      <c r="BF91" t="s">
        <v>1810</v>
      </c>
      <c r="BG91" t="s">
        <v>1777</v>
      </c>
      <c r="BH91" t="s">
        <v>1804</v>
      </c>
      <c r="BI91" t="s">
        <v>1812</v>
      </c>
      <c r="BJ91" t="b">
        <v>1</v>
      </c>
      <c r="BK91" t="b">
        <v>1</v>
      </c>
      <c r="BL91" t="b">
        <v>1</v>
      </c>
      <c r="BM91" t="b">
        <v>0</v>
      </c>
      <c r="BN91" t="b">
        <v>0</v>
      </c>
      <c r="BO91" t="b">
        <v>0</v>
      </c>
      <c r="BP91">
        <v>1</v>
      </c>
      <c r="BQ91">
        <v>20</v>
      </c>
      <c r="BR91">
        <v>1</v>
      </c>
      <c r="BS91">
        <v>20</v>
      </c>
      <c r="BT91" t="b">
        <v>1</v>
      </c>
      <c r="BU91">
        <v>0</v>
      </c>
      <c r="BV91">
        <v>21</v>
      </c>
      <c r="BW91">
        <v>203</v>
      </c>
      <c r="BX91">
        <v>1</v>
      </c>
      <c r="BY91" t="s">
        <v>270</v>
      </c>
      <c r="BZ91" t="s">
        <v>270</v>
      </c>
      <c r="CA91" t="s">
        <v>273</v>
      </c>
      <c r="CB91" t="s">
        <v>270</v>
      </c>
      <c r="CC91" t="s">
        <v>1787</v>
      </c>
      <c r="CD91" t="s">
        <v>1781</v>
      </c>
      <c r="CE91" t="s">
        <v>1782</v>
      </c>
      <c r="CF91" t="s">
        <v>1783</v>
      </c>
      <c r="CG91" t="str">
        <f t="shared" si="5"/>
        <v/>
      </c>
      <c r="CH91" t="str">
        <f t="shared" si="6"/>
        <v/>
      </c>
      <c r="CI91" t="str">
        <f t="shared" si="7"/>
        <v/>
      </c>
      <c r="CJ91" t="str">
        <f t="shared" si="8"/>
        <v/>
      </c>
      <c r="CK91" t="str">
        <f t="shared" si="9"/>
        <v/>
      </c>
    </row>
    <row r="92" spans="1:89">
      <c r="A92">
        <v>21488</v>
      </c>
      <c r="B92" t="s">
        <v>1770</v>
      </c>
      <c r="C92">
        <v>943.08038330078102</v>
      </c>
      <c r="D92" t="s">
        <v>1771</v>
      </c>
      <c r="E92">
        <v>1989</v>
      </c>
      <c r="F92" t="s">
        <v>1863</v>
      </c>
      <c r="G92" t="s">
        <v>170</v>
      </c>
      <c r="H92">
        <v>97306</v>
      </c>
      <c r="I92" t="s">
        <v>1854</v>
      </c>
      <c r="K92" t="s">
        <v>1774</v>
      </c>
      <c r="L92">
        <v>8</v>
      </c>
      <c r="M92">
        <v>2</v>
      </c>
      <c r="N92">
        <v>0</v>
      </c>
      <c r="O92">
        <v>2</v>
      </c>
      <c r="P92">
        <v>0</v>
      </c>
      <c r="Q92">
        <v>5848</v>
      </c>
      <c r="R92">
        <v>5848</v>
      </c>
      <c r="S92">
        <v>0</v>
      </c>
      <c r="T92">
        <v>0</v>
      </c>
      <c r="U92">
        <v>0</v>
      </c>
      <c r="V92">
        <v>4</v>
      </c>
      <c r="W92">
        <v>4</v>
      </c>
      <c r="X92">
        <v>0</v>
      </c>
      <c r="Y92">
        <v>0</v>
      </c>
      <c r="Z92" t="b">
        <v>0</v>
      </c>
      <c r="AA92" t="b">
        <v>0</v>
      </c>
      <c r="AB92">
        <v>7.6599998474121103</v>
      </c>
      <c r="AC92">
        <v>34216.45703125</v>
      </c>
      <c r="AD92">
        <v>66660.5078125</v>
      </c>
      <c r="AE92">
        <v>100876.96875</v>
      </c>
      <c r="AI92">
        <v>344192.21875</v>
      </c>
      <c r="AJ92" t="s">
        <v>270</v>
      </c>
      <c r="AK92">
        <v>0</v>
      </c>
      <c r="AL92">
        <v>0</v>
      </c>
      <c r="AM92">
        <v>9</v>
      </c>
      <c r="AN92">
        <v>0</v>
      </c>
      <c r="AO92">
        <v>36</v>
      </c>
      <c r="AP92">
        <v>0</v>
      </c>
      <c r="AQ92">
        <v>46</v>
      </c>
      <c r="AR92">
        <v>9</v>
      </c>
      <c r="AS92">
        <v>0</v>
      </c>
      <c r="AT92" t="b">
        <v>1</v>
      </c>
      <c r="AU92">
        <v>0</v>
      </c>
      <c r="AV92">
        <v>0</v>
      </c>
      <c r="AW92">
        <v>0</v>
      </c>
      <c r="AX92" t="b">
        <v>0</v>
      </c>
      <c r="AY92" t="b">
        <v>0</v>
      </c>
      <c r="AZ92" t="b">
        <v>0</v>
      </c>
      <c r="BA92" t="b">
        <v>0</v>
      </c>
      <c r="BB92" t="s">
        <v>270</v>
      </c>
      <c r="BC92" t="s">
        <v>270</v>
      </c>
      <c r="BD92" t="s">
        <v>270</v>
      </c>
      <c r="BE92" t="s">
        <v>1775</v>
      </c>
      <c r="BF92" t="s">
        <v>1776</v>
      </c>
      <c r="BG92" t="s">
        <v>1777</v>
      </c>
      <c r="BH92" t="s">
        <v>1778</v>
      </c>
      <c r="BI92" t="s">
        <v>1779</v>
      </c>
      <c r="BJ92" t="b">
        <v>0</v>
      </c>
      <c r="BK92" t="b">
        <v>1</v>
      </c>
      <c r="BL92" t="b">
        <v>0</v>
      </c>
      <c r="BM92" t="b">
        <v>0</v>
      </c>
      <c r="BN92" t="b">
        <v>0</v>
      </c>
      <c r="BO92" t="b">
        <v>0</v>
      </c>
      <c r="BP92">
        <v>4</v>
      </c>
      <c r="BQ92">
        <v>8</v>
      </c>
      <c r="BR92">
        <v>0</v>
      </c>
      <c r="BS92">
        <v>0</v>
      </c>
      <c r="BT92" t="b">
        <v>1</v>
      </c>
      <c r="BU92">
        <v>0</v>
      </c>
      <c r="BV92">
        <v>10</v>
      </c>
      <c r="BW92">
        <v>4250</v>
      </c>
      <c r="BX92">
        <v>0</v>
      </c>
      <c r="BY92" t="s">
        <v>270</v>
      </c>
      <c r="BZ92" t="s">
        <v>270</v>
      </c>
      <c r="CA92" t="s">
        <v>270</v>
      </c>
      <c r="CB92" t="s">
        <v>273</v>
      </c>
      <c r="CC92" t="s">
        <v>1787</v>
      </c>
      <c r="CD92" t="s">
        <v>1781</v>
      </c>
      <c r="CE92" t="s">
        <v>1795</v>
      </c>
      <c r="CF92" t="s">
        <v>1783</v>
      </c>
      <c r="CG92">
        <f t="shared" si="5"/>
        <v>943.08038330078102</v>
      </c>
      <c r="CH92">
        <f t="shared" si="6"/>
        <v>5848</v>
      </c>
      <c r="CI92">
        <f t="shared" si="7"/>
        <v>2</v>
      </c>
      <c r="CJ92">
        <f t="shared" si="8"/>
        <v>5515134.0815429678</v>
      </c>
      <c r="CK92">
        <f t="shared" si="9"/>
        <v>1886.160766601562</v>
      </c>
    </row>
    <row r="93" spans="1:89">
      <c r="A93">
        <v>21505</v>
      </c>
      <c r="B93" t="s">
        <v>1770</v>
      </c>
      <c r="C93">
        <v>628.72027587890602</v>
      </c>
      <c r="D93" t="s">
        <v>1792</v>
      </c>
      <c r="E93">
        <v>1964</v>
      </c>
      <c r="F93" t="s">
        <v>1853</v>
      </c>
      <c r="G93" t="s">
        <v>170</v>
      </c>
      <c r="H93">
        <v>97219</v>
      </c>
      <c r="I93" t="s">
        <v>1854</v>
      </c>
      <c r="K93" t="s">
        <v>1774</v>
      </c>
      <c r="L93">
        <v>12</v>
      </c>
      <c r="M93">
        <v>3</v>
      </c>
      <c r="N93">
        <v>0</v>
      </c>
      <c r="O93">
        <v>3</v>
      </c>
      <c r="P93">
        <v>0</v>
      </c>
      <c r="Q93">
        <v>15540</v>
      </c>
      <c r="R93">
        <v>15540</v>
      </c>
      <c r="S93">
        <v>2250</v>
      </c>
      <c r="T93">
        <v>0</v>
      </c>
      <c r="U93">
        <v>0</v>
      </c>
      <c r="V93">
        <v>3</v>
      </c>
      <c r="W93">
        <v>9</v>
      </c>
      <c r="X93">
        <v>0</v>
      </c>
      <c r="Y93">
        <v>0</v>
      </c>
      <c r="Z93" t="b">
        <v>0</v>
      </c>
      <c r="AA93" t="b">
        <v>1</v>
      </c>
      <c r="AB93">
        <v>8</v>
      </c>
      <c r="AC93">
        <v>12036.7978515625</v>
      </c>
      <c r="AD93">
        <v>90616.5625</v>
      </c>
      <c r="AE93">
        <v>102653.359375</v>
      </c>
      <c r="AI93">
        <v>350253.25</v>
      </c>
      <c r="AJ93" t="s">
        <v>270</v>
      </c>
      <c r="AK93">
        <v>0</v>
      </c>
      <c r="AL93">
        <v>38</v>
      </c>
      <c r="AM93">
        <v>0</v>
      </c>
      <c r="AN93">
        <v>14</v>
      </c>
      <c r="AO93">
        <v>0</v>
      </c>
      <c r="AP93">
        <v>14</v>
      </c>
      <c r="AQ93">
        <v>0</v>
      </c>
      <c r="AR93">
        <v>0</v>
      </c>
      <c r="AS93">
        <v>34</v>
      </c>
      <c r="AT93" t="b">
        <v>1</v>
      </c>
      <c r="AU93">
        <v>1</v>
      </c>
      <c r="AV93">
        <v>1</v>
      </c>
      <c r="AW93">
        <v>0</v>
      </c>
      <c r="AX93" t="b">
        <v>0</v>
      </c>
      <c r="AY93" t="b">
        <v>0</v>
      </c>
      <c r="AZ93" t="b">
        <v>0</v>
      </c>
      <c r="BA93" t="b">
        <v>0</v>
      </c>
      <c r="BB93" t="s">
        <v>270</v>
      </c>
      <c r="BC93" t="s">
        <v>270</v>
      </c>
      <c r="BD93" t="s">
        <v>270</v>
      </c>
      <c r="BE93" t="s">
        <v>1775</v>
      </c>
      <c r="BF93" t="s">
        <v>1776</v>
      </c>
      <c r="BG93" t="s">
        <v>1777</v>
      </c>
      <c r="BH93" t="s">
        <v>1778</v>
      </c>
      <c r="BI93" t="s">
        <v>1790</v>
      </c>
      <c r="BJ93" t="b">
        <v>0</v>
      </c>
      <c r="BK93" t="b">
        <v>1</v>
      </c>
      <c r="BL93" t="b">
        <v>0</v>
      </c>
      <c r="BM93" t="b">
        <v>0</v>
      </c>
      <c r="BN93" t="b">
        <v>0</v>
      </c>
      <c r="BO93" t="b">
        <v>0</v>
      </c>
      <c r="BP93">
        <v>1</v>
      </c>
      <c r="BQ93">
        <v>13</v>
      </c>
      <c r="BR93">
        <v>0</v>
      </c>
      <c r="BS93">
        <v>0</v>
      </c>
      <c r="BT93" t="b">
        <v>1</v>
      </c>
      <c r="BV93">
        <v>18</v>
      </c>
      <c r="BW93">
        <v>7650</v>
      </c>
      <c r="BX93">
        <v>0</v>
      </c>
      <c r="BY93" t="s">
        <v>270</v>
      </c>
      <c r="BZ93" t="s">
        <v>270</v>
      </c>
      <c r="CA93" t="s">
        <v>270</v>
      </c>
      <c r="CB93" t="s">
        <v>273</v>
      </c>
      <c r="CC93" t="s">
        <v>1787</v>
      </c>
      <c r="CD93" t="s">
        <v>1781</v>
      </c>
      <c r="CE93" t="s">
        <v>1825</v>
      </c>
      <c r="CF93" t="s">
        <v>1783</v>
      </c>
      <c r="CG93">
        <f t="shared" si="5"/>
        <v>628.72027587890602</v>
      </c>
      <c r="CH93">
        <f t="shared" si="6"/>
        <v>15540</v>
      </c>
      <c r="CI93">
        <f t="shared" si="7"/>
        <v>3</v>
      </c>
      <c r="CJ93">
        <f t="shared" si="8"/>
        <v>9770313.0871581994</v>
      </c>
      <c r="CK93">
        <f t="shared" si="9"/>
        <v>1886.1608276367181</v>
      </c>
    </row>
    <row r="94" spans="1:89">
      <c r="A94">
        <v>21564</v>
      </c>
      <c r="B94" t="s">
        <v>1770</v>
      </c>
      <c r="C94">
        <v>328.02795410156301</v>
      </c>
      <c r="D94" t="s">
        <v>1771</v>
      </c>
      <c r="E94">
        <v>1983</v>
      </c>
      <c r="F94" t="s">
        <v>1881</v>
      </c>
      <c r="G94" t="s">
        <v>169</v>
      </c>
      <c r="H94">
        <v>98405</v>
      </c>
      <c r="I94" t="s">
        <v>1773</v>
      </c>
      <c r="K94" t="s">
        <v>1774</v>
      </c>
      <c r="L94">
        <v>23</v>
      </c>
      <c r="M94">
        <v>3</v>
      </c>
      <c r="N94">
        <v>0</v>
      </c>
      <c r="O94">
        <v>3</v>
      </c>
      <c r="P94">
        <v>0</v>
      </c>
      <c r="Q94">
        <v>17600</v>
      </c>
      <c r="R94">
        <v>17600</v>
      </c>
      <c r="S94">
        <v>4953</v>
      </c>
      <c r="T94">
        <v>0</v>
      </c>
      <c r="U94">
        <v>0</v>
      </c>
      <c r="V94">
        <v>0</v>
      </c>
      <c r="W94">
        <v>23</v>
      </c>
      <c r="X94">
        <v>0</v>
      </c>
      <c r="Y94">
        <v>4</v>
      </c>
      <c r="Z94" t="b">
        <v>0</v>
      </c>
      <c r="AA94" t="b">
        <v>1</v>
      </c>
      <c r="AB94">
        <v>8</v>
      </c>
      <c r="AC94">
        <v>98025.9765625</v>
      </c>
      <c r="AD94">
        <v>112631.515625</v>
      </c>
      <c r="AE94">
        <v>210657.5</v>
      </c>
      <c r="AI94">
        <v>718763.375</v>
      </c>
      <c r="AJ94" t="s">
        <v>270</v>
      </c>
      <c r="AK94">
        <v>0</v>
      </c>
      <c r="AL94">
        <v>44</v>
      </c>
      <c r="AM94">
        <v>0</v>
      </c>
      <c r="AN94">
        <v>2</v>
      </c>
      <c r="AO94">
        <v>0</v>
      </c>
      <c r="AP94">
        <v>35</v>
      </c>
      <c r="AQ94">
        <v>0</v>
      </c>
      <c r="AR94">
        <v>0</v>
      </c>
      <c r="AS94">
        <v>19</v>
      </c>
      <c r="AT94" t="b">
        <v>1</v>
      </c>
      <c r="AU94">
        <v>3</v>
      </c>
      <c r="AV94">
        <v>3</v>
      </c>
      <c r="AW94">
        <v>1</v>
      </c>
      <c r="AX94" t="b">
        <v>0</v>
      </c>
      <c r="AY94" t="b">
        <v>0</v>
      </c>
      <c r="AZ94" t="b">
        <v>1</v>
      </c>
      <c r="BA94" t="b">
        <v>0</v>
      </c>
      <c r="BB94" t="s">
        <v>270</v>
      </c>
      <c r="BC94" t="s">
        <v>270</v>
      </c>
      <c r="BD94" t="s">
        <v>270</v>
      </c>
      <c r="BE94" t="s">
        <v>1775</v>
      </c>
      <c r="BF94" t="s">
        <v>1776</v>
      </c>
      <c r="BG94" t="s">
        <v>1777</v>
      </c>
      <c r="BH94" t="s">
        <v>1778</v>
      </c>
      <c r="BI94" t="s">
        <v>1812</v>
      </c>
      <c r="BJ94" t="b">
        <v>0</v>
      </c>
      <c r="BK94" t="b">
        <v>1</v>
      </c>
      <c r="BL94" t="b">
        <v>0</v>
      </c>
      <c r="BM94" t="b">
        <v>0</v>
      </c>
      <c r="BN94" t="b">
        <v>0</v>
      </c>
      <c r="BO94" t="b">
        <v>0</v>
      </c>
      <c r="BP94">
        <v>1</v>
      </c>
      <c r="BQ94">
        <v>24</v>
      </c>
      <c r="BR94">
        <v>0</v>
      </c>
      <c r="BS94">
        <v>0</v>
      </c>
      <c r="BT94" t="b">
        <v>1</v>
      </c>
      <c r="BV94">
        <v>16</v>
      </c>
      <c r="BW94">
        <v>6800</v>
      </c>
      <c r="BX94">
        <v>0</v>
      </c>
      <c r="BY94" t="s">
        <v>270</v>
      </c>
      <c r="BZ94" t="s">
        <v>270</v>
      </c>
      <c r="CA94" t="s">
        <v>270</v>
      </c>
      <c r="CB94" t="s">
        <v>273</v>
      </c>
      <c r="CC94" t="s">
        <v>1780</v>
      </c>
      <c r="CD94" t="s">
        <v>1781</v>
      </c>
      <c r="CE94" t="s">
        <v>1824</v>
      </c>
      <c r="CF94" t="s">
        <v>1783</v>
      </c>
      <c r="CG94">
        <f t="shared" si="5"/>
        <v>328.02795410156301</v>
      </c>
      <c r="CH94">
        <f t="shared" si="6"/>
        <v>17600</v>
      </c>
      <c r="CI94">
        <f t="shared" si="7"/>
        <v>3</v>
      </c>
      <c r="CJ94">
        <f t="shared" si="8"/>
        <v>5773291.9921875093</v>
      </c>
      <c r="CK94">
        <f t="shared" si="9"/>
        <v>984.08386230468909</v>
      </c>
    </row>
    <row r="95" spans="1:89">
      <c r="A95">
        <v>21576</v>
      </c>
      <c r="B95" t="s">
        <v>1770</v>
      </c>
      <c r="C95">
        <v>314.36013793945301</v>
      </c>
      <c r="D95" t="s">
        <v>1802</v>
      </c>
      <c r="E95">
        <v>1973</v>
      </c>
      <c r="F95" t="s">
        <v>1882</v>
      </c>
      <c r="G95" t="s">
        <v>169</v>
      </c>
      <c r="H95">
        <v>99336</v>
      </c>
      <c r="I95" t="s">
        <v>1883</v>
      </c>
      <c r="K95" t="s">
        <v>1774</v>
      </c>
      <c r="L95">
        <v>24</v>
      </c>
      <c r="M95">
        <v>2</v>
      </c>
      <c r="N95">
        <v>0</v>
      </c>
      <c r="O95">
        <v>2</v>
      </c>
      <c r="P95">
        <v>0</v>
      </c>
      <c r="Q95">
        <v>23040</v>
      </c>
      <c r="R95">
        <v>23040</v>
      </c>
      <c r="S95">
        <v>300</v>
      </c>
      <c r="T95">
        <v>0</v>
      </c>
      <c r="U95">
        <v>0</v>
      </c>
      <c r="V95">
        <v>24</v>
      </c>
      <c r="W95">
        <v>0</v>
      </c>
      <c r="X95">
        <v>0</v>
      </c>
      <c r="Y95">
        <v>3</v>
      </c>
      <c r="Z95" t="b">
        <v>0</v>
      </c>
      <c r="AA95" t="b">
        <v>1</v>
      </c>
      <c r="AB95">
        <v>7</v>
      </c>
      <c r="AC95">
        <v>20729.169921875</v>
      </c>
      <c r="AD95">
        <v>207866.015625</v>
      </c>
      <c r="AE95">
        <v>228595.1875</v>
      </c>
      <c r="AI95">
        <v>779966.75</v>
      </c>
      <c r="AJ95" t="s">
        <v>270</v>
      </c>
      <c r="AK95">
        <v>0</v>
      </c>
      <c r="AL95">
        <v>36</v>
      </c>
      <c r="AM95">
        <v>0</v>
      </c>
      <c r="AN95">
        <v>7</v>
      </c>
      <c r="AO95">
        <v>0</v>
      </c>
      <c r="AP95">
        <v>7</v>
      </c>
      <c r="AQ95">
        <v>0</v>
      </c>
      <c r="AR95">
        <v>0</v>
      </c>
      <c r="AS95">
        <v>36</v>
      </c>
      <c r="AT95" t="b">
        <v>0</v>
      </c>
      <c r="AU95">
        <v>5</v>
      </c>
      <c r="AV95">
        <v>5</v>
      </c>
      <c r="AW95">
        <v>0</v>
      </c>
      <c r="AX95" t="b">
        <v>0</v>
      </c>
      <c r="AY95" t="b">
        <v>0</v>
      </c>
      <c r="AZ95" t="b">
        <v>0</v>
      </c>
      <c r="BA95" t="b">
        <v>0</v>
      </c>
      <c r="BB95" t="s">
        <v>270</v>
      </c>
      <c r="BC95" t="s">
        <v>270</v>
      </c>
      <c r="BD95" t="s">
        <v>270</v>
      </c>
      <c r="BE95" t="s">
        <v>1775</v>
      </c>
      <c r="BF95" t="s">
        <v>1776</v>
      </c>
      <c r="BG95" t="s">
        <v>1777</v>
      </c>
      <c r="BH95" t="s">
        <v>1804</v>
      </c>
      <c r="BI95" t="s">
        <v>1790</v>
      </c>
      <c r="BJ95" t="b">
        <v>0</v>
      </c>
      <c r="BK95" t="b">
        <v>1</v>
      </c>
      <c r="BL95" t="b">
        <v>0</v>
      </c>
      <c r="BM95" t="b">
        <v>0</v>
      </c>
      <c r="BN95" t="b">
        <v>0</v>
      </c>
      <c r="BO95" t="b">
        <v>0</v>
      </c>
      <c r="BP95">
        <v>4</v>
      </c>
      <c r="BQ95">
        <v>26</v>
      </c>
      <c r="BR95">
        <v>0</v>
      </c>
      <c r="BS95">
        <v>0</v>
      </c>
      <c r="BT95" t="b">
        <v>1</v>
      </c>
      <c r="BU95">
        <v>0</v>
      </c>
      <c r="BV95">
        <v>24</v>
      </c>
      <c r="BW95">
        <v>10200</v>
      </c>
      <c r="BX95">
        <v>0</v>
      </c>
      <c r="BY95" t="s">
        <v>270</v>
      </c>
      <c r="BZ95" t="s">
        <v>270</v>
      </c>
      <c r="CA95" t="s">
        <v>270</v>
      </c>
      <c r="CB95" t="s">
        <v>273</v>
      </c>
      <c r="CC95" t="s">
        <v>1787</v>
      </c>
      <c r="CD95" t="s">
        <v>1781</v>
      </c>
      <c r="CE95" t="s">
        <v>1795</v>
      </c>
      <c r="CF95" t="s">
        <v>1783</v>
      </c>
      <c r="CG95">
        <f t="shared" si="5"/>
        <v>314.36013793945301</v>
      </c>
      <c r="CH95">
        <f t="shared" si="6"/>
        <v>23040</v>
      </c>
      <c r="CI95">
        <f t="shared" si="7"/>
        <v>2</v>
      </c>
      <c r="CJ95">
        <f t="shared" si="8"/>
        <v>7242857.5781249972</v>
      </c>
      <c r="CK95">
        <f t="shared" si="9"/>
        <v>628.72027587890602</v>
      </c>
    </row>
    <row r="96" spans="1:89">
      <c r="A96">
        <v>21627</v>
      </c>
      <c r="B96" t="s">
        <v>1770</v>
      </c>
      <c r="C96">
        <v>314.36013793945301</v>
      </c>
      <c r="D96" t="s">
        <v>1806</v>
      </c>
      <c r="E96">
        <v>2004</v>
      </c>
      <c r="F96" t="s">
        <v>1884</v>
      </c>
      <c r="G96" t="s">
        <v>171</v>
      </c>
      <c r="H96">
        <v>83704</v>
      </c>
      <c r="I96" t="s">
        <v>1885</v>
      </c>
      <c r="J96" t="s">
        <v>1886</v>
      </c>
      <c r="K96" t="s">
        <v>1774</v>
      </c>
      <c r="L96">
        <v>24</v>
      </c>
      <c r="M96">
        <v>3</v>
      </c>
      <c r="N96">
        <v>0</v>
      </c>
      <c r="O96">
        <v>3</v>
      </c>
      <c r="P96">
        <v>0</v>
      </c>
      <c r="Q96">
        <v>22200</v>
      </c>
      <c r="R96">
        <v>22200</v>
      </c>
      <c r="S96">
        <v>0</v>
      </c>
      <c r="T96">
        <v>0</v>
      </c>
      <c r="U96">
        <v>12</v>
      </c>
      <c r="V96">
        <v>12</v>
      </c>
      <c r="W96">
        <v>0</v>
      </c>
      <c r="X96">
        <v>0</v>
      </c>
      <c r="Y96">
        <v>8</v>
      </c>
      <c r="Z96" t="b">
        <v>0</v>
      </c>
      <c r="AA96" t="b">
        <v>0</v>
      </c>
      <c r="AB96">
        <v>8</v>
      </c>
      <c r="AD96">
        <v>50591.65625</v>
      </c>
      <c r="AE96">
        <v>50591.65625</v>
      </c>
      <c r="AJ96" t="s">
        <v>270</v>
      </c>
      <c r="AK96">
        <v>0</v>
      </c>
      <c r="AL96">
        <v>44</v>
      </c>
      <c r="AM96">
        <v>0</v>
      </c>
      <c r="AN96">
        <v>6</v>
      </c>
      <c r="AO96">
        <v>0</v>
      </c>
      <c r="AP96">
        <v>6</v>
      </c>
      <c r="AQ96">
        <v>0</v>
      </c>
      <c r="AR96">
        <v>0</v>
      </c>
      <c r="AS96">
        <v>44</v>
      </c>
      <c r="AT96" t="b">
        <v>1</v>
      </c>
      <c r="AU96">
        <v>0</v>
      </c>
      <c r="AV96">
        <v>0</v>
      </c>
      <c r="AW96">
        <v>0</v>
      </c>
      <c r="AX96" t="b">
        <v>0</v>
      </c>
      <c r="AY96" t="b">
        <v>0</v>
      </c>
      <c r="AZ96" t="b">
        <v>0</v>
      </c>
      <c r="BA96" t="b">
        <v>0</v>
      </c>
      <c r="BB96" t="s">
        <v>270</v>
      </c>
      <c r="BC96" t="s">
        <v>270</v>
      </c>
      <c r="BD96" t="s">
        <v>270</v>
      </c>
      <c r="BE96" t="s">
        <v>1809</v>
      </c>
      <c r="BF96" t="s">
        <v>1810</v>
      </c>
      <c r="BG96" t="s">
        <v>1777</v>
      </c>
      <c r="BH96" t="s">
        <v>1811</v>
      </c>
      <c r="BI96" t="s">
        <v>1779</v>
      </c>
      <c r="BJ96" t="b">
        <v>1</v>
      </c>
      <c r="BK96" t="b">
        <v>1</v>
      </c>
      <c r="BL96" t="b">
        <v>1</v>
      </c>
      <c r="BM96" t="b">
        <v>0</v>
      </c>
      <c r="BN96" t="b">
        <v>0</v>
      </c>
      <c r="BO96" t="b">
        <v>0</v>
      </c>
      <c r="BP96">
        <v>2</v>
      </c>
      <c r="BQ96">
        <v>27</v>
      </c>
      <c r="BR96">
        <v>2</v>
      </c>
      <c r="BS96">
        <v>24</v>
      </c>
      <c r="BT96" t="b">
        <v>1</v>
      </c>
      <c r="BU96">
        <v>0</v>
      </c>
      <c r="BV96">
        <v>24</v>
      </c>
      <c r="BW96">
        <v>10200</v>
      </c>
      <c r="BX96">
        <v>0</v>
      </c>
      <c r="BY96" t="s">
        <v>270</v>
      </c>
      <c r="BZ96" t="s">
        <v>270</v>
      </c>
      <c r="CA96" t="s">
        <v>270</v>
      </c>
      <c r="CB96" t="s">
        <v>273</v>
      </c>
      <c r="CC96" t="s">
        <v>1780</v>
      </c>
      <c r="CD96" t="s">
        <v>1781</v>
      </c>
      <c r="CE96" t="s">
        <v>1782</v>
      </c>
      <c r="CF96" t="s">
        <v>1783</v>
      </c>
      <c r="CG96" t="str">
        <f t="shared" si="5"/>
        <v/>
      </c>
      <c r="CH96" t="str">
        <f t="shared" si="6"/>
        <v/>
      </c>
      <c r="CI96" t="str">
        <f t="shared" si="7"/>
        <v/>
      </c>
      <c r="CJ96" t="str">
        <f t="shared" si="8"/>
        <v/>
      </c>
      <c r="CK96" t="str">
        <f t="shared" si="9"/>
        <v/>
      </c>
    </row>
    <row r="97" spans="1:89">
      <c r="A97">
        <v>21642</v>
      </c>
      <c r="B97" t="s">
        <v>1770</v>
      </c>
      <c r="C97">
        <v>943.08038330078102</v>
      </c>
      <c r="D97" t="s">
        <v>1792</v>
      </c>
      <c r="E97">
        <v>1963</v>
      </c>
      <c r="F97" t="s">
        <v>1881</v>
      </c>
      <c r="G97" t="s">
        <v>169</v>
      </c>
      <c r="H97">
        <v>98403</v>
      </c>
      <c r="I97" t="s">
        <v>1773</v>
      </c>
      <c r="K97" t="s">
        <v>1774</v>
      </c>
      <c r="L97">
        <v>8</v>
      </c>
      <c r="M97">
        <v>1</v>
      </c>
      <c r="N97">
        <v>0</v>
      </c>
      <c r="O97">
        <v>1</v>
      </c>
      <c r="P97">
        <v>0</v>
      </c>
      <c r="Q97">
        <v>4504</v>
      </c>
      <c r="R97">
        <v>4504</v>
      </c>
      <c r="S97">
        <v>158</v>
      </c>
      <c r="T97">
        <v>0</v>
      </c>
      <c r="U97">
        <v>0</v>
      </c>
      <c r="V97">
        <v>0</v>
      </c>
      <c r="W97">
        <v>8</v>
      </c>
      <c r="X97">
        <v>0</v>
      </c>
      <c r="Y97">
        <v>0</v>
      </c>
      <c r="Z97" t="b">
        <v>0</v>
      </c>
      <c r="AA97" t="b">
        <v>1</v>
      </c>
      <c r="AB97">
        <v>8</v>
      </c>
      <c r="AD97">
        <v>26107.80859375</v>
      </c>
      <c r="AE97">
        <v>26107.80859375</v>
      </c>
      <c r="AI97">
        <v>89079.84375</v>
      </c>
      <c r="AJ97" t="s">
        <v>270</v>
      </c>
      <c r="AK97">
        <v>0</v>
      </c>
      <c r="AL97">
        <v>30</v>
      </c>
      <c r="AM97">
        <v>0</v>
      </c>
      <c r="AN97">
        <v>22</v>
      </c>
      <c r="AO97">
        <v>0</v>
      </c>
      <c r="AP97">
        <v>22</v>
      </c>
      <c r="AQ97">
        <v>0</v>
      </c>
      <c r="AR97">
        <v>0</v>
      </c>
      <c r="AS97">
        <v>26</v>
      </c>
      <c r="AT97" t="b">
        <v>0</v>
      </c>
      <c r="AU97">
        <v>1</v>
      </c>
      <c r="AV97">
        <v>1</v>
      </c>
      <c r="AW97">
        <v>0</v>
      </c>
      <c r="AX97" t="b">
        <v>0</v>
      </c>
      <c r="AY97" t="b">
        <v>0</v>
      </c>
      <c r="AZ97" t="b">
        <v>0</v>
      </c>
      <c r="BA97" t="b">
        <v>0</v>
      </c>
      <c r="BB97" t="s">
        <v>270</v>
      </c>
      <c r="BC97" t="s">
        <v>270</v>
      </c>
      <c r="BD97" t="s">
        <v>270</v>
      </c>
      <c r="BE97" t="s">
        <v>1775</v>
      </c>
      <c r="BF97" t="s">
        <v>1776</v>
      </c>
      <c r="BG97" t="s">
        <v>1777</v>
      </c>
      <c r="BH97" t="s">
        <v>1778</v>
      </c>
      <c r="BI97" t="s">
        <v>1790</v>
      </c>
      <c r="BJ97" t="b">
        <v>0</v>
      </c>
      <c r="BK97" t="b">
        <v>1</v>
      </c>
      <c r="BL97" t="b">
        <v>0</v>
      </c>
      <c r="BM97" t="b">
        <v>0</v>
      </c>
      <c r="BN97" t="b">
        <v>0</v>
      </c>
      <c r="BO97" t="b">
        <v>0</v>
      </c>
      <c r="BP97">
        <v>1</v>
      </c>
      <c r="BQ97">
        <v>9</v>
      </c>
      <c r="BR97">
        <v>0</v>
      </c>
      <c r="BS97">
        <v>0</v>
      </c>
      <c r="BT97" t="b">
        <v>1</v>
      </c>
      <c r="BU97">
        <v>0</v>
      </c>
      <c r="BV97">
        <v>6</v>
      </c>
      <c r="BW97">
        <v>1387</v>
      </c>
      <c r="BX97">
        <v>0</v>
      </c>
      <c r="BY97" t="s">
        <v>270</v>
      </c>
      <c r="BZ97" t="s">
        <v>270</v>
      </c>
      <c r="CA97" t="s">
        <v>273</v>
      </c>
      <c r="CB97" t="s">
        <v>270</v>
      </c>
      <c r="CC97" t="s">
        <v>1780</v>
      </c>
      <c r="CD97" t="s">
        <v>1781</v>
      </c>
      <c r="CE97" t="s">
        <v>1782</v>
      </c>
      <c r="CF97" t="s">
        <v>1783</v>
      </c>
      <c r="CG97">
        <f t="shared" si="5"/>
        <v>943.08038330078102</v>
      </c>
      <c r="CH97">
        <f t="shared" si="6"/>
        <v>4504</v>
      </c>
      <c r="CI97">
        <f t="shared" si="7"/>
        <v>1</v>
      </c>
      <c r="CJ97">
        <f t="shared" si="8"/>
        <v>4247634.0463867178</v>
      </c>
      <c r="CK97">
        <f t="shared" si="9"/>
        <v>943.08038330078102</v>
      </c>
    </row>
    <row r="98" spans="1:89">
      <c r="A98">
        <v>21691</v>
      </c>
      <c r="B98" t="s">
        <v>1770</v>
      </c>
      <c r="C98">
        <v>943.08038330078102</v>
      </c>
      <c r="D98" t="s">
        <v>1802</v>
      </c>
      <c r="E98">
        <v>1980</v>
      </c>
      <c r="F98" t="s">
        <v>1887</v>
      </c>
      <c r="G98" t="s">
        <v>172</v>
      </c>
      <c r="H98">
        <v>59645</v>
      </c>
      <c r="I98" t="s">
        <v>1879</v>
      </c>
      <c r="K98" t="s">
        <v>1774</v>
      </c>
      <c r="L98">
        <v>8</v>
      </c>
      <c r="M98">
        <v>1</v>
      </c>
      <c r="N98">
        <v>0</v>
      </c>
      <c r="O98">
        <v>1</v>
      </c>
      <c r="P98">
        <v>0</v>
      </c>
      <c r="Q98">
        <v>6726</v>
      </c>
      <c r="R98">
        <v>6726</v>
      </c>
      <c r="S98">
        <v>1265</v>
      </c>
      <c r="T98">
        <v>0</v>
      </c>
      <c r="U98">
        <v>0</v>
      </c>
      <c r="V98">
        <v>7</v>
      </c>
      <c r="W98">
        <v>1</v>
      </c>
      <c r="X98">
        <v>0</v>
      </c>
      <c r="Y98">
        <v>0</v>
      </c>
      <c r="Z98" t="b">
        <v>0</v>
      </c>
      <c r="AA98" t="b">
        <v>1</v>
      </c>
      <c r="AB98">
        <v>8</v>
      </c>
      <c r="AJ98" t="s">
        <v>273</v>
      </c>
      <c r="AK98">
        <v>0</v>
      </c>
      <c r="AL98">
        <v>40</v>
      </c>
      <c r="AM98">
        <v>0</v>
      </c>
      <c r="AN98">
        <v>10</v>
      </c>
      <c r="AO98">
        <v>0</v>
      </c>
      <c r="AP98">
        <v>10</v>
      </c>
      <c r="AQ98">
        <v>0</v>
      </c>
      <c r="AR98">
        <v>0</v>
      </c>
      <c r="AS98">
        <v>40</v>
      </c>
      <c r="AT98" t="b">
        <v>0</v>
      </c>
      <c r="AU98">
        <v>2</v>
      </c>
      <c r="AV98">
        <v>2</v>
      </c>
      <c r="AW98">
        <v>0</v>
      </c>
      <c r="AX98" t="b">
        <v>0</v>
      </c>
      <c r="AY98" t="b">
        <v>0</v>
      </c>
      <c r="AZ98" t="b">
        <v>1</v>
      </c>
      <c r="BA98" t="b">
        <v>0</v>
      </c>
      <c r="BB98" t="s">
        <v>270</v>
      </c>
      <c r="BC98" t="s">
        <v>270</v>
      </c>
      <c r="BD98" t="s">
        <v>270</v>
      </c>
      <c r="BE98" t="s">
        <v>1775</v>
      </c>
      <c r="BF98" t="s">
        <v>1776</v>
      </c>
      <c r="BG98" t="s">
        <v>1777</v>
      </c>
      <c r="BH98" t="s">
        <v>1804</v>
      </c>
      <c r="BI98" t="s">
        <v>1790</v>
      </c>
      <c r="BJ98" t="b">
        <v>0</v>
      </c>
      <c r="BK98" t="b">
        <v>1</v>
      </c>
      <c r="BL98" t="b">
        <v>0</v>
      </c>
      <c r="BM98" t="b">
        <v>0</v>
      </c>
      <c r="BN98" t="b">
        <v>0</v>
      </c>
      <c r="BO98" t="b">
        <v>0</v>
      </c>
      <c r="BP98">
        <v>9</v>
      </c>
      <c r="BQ98">
        <v>9</v>
      </c>
      <c r="BR98">
        <v>0</v>
      </c>
      <c r="BS98">
        <v>0</v>
      </c>
      <c r="BT98" t="b">
        <v>1</v>
      </c>
      <c r="BU98">
        <v>0</v>
      </c>
      <c r="BV98">
        <v>5</v>
      </c>
      <c r="BW98">
        <v>2125</v>
      </c>
      <c r="BX98">
        <v>0</v>
      </c>
      <c r="BY98" t="s">
        <v>270</v>
      </c>
      <c r="BZ98" t="s">
        <v>270</v>
      </c>
      <c r="CA98" t="s">
        <v>270</v>
      </c>
      <c r="CB98" t="s">
        <v>273</v>
      </c>
      <c r="CC98" t="s">
        <v>1787</v>
      </c>
      <c r="CD98" t="s">
        <v>1781</v>
      </c>
      <c r="CE98" t="s">
        <v>1795</v>
      </c>
      <c r="CF98" t="s">
        <v>1783</v>
      </c>
      <c r="CG98">
        <f t="shared" si="5"/>
        <v>943.08038330078102</v>
      </c>
      <c r="CH98">
        <f t="shared" si="6"/>
        <v>6726</v>
      </c>
      <c r="CI98">
        <f t="shared" si="7"/>
        <v>1</v>
      </c>
      <c r="CJ98">
        <f t="shared" si="8"/>
        <v>6343158.6580810528</v>
      </c>
      <c r="CK98">
        <f t="shared" si="9"/>
        <v>943.08038330078102</v>
      </c>
    </row>
    <row r="99" spans="1:89">
      <c r="A99">
        <v>21757</v>
      </c>
      <c r="B99" t="s">
        <v>1770</v>
      </c>
      <c r="C99">
        <v>1257.44055175781</v>
      </c>
      <c r="D99" t="s">
        <v>1792</v>
      </c>
      <c r="E99">
        <v>1962</v>
      </c>
      <c r="F99" t="s">
        <v>1881</v>
      </c>
      <c r="G99" t="s">
        <v>169</v>
      </c>
      <c r="H99">
        <v>98444</v>
      </c>
      <c r="I99" t="s">
        <v>1773</v>
      </c>
      <c r="K99" t="s">
        <v>1774</v>
      </c>
      <c r="L99">
        <v>6</v>
      </c>
      <c r="M99">
        <v>1</v>
      </c>
      <c r="N99">
        <v>0</v>
      </c>
      <c r="O99">
        <v>1</v>
      </c>
      <c r="P99">
        <v>0</v>
      </c>
      <c r="Q99">
        <v>4588</v>
      </c>
      <c r="R99">
        <v>4588</v>
      </c>
      <c r="S99">
        <v>0</v>
      </c>
      <c r="T99">
        <v>0</v>
      </c>
      <c r="U99">
        <v>0</v>
      </c>
      <c r="V99">
        <v>6</v>
      </c>
      <c r="W99">
        <v>0</v>
      </c>
      <c r="X99">
        <v>0</v>
      </c>
      <c r="Y99">
        <v>16</v>
      </c>
      <c r="Z99" t="b">
        <v>0</v>
      </c>
      <c r="AA99" t="b">
        <v>0</v>
      </c>
      <c r="AB99">
        <v>7.5</v>
      </c>
      <c r="AD99">
        <v>378021.03125</v>
      </c>
      <c r="AE99">
        <v>378021.03125</v>
      </c>
      <c r="AI99">
        <v>1289807.75</v>
      </c>
      <c r="AJ99" t="s">
        <v>270</v>
      </c>
      <c r="AK99">
        <v>0</v>
      </c>
      <c r="AL99">
        <v>41</v>
      </c>
      <c r="AM99">
        <v>0</v>
      </c>
      <c r="AN99">
        <v>0</v>
      </c>
      <c r="AO99">
        <v>0</v>
      </c>
      <c r="AP99">
        <v>0</v>
      </c>
      <c r="AQ99">
        <v>0</v>
      </c>
      <c r="AR99">
        <v>0</v>
      </c>
      <c r="AS99">
        <v>59</v>
      </c>
      <c r="AT99" t="b">
        <v>0</v>
      </c>
      <c r="AU99">
        <v>0</v>
      </c>
      <c r="AV99">
        <v>0</v>
      </c>
      <c r="AW99">
        <v>0</v>
      </c>
      <c r="AX99" t="b">
        <v>0</v>
      </c>
      <c r="AY99" t="b">
        <v>0</v>
      </c>
      <c r="AZ99" t="b">
        <v>0</v>
      </c>
      <c r="BA99" t="b">
        <v>0</v>
      </c>
      <c r="BB99" t="s">
        <v>270</v>
      </c>
      <c r="BC99" t="s">
        <v>270</v>
      </c>
      <c r="BD99" t="s">
        <v>270</v>
      </c>
      <c r="BE99" t="s">
        <v>1775</v>
      </c>
      <c r="BF99" t="s">
        <v>1776</v>
      </c>
      <c r="BG99" t="s">
        <v>1777</v>
      </c>
      <c r="BH99" t="s">
        <v>1778</v>
      </c>
      <c r="BI99" t="s">
        <v>1779</v>
      </c>
      <c r="BJ99" t="b">
        <v>0</v>
      </c>
      <c r="BK99" t="b">
        <v>1</v>
      </c>
      <c r="BL99" t="b">
        <v>0</v>
      </c>
      <c r="BM99" t="b">
        <v>0</v>
      </c>
      <c r="BN99" t="b">
        <v>0</v>
      </c>
      <c r="BO99" t="b">
        <v>0</v>
      </c>
      <c r="BP99">
        <v>2</v>
      </c>
      <c r="BQ99">
        <v>1</v>
      </c>
      <c r="BR99">
        <v>0</v>
      </c>
      <c r="BS99">
        <v>0</v>
      </c>
      <c r="BT99" t="b">
        <v>1</v>
      </c>
      <c r="BU99">
        <v>0</v>
      </c>
      <c r="BV99">
        <v>6</v>
      </c>
      <c r="BW99">
        <v>2550</v>
      </c>
      <c r="BX99">
        <v>0</v>
      </c>
      <c r="BY99" t="s">
        <v>270</v>
      </c>
      <c r="BZ99" t="s">
        <v>270</v>
      </c>
      <c r="CA99" t="s">
        <v>270</v>
      </c>
      <c r="CB99" t="s">
        <v>273</v>
      </c>
      <c r="CC99" t="s">
        <v>1780</v>
      </c>
      <c r="CD99" t="s">
        <v>1781</v>
      </c>
      <c r="CE99" t="s">
        <v>1782</v>
      </c>
      <c r="CF99" t="s">
        <v>1783</v>
      </c>
      <c r="CG99">
        <f t="shared" si="5"/>
        <v>1257.44055175781</v>
      </c>
      <c r="CH99">
        <f t="shared" si="6"/>
        <v>4588</v>
      </c>
      <c r="CI99">
        <f t="shared" si="7"/>
        <v>1</v>
      </c>
      <c r="CJ99">
        <f t="shared" si="8"/>
        <v>5769137.2514648326</v>
      </c>
      <c r="CK99">
        <f t="shared" si="9"/>
        <v>1257.44055175781</v>
      </c>
    </row>
    <row r="100" spans="1:89">
      <c r="A100">
        <v>21839</v>
      </c>
      <c r="B100" t="s">
        <v>1799</v>
      </c>
      <c r="C100">
        <v>314.36013793945301</v>
      </c>
      <c r="D100" t="s">
        <v>1806</v>
      </c>
      <c r="E100">
        <v>2010</v>
      </c>
      <c r="F100" t="s">
        <v>1853</v>
      </c>
      <c r="G100" t="s">
        <v>170</v>
      </c>
      <c r="H100">
        <v>97229</v>
      </c>
      <c r="I100" t="s">
        <v>1854</v>
      </c>
      <c r="K100" t="s">
        <v>1774</v>
      </c>
      <c r="L100">
        <v>24</v>
      </c>
      <c r="M100">
        <v>4</v>
      </c>
      <c r="N100">
        <v>0</v>
      </c>
      <c r="O100">
        <v>4</v>
      </c>
      <c r="P100">
        <v>0</v>
      </c>
      <c r="Q100">
        <v>22464</v>
      </c>
      <c r="R100">
        <v>22464</v>
      </c>
      <c r="S100">
        <v>150</v>
      </c>
      <c r="T100">
        <v>0</v>
      </c>
      <c r="U100">
        <v>0</v>
      </c>
      <c r="V100">
        <v>24</v>
      </c>
      <c r="W100">
        <v>0</v>
      </c>
      <c r="X100">
        <v>0</v>
      </c>
      <c r="Y100">
        <v>0</v>
      </c>
      <c r="Z100" t="b">
        <v>0</v>
      </c>
      <c r="AA100" t="b">
        <v>1</v>
      </c>
      <c r="AB100">
        <v>8</v>
      </c>
      <c r="AC100">
        <v>18836.14453125</v>
      </c>
      <c r="AD100">
        <v>113560.625</v>
      </c>
      <c r="AE100">
        <v>132396.765625</v>
      </c>
      <c r="AI100">
        <v>451737.75</v>
      </c>
      <c r="AJ100" t="s">
        <v>270</v>
      </c>
      <c r="AK100">
        <v>0</v>
      </c>
      <c r="AL100">
        <v>15</v>
      </c>
      <c r="AM100">
        <v>0</v>
      </c>
      <c r="AN100">
        <v>23</v>
      </c>
      <c r="AO100">
        <v>0</v>
      </c>
      <c r="AP100">
        <v>47</v>
      </c>
      <c r="AQ100">
        <v>0</v>
      </c>
      <c r="AR100">
        <v>0</v>
      </c>
      <c r="AS100">
        <v>15</v>
      </c>
      <c r="AT100" t="b">
        <v>1</v>
      </c>
      <c r="AU100">
        <v>0</v>
      </c>
      <c r="AV100">
        <v>0</v>
      </c>
      <c r="AW100">
        <v>0</v>
      </c>
      <c r="AX100" t="b">
        <v>0</v>
      </c>
      <c r="AY100" t="b">
        <v>0</v>
      </c>
      <c r="AZ100" t="b">
        <v>1</v>
      </c>
      <c r="BA100" t="b">
        <v>0</v>
      </c>
      <c r="BB100" t="s">
        <v>270</v>
      </c>
      <c r="BC100" t="s">
        <v>270</v>
      </c>
      <c r="BD100" t="s">
        <v>270</v>
      </c>
      <c r="BE100" t="s">
        <v>1775</v>
      </c>
      <c r="BF100" t="s">
        <v>1776</v>
      </c>
      <c r="BG100" t="s">
        <v>1777</v>
      </c>
      <c r="BH100" t="s">
        <v>1778</v>
      </c>
      <c r="BI100" t="s">
        <v>1779</v>
      </c>
      <c r="BJ100" t="b">
        <v>0</v>
      </c>
      <c r="BK100" t="b">
        <v>1</v>
      </c>
      <c r="BL100" t="b">
        <v>1</v>
      </c>
      <c r="BM100" t="b">
        <v>0</v>
      </c>
      <c r="BN100" t="b">
        <v>0</v>
      </c>
      <c r="BO100" t="b">
        <v>0</v>
      </c>
      <c r="BP100">
        <v>21</v>
      </c>
      <c r="BQ100">
        <v>25</v>
      </c>
      <c r="BR100">
        <v>1</v>
      </c>
      <c r="BS100">
        <v>1</v>
      </c>
      <c r="BT100" t="b">
        <v>1</v>
      </c>
      <c r="BU100">
        <v>0</v>
      </c>
      <c r="BV100">
        <v>28</v>
      </c>
      <c r="BW100">
        <v>6437</v>
      </c>
      <c r="BX100">
        <v>1</v>
      </c>
      <c r="BY100" t="s">
        <v>273</v>
      </c>
      <c r="BZ100" t="s">
        <v>270</v>
      </c>
      <c r="CA100" t="s">
        <v>273</v>
      </c>
      <c r="CB100" t="s">
        <v>273</v>
      </c>
      <c r="CC100" t="s">
        <v>1780</v>
      </c>
      <c r="CD100" t="s">
        <v>1781</v>
      </c>
      <c r="CE100" t="s">
        <v>1782</v>
      </c>
      <c r="CF100" t="s">
        <v>1783</v>
      </c>
      <c r="CG100" t="str">
        <f t="shared" si="5"/>
        <v/>
      </c>
      <c r="CH100" t="str">
        <f t="shared" si="6"/>
        <v/>
      </c>
      <c r="CI100" t="str">
        <f t="shared" si="7"/>
        <v/>
      </c>
      <c r="CJ100" t="str">
        <f t="shared" si="8"/>
        <v/>
      </c>
      <c r="CK100" t="str">
        <f t="shared" si="9"/>
        <v/>
      </c>
    </row>
    <row r="101" spans="1:89">
      <c r="A101">
        <v>21844</v>
      </c>
      <c r="B101" t="s">
        <v>1770</v>
      </c>
      <c r="C101">
        <v>628.72027587890602</v>
      </c>
      <c r="D101" t="s">
        <v>1806</v>
      </c>
      <c r="E101">
        <v>2004</v>
      </c>
      <c r="F101" t="s">
        <v>1888</v>
      </c>
      <c r="G101" t="s">
        <v>170</v>
      </c>
      <c r="H101">
        <v>97701</v>
      </c>
      <c r="I101" t="s">
        <v>1875</v>
      </c>
      <c r="J101" t="s">
        <v>1833</v>
      </c>
      <c r="K101" t="s">
        <v>1819</v>
      </c>
      <c r="L101">
        <v>12</v>
      </c>
      <c r="M101">
        <v>3</v>
      </c>
      <c r="N101">
        <v>0</v>
      </c>
      <c r="O101">
        <v>3</v>
      </c>
      <c r="P101">
        <v>0</v>
      </c>
      <c r="Q101">
        <v>13035</v>
      </c>
      <c r="R101">
        <v>13035</v>
      </c>
      <c r="S101">
        <v>0</v>
      </c>
      <c r="T101">
        <v>0</v>
      </c>
      <c r="U101">
        <v>2</v>
      </c>
      <c r="V101">
        <v>9</v>
      </c>
      <c r="W101">
        <v>1</v>
      </c>
      <c r="X101">
        <v>0</v>
      </c>
      <c r="Y101">
        <v>5</v>
      </c>
      <c r="Z101" t="b">
        <v>0</v>
      </c>
      <c r="AA101" t="b">
        <v>0</v>
      </c>
      <c r="AB101">
        <v>7.5</v>
      </c>
      <c r="AC101">
        <v>24649.017578125</v>
      </c>
      <c r="AD101">
        <v>83862.734375</v>
      </c>
      <c r="AE101">
        <v>108511.75</v>
      </c>
      <c r="AH101">
        <v>607.44207763671898</v>
      </c>
      <c r="AI101">
        <v>430986.3125</v>
      </c>
      <c r="AJ101" t="s">
        <v>270</v>
      </c>
      <c r="AK101">
        <v>0</v>
      </c>
      <c r="AL101">
        <v>6</v>
      </c>
      <c r="AM101">
        <v>0</v>
      </c>
      <c r="AN101">
        <v>56</v>
      </c>
      <c r="AO101">
        <v>0</v>
      </c>
      <c r="AP101">
        <v>34</v>
      </c>
      <c r="AQ101">
        <v>0</v>
      </c>
      <c r="AR101">
        <v>0</v>
      </c>
      <c r="AS101">
        <v>4</v>
      </c>
      <c r="AT101" t="b">
        <v>1</v>
      </c>
      <c r="AU101">
        <v>0</v>
      </c>
      <c r="AV101">
        <v>0</v>
      </c>
      <c r="AW101">
        <v>0</v>
      </c>
      <c r="AX101" t="b">
        <v>0</v>
      </c>
      <c r="AY101" t="b">
        <v>0</v>
      </c>
      <c r="AZ101" t="b">
        <v>0</v>
      </c>
      <c r="BA101" t="b">
        <v>0</v>
      </c>
      <c r="BB101" t="s">
        <v>270</v>
      </c>
      <c r="BC101" t="s">
        <v>270</v>
      </c>
      <c r="BD101" t="s">
        <v>270</v>
      </c>
      <c r="BE101" t="s">
        <v>1775</v>
      </c>
      <c r="BF101" t="s">
        <v>1776</v>
      </c>
      <c r="BG101" t="s">
        <v>1777</v>
      </c>
      <c r="BH101" t="s">
        <v>1778</v>
      </c>
      <c r="BI101" t="s">
        <v>1779</v>
      </c>
      <c r="BJ101" t="b">
        <v>1</v>
      </c>
      <c r="BK101" t="b">
        <v>1</v>
      </c>
      <c r="BL101" t="b">
        <v>1</v>
      </c>
      <c r="BM101" t="b">
        <v>0</v>
      </c>
      <c r="BN101" t="b">
        <v>0</v>
      </c>
      <c r="BO101" t="b">
        <v>0</v>
      </c>
      <c r="BP101">
        <v>2</v>
      </c>
      <c r="BQ101">
        <v>13</v>
      </c>
      <c r="BR101">
        <v>1</v>
      </c>
      <c r="BS101">
        <v>1</v>
      </c>
      <c r="BT101" t="b">
        <v>1</v>
      </c>
      <c r="BU101">
        <v>0</v>
      </c>
      <c r="BV101">
        <v>228</v>
      </c>
      <c r="BW101">
        <v>16900</v>
      </c>
      <c r="BX101">
        <v>1</v>
      </c>
      <c r="BY101" t="s">
        <v>273</v>
      </c>
      <c r="BZ101" t="s">
        <v>270</v>
      </c>
      <c r="CA101" t="s">
        <v>273</v>
      </c>
      <c r="CB101" t="s">
        <v>273</v>
      </c>
      <c r="CC101" t="s">
        <v>1780</v>
      </c>
      <c r="CD101" t="s">
        <v>1781</v>
      </c>
      <c r="CE101" t="s">
        <v>1782</v>
      </c>
      <c r="CF101" t="s">
        <v>1783</v>
      </c>
      <c r="CG101">
        <f t="shared" si="5"/>
        <v>628.72027587890602</v>
      </c>
      <c r="CH101">
        <f t="shared" si="6"/>
        <v>13035</v>
      </c>
      <c r="CI101">
        <f t="shared" si="7"/>
        <v>3</v>
      </c>
      <c r="CJ101">
        <f t="shared" si="8"/>
        <v>8195368.7960815402</v>
      </c>
      <c r="CK101">
        <f t="shared" si="9"/>
        <v>1886.1608276367181</v>
      </c>
    </row>
    <row r="102" spans="1:89">
      <c r="A102">
        <v>21910</v>
      </c>
      <c r="B102" t="s">
        <v>1770</v>
      </c>
      <c r="C102">
        <v>184.01568603515599</v>
      </c>
      <c r="D102" t="s">
        <v>1771</v>
      </c>
      <c r="E102">
        <v>1986</v>
      </c>
      <c r="F102" t="s">
        <v>1853</v>
      </c>
      <c r="G102" t="s">
        <v>170</v>
      </c>
      <c r="H102">
        <v>97213</v>
      </c>
      <c r="I102" t="s">
        <v>1854</v>
      </c>
      <c r="J102" t="s">
        <v>1826</v>
      </c>
      <c r="K102" t="s">
        <v>1774</v>
      </c>
      <c r="L102">
        <v>41</v>
      </c>
      <c r="M102">
        <v>3</v>
      </c>
      <c r="N102">
        <v>0</v>
      </c>
      <c r="O102">
        <v>3</v>
      </c>
      <c r="P102">
        <v>0</v>
      </c>
      <c r="Q102">
        <v>32127</v>
      </c>
      <c r="R102">
        <v>32127</v>
      </c>
      <c r="S102">
        <v>6207</v>
      </c>
      <c r="T102">
        <v>0</v>
      </c>
      <c r="U102">
        <v>0</v>
      </c>
      <c r="V102">
        <v>0</v>
      </c>
      <c r="W102">
        <v>41</v>
      </c>
      <c r="X102">
        <v>0</v>
      </c>
      <c r="Y102">
        <v>0</v>
      </c>
      <c r="Z102" t="b">
        <v>0</v>
      </c>
      <c r="AA102" t="b">
        <v>1</v>
      </c>
      <c r="AB102">
        <v>8</v>
      </c>
      <c r="AC102">
        <v>57594.58203125</v>
      </c>
      <c r="AD102">
        <v>133148.53125</v>
      </c>
      <c r="AE102">
        <v>190743.109375</v>
      </c>
      <c r="AH102">
        <v>2690.08471679688</v>
      </c>
      <c r="AI102">
        <v>919823.9375</v>
      </c>
      <c r="AJ102" t="s">
        <v>273</v>
      </c>
      <c r="AK102">
        <v>0</v>
      </c>
      <c r="AL102">
        <v>5</v>
      </c>
      <c r="AM102">
        <v>0</v>
      </c>
      <c r="AN102">
        <v>45</v>
      </c>
      <c r="AO102">
        <v>0</v>
      </c>
      <c r="AP102">
        <v>45</v>
      </c>
      <c r="AQ102">
        <v>0</v>
      </c>
      <c r="AR102">
        <v>0</v>
      </c>
      <c r="AS102">
        <v>5</v>
      </c>
      <c r="AT102" t="b">
        <v>0</v>
      </c>
      <c r="AU102">
        <v>1</v>
      </c>
      <c r="AV102">
        <v>2</v>
      </c>
      <c r="AW102">
        <v>1</v>
      </c>
      <c r="AX102" t="b">
        <v>0</v>
      </c>
      <c r="AY102" t="b">
        <v>0</v>
      </c>
      <c r="AZ102" t="b">
        <v>1</v>
      </c>
      <c r="BA102" t="b">
        <v>0</v>
      </c>
      <c r="BB102" t="s">
        <v>270</v>
      </c>
      <c r="BC102" t="s">
        <v>270</v>
      </c>
      <c r="BD102" t="s">
        <v>270</v>
      </c>
      <c r="BE102" t="s">
        <v>1775</v>
      </c>
      <c r="BF102" t="s">
        <v>1776</v>
      </c>
      <c r="BG102" t="s">
        <v>1777</v>
      </c>
      <c r="BH102" t="s">
        <v>1804</v>
      </c>
      <c r="BI102" t="s">
        <v>1812</v>
      </c>
      <c r="BJ102" t="b">
        <v>1</v>
      </c>
      <c r="BK102" t="b">
        <v>1</v>
      </c>
      <c r="BL102" t="b">
        <v>1</v>
      </c>
      <c r="BM102" t="b">
        <v>0</v>
      </c>
      <c r="BN102" t="b">
        <v>0</v>
      </c>
      <c r="BO102" t="b">
        <v>0</v>
      </c>
      <c r="BP102">
        <v>1</v>
      </c>
      <c r="BQ102">
        <v>42</v>
      </c>
      <c r="BR102">
        <v>1</v>
      </c>
      <c r="BS102">
        <v>1</v>
      </c>
      <c r="BT102" t="b">
        <v>1</v>
      </c>
      <c r="BU102">
        <v>0</v>
      </c>
      <c r="BV102">
        <v>14</v>
      </c>
      <c r="BW102">
        <v>5950</v>
      </c>
      <c r="BX102">
        <v>0</v>
      </c>
      <c r="BY102" t="s">
        <v>270</v>
      </c>
      <c r="BZ102" t="s">
        <v>270</v>
      </c>
      <c r="CA102" t="s">
        <v>270</v>
      </c>
      <c r="CB102" t="s">
        <v>273</v>
      </c>
      <c r="CC102" t="s">
        <v>1780</v>
      </c>
      <c r="CD102" t="s">
        <v>1781</v>
      </c>
      <c r="CE102" t="s">
        <v>1782</v>
      </c>
      <c r="CF102" t="s">
        <v>1783</v>
      </c>
      <c r="CG102">
        <f t="shared" si="5"/>
        <v>184.01568603515599</v>
      </c>
      <c r="CH102">
        <f t="shared" si="6"/>
        <v>32127</v>
      </c>
      <c r="CI102">
        <f t="shared" si="7"/>
        <v>3</v>
      </c>
      <c r="CJ102">
        <f t="shared" si="8"/>
        <v>5911871.9452514565</v>
      </c>
      <c r="CK102">
        <f t="shared" si="9"/>
        <v>552.04705810546795</v>
      </c>
    </row>
    <row r="103" spans="1:89">
      <c r="A103">
        <v>21952</v>
      </c>
      <c r="B103" t="s">
        <v>1770</v>
      </c>
      <c r="C103">
        <v>419.14685058593801</v>
      </c>
      <c r="D103" t="s">
        <v>1771</v>
      </c>
      <c r="E103">
        <v>1988</v>
      </c>
      <c r="F103" t="s">
        <v>1889</v>
      </c>
      <c r="G103" t="s">
        <v>170</v>
      </c>
      <c r="H103">
        <v>97267</v>
      </c>
      <c r="I103" t="s">
        <v>1854</v>
      </c>
      <c r="J103" t="s">
        <v>1826</v>
      </c>
      <c r="K103" t="s">
        <v>1774</v>
      </c>
      <c r="L103">
        <v>18</v>
      </c>
      <c r="M103">
        <v>3</v>
      </c>
      <c r="N103">
        <v>0</v>
      </c>
      <c r="O103">
        <v>3</v>
      </c>
      <c r="P103">
        <v>0</v>
      </c>
      <c r="Q103">
        <v>14280</v>
      </c>
      <c r="R103">
        <v>14280</v>
      </c>
      <c r="S103">
        <v>0</v>
      </c>
      <c r="T103">
        <v>0</v>
      </c>
      <c r="U103">
        <v>0</v>
      </c>
      <c r="V103">
        <v>6</v>
      </c>
      <c r="W103">
        <v>12</v>
      </c>
      <c r="X103">
        <v>0</v>
      </c>
      <c r="Y103">
        <v>5</v>
      </c>
      <c r="Z103" t="b">
        <v>0</v>
      </c>
      <c r="AA103" t="b">
        <v>0</v>
      </c>
      <c r="AB103">
        <v>8</v>
      </c>
      <c r="AD103">
        <v>117352.7890625</v>
      </c>
      <c r="AE103">
        <v>117352.7890625</v>
      </c>
      <c r="AJ103" t="s">
        <v>270</v>
      </c>
      <c r="AK103">
        <v>0</v>
      </c>
      <c r="AL103">
        <v>0</v>
      </c>
      <c r="AM103">
        <v>0</v>
      </c>
      <c r="AN103">
        <v>72</v>
      </c>
      <c r="AO103">
        <v>0</v>
      </c>
      <c r="AP103">
        <v>28</v>
      </c>
      <c r="AQ103">
        <v>0</v>
      </c>
      <c r="AR103">
        <v>0</v>
      </c>
      <c r="AS103">
        <v>0</v>
      </c>
      <c r="AT103" t="b">
        <v>1</v>
      </c>
      <c r="AU103">
        <v>12</v>
      </c>
      <c r="AV103">
        <v>12</v>
      </c>
      <c r="AW103">
        <v>0</v>
      </c>
      <c r="AX103" t="b">
        <v>0</v>
      </c>
      <c r="AY103" t="b">
        <v>0</v>
      </c>
      <c r="AZ103" t="b">
        <v>0</v>
      </c>
      <c r="BA103" t="b">
        <v>0</v>
      </c>
      <c r="BB103" t="s">
        <v>270</v>
      </c>
      <c r="BC103" t="s">
        <v>270</v>
      </c>
      <c r="BD103" t="s">
        <v>270</v>
      </c>
      <c r="BE103" t="s">
        <v>1775</v>
      </c>
      <c r="BF103" t="s">
        <v>1776</v>
      </c>
      <c r="BG103" t="s">
        <v>1777</v>
      </c>
      <c r="BH103" t="s">
        <v>1804</v>
      </c>
      <c r="BI103" t="s">
        <v>1779</v>
      </c>
      <c r="BJ103" t="b">
        <v>1</v>
      </c>
      <c r="BK103" t="b">
        <v>1</v>
      </c>
      <c r="BL103" t="b">
        <v>1</v>
      </c>
      <c r="BM103" t="b">
        <v>0</v>
      </c>
      <c r="BN103" t="b">
        <v>0</v>
      </c>
      <c r="BO103" t="b">
        <v>0</v>
      </c>
      <c r="BP103">
        <v>24</v>
      </c>
      <c r="BQ103">
        <v>162</v>
      </c>
      <c r="BR103">
        <v>3</v>
      </c>
      <c r="BS103">
        <v>3</v>
      </c>
      <c r="BT103" t="b">
        <v>1</v>
      </c>
      <c r="BU103">
        <v>0</v>
      </c>
      <c r="BV103">
        <v>18</v>
      </c>
      <c r="BW103">
        <v>28065</v>
      </c>
      <c r="BX103">
        <v>1</v>
      </c>
      <c r="BY103" t="s">
        <v>273</v>
      </c>
      <c r="BZ103" t="s">
        <v>270</v>
      </c>
      <c r="CA103" t="s">
        <v>273</v>
      </c>
      <c r="CB103" t="s">
        <v>273</v>
      </c>
      <c r="CC103" t="s">
        <v>1780</v>
      </c>
      <c r="CD103" t="s">
        <v>1781</v>
      </c>
      <c r="CE103" t="s">
        <v>1782</v>
      </c>
      <c r="CF103" t="s">
        <v>1783</v>
      </c>
      <c r="CG103">
        <f t="shared" si="5"/>
        <v>419.14685058593801</v>
      </c>
      <c r="CH103">
        <f t="shared" si="6"/>
        <v>14280</v>
      </c>
      <c r="CI103">
        <f t="shared" si="7"/>
        <v>3</v>
      </c>
      <c r="CJ103">
        <f t="shared" si="8"/>
        <v>5985417.026367195</v>
      </c>
      <c r="CK103">
        <f t="shared" si="9"/>
        <v>1257.4405517578141</v>
      </c>
    </row>
    <row r="104" spans="1:89">
      <c r="A104">
        <v>21985</v>
      </c>
      <c r="B104" t="s">
        <v>1770</v>
      </c>
      <c r="C104">
        <v>754.46429443359398</v>
      </c>
      <c r="D104" t="s">
        <v>1808</v>
      </c>
      <c r="E104">
        <v>1994</v>
      </c>
      <c r="F104" t="s">
        <v>1890</v>
      </c>
      <c r="G104" t="s">
        <v>170</v>
      </c>
      <c r="H104">
        <v>97062</v>
      </c>
      <c r="I104" t="s">
        <v>1854</v>
      </c>
      <c r="K104" t="s">
        <v>1774</v>
      </c>
      <c r="L104">
        <v>10</v>
      </c>
      <c r="M104">
        <v>2</v>
      </c>
      <c r="N104">
        <v>0</v>
      </c>
      <c r="O104">
        <v>3</v>
      </c>
      <c r="P104">
        <v>0</v>
      </c>
      <c r="Q104">
        <v>8361</v>
      </c>
      <c r="R104">
        <v>8316</v>
      </c>
      <c r="S104">
        <v>162</v>
      </c>
      <c r="T104">
        <v>0</v>
      </c>
      <c r="U104">
        <v>0</v>
      </c>
      <c r="V104">
        <v>5</v>
      </c>
      <c r="W104">
        <v>5</v>
      </c>
      <c r="X104">
        <v>0</v>
      </c>
      <c r="Y104">
        <v>0</v>
      </c>
      <c r="Z104" t="b">
        <v>0</v>
      </c>
      <c r="AA104" t="b">
        <v>1</v>
      </c>
      <c r="AB104">
        <v>7.6700000762939498</v>
      </c>
      <c r="AD104">
        <v>60436.0859375</v>
      </c>
      <c r="AE104">
        <v>60436.0859375</v>
      </c>
      <c r="AI104">
        <v>206207.921875</v>
      </c>
      <c r="AJ104" t="s">
        <v>273</v>
      </c>
      <c r="AK104">
        <v>0</v>
      </c>
      <c r="AL104">
        <v>31</v>
      </c>
      <c r="AM104">
        <v>0</v>
      </c>
      <c r="AN104">
        <v>0</v>
      </c>
      <c r="AO104">
        <v>0</v>
      </c>
      <c r="AP104">
        <v>4</v>
      </c>
      <c r="AQ104">
        <v>0</v>
      </c>
      <c r="AR104">
        <v>0</v>
      </c>
      <c r="AS104">
        <v>65</v>
      </c>
      <c r="AT104" t="b">
        <v>1</v>
      </c>
      <c r="AU104">
        <v>4</v>
      </c>
      <c r="AV104">
        <v>4</v>
      </c>
      <c r="AW104">
        <v>0</v>
      </c>
      <c r="AX104" t="b">
        <v>0</v>
      </c>
      <c r="AY104" t="b">
        <v>0</v>
      </c>
      <c r="AZ104" t="b">
        <v>0</v>
      </c>
      <c r="BA104" t="b">
        <v>0</v>
      </c>
      <c r="BB104" t="s">
        <v>270</v>
      </c>
      <c r="BC104" t="s">
        <v>270</v>
      </c>
      <c r="BD104" t="s">
        <v>273</v>
      </c>
      <c r="BE104" t="s">
        <v>1775</v>
      </c>
      <c r="BF104" t="s">
        <v>1776</v>
      </c>
      <c r="BG104" t="s">
        <v>1777</v>
      </c>
      <c r="BH104" t="s">
        <v>1778</v>
      </c>
      <c r="BI104" t="s">
        <v>1790</v>
      </c>
      <c r="BJ104" t="b">
        <v>0</v>
      </c>
      <c r="BK104" t="b">
        <v>1</v>
      </c>
      <c r="BL104" t="b">
        <v>0</v>
      </c>
      <c r="BM104" t="b">
        <v>0</v>
      </c>
      <c r="BN104" t="b">
        <v>0</v>
      </c>
      <c r="BO104" t="b">
        <v>0</v>
      </c>
      <c r="BP104">
        <v>5</v>
      </c>
      <c r="BQ104">
        <v>13</v>
      </c>
      <c r="BR104">
        <v>0</v>
      </c>
      <c r="BS104">
        <v>0</v>
      </c>
      <c r="BT104" t="b">
        <v>1</v>
      </c>
      <c r="BU104">
        <v>42</v>
      </c>
      <c r="BV104">
        <v>17</v>
      </c>
      <c r="BW104">
        <v>7225</v>
      </c>
      <c r="BX104">
        <v>0</v>
      </c>
      <c r="BY104" t="s">
        <v>270</v>
      </c>
      <c r="BZ104" t="s">
        <v>270</v>
      </c>
      <c r="CA104" t="s">
        <v>270</v>
      </c>
      <c r="CB104" t="s">
        <v>273</v>
      </c>
      <c r="CC104" t="s">
        <v>1787</v>
      </c>
      <c r="CD104" t="s">
        <v>1781</v>
      </c>
      <c r="CE104" t="s">
        <v>1795</v>
      </c>
      <c r="CF104" t="s">
        <v>1783</v>
      </c>
      <c r="CG104">
        <f t="shared" si="5"/>
        <v>754.46429443359398</v>
      </c>
      <c r="CH104">
        <f t="shared" si="6"/>
        <v>8361</v>
      </c>
      <c r="CI104">
        <f t="shared" si="7"/>
        <v>2</v>
      </c>
      <c r="CJ104">
        <f t="shared" si="8"/>
        <v>6308075.9657592792</v>
      </c>
      <c r="CK104">
        <f t="shared" si="9"/>
        <v>1508.928588867188</v>
      </c>
    </row>
    <row r="105" spans="1:89">
      <c r="A105">
        <v>21998</v>
      </c>
      <c r="B105" t="s">
        <v>1770</v>
      </c>
      <c r="C105">
        <v>943.08038330078102</v>
      </c>
      <c r="D105" t="s">
        <v>1771</v>
      </c>
      <c r="E105">
        <v>1990</v>
      </c>
      <c r="F105" t="s">
        <v>1891</v>
      </c>
      <c r="G105" t="s">
        <v>172</v>
      </c>
      <c r="H105">
        <v>59802</v>
      </c>
      <c r="I105" t="s">
        <v>1879</v>
      </c>
      <c r="J105" t="s">
        <v>1879</v>
      </c>
      <c r="K105" t="s">
        <v>1774</v>
      </c>
      <c r="L105">
        <v>8</v>
      </c>
      <c r="M105">
        <v>2</v>
      </c>
      <c r="N105">
        <v>0</v>
      </c>
      <c r="O105">
        <v>2</v>
      </c>
      <c r="P105">
        <v>0</v>
      </c>
      <c r="Q105">
        <v>8414</v>
      </c>
      <c r="R105">
        <v>8414</v>
      </c>
      <c r="S105">
        <v>2178</v>
      </c>
      <c r="T105">
        <v>0</v>
      </c>
      <c r="U105">
        <v>0</v>
      </c>
      <c r="V105">
        <v>2</v>
      </c>
      <c r="W105">
        <v>6</v>
      </c>
      <c r="X105">
        <v>0</v>
      </c>
      <c r="Y105">
        <v>0</v>
      </c>
      <c r="Z105" t="b">
        <v>0</v>
      </c>
      <c r="AA105" t="b">
        <v>1</v>
      </c>
      <c r="AB105">
        <v>8</v>
      </c>
      <c r="AH105">
        <v>3256.15283203125</v>
      </c>
      <c r="AJ105" t="s">
        <v>270</v>
      </c>
      <c r="AK105">
        <v>0</v>
      </c>
      <c r="AL105">
        <v>10</v>
      </c>
      <c r="AM105">
        <v>0</v>
      </c>
      <c r="AN105">
        <v>40</v>
      </c>
      <c r="AO105">
        <v>0</v>
      </c>
      <c r="AP105">
        <v>40</v>
      </c>
      <c r="AQ105">
        <v>0</v>
      </c>
      <c r="AR105">
        <v>0</v>
      </c>
      <c r="AS105">
        <v>10</v>
      </c>
      <c r="AT105" t="b">
        <v>0</v>
      </c>
      <c r="AU105">
        <v>1</v>
      </c>
      <c r="AV105">
        <v>1</v>
      </c>
      <c r="AW105">
        <v>1</v>
      </c>
      <c r="AX105" t="b">
        <v>1</v>
      </c>
      <c r="AY105" t="b">
        <v>0</v>
      </c>
      <c r="AZ105" t="b">
        <v>0</v>
      </c>
      <c r="BA105" t="b">
        <v>0</v>
      </c>
      <c r="BB105" t="s">
        <v>270</v>
      </c>
      <c r="BC105" t="s">
        <v>270</v>
      </c>
      <c r="BD105" t="s">
        <v>270</v>
      </c>
      <c r="BE105" t="s">
        <v>1813</v>
      </c>
      <c r="BF105" t="s">
        <v>1810</v>
      </c>
      <c r="BG105" t="s">
        <v>1814</v>
      </c>
      <c r="BH105" t="s">
        <v>1778</v>
      </c>
      <c r="BI105" t="s">
        <v>1812</v>
      </c>
      <c r="BJ105" t="b">
        <v>1</v>
      </c>
      <c r="BK105" t="b">
        <v>1</v>
      </c>
      <c r="BL105" t="b">
        <v>1</v>
      </c>
      <c r="BM105" t="b">
        <v>0</v>
      </c>
      <c r="BN105" t="b">
        <v>0</v>
      </c>
      <c r="BO105" t="b">
        <v>0</v>
      </c>
      <c r="BP105">
        <v>1</v>
      </c>
      <c r="BQ105">
        <v>9</v>
      </c>
      <c r="BR105">
        <v>1</v>
      </c>
      <c r="BS105">
        <v>1</v>
      </c>
      <c r="BT105" t="b">
        <v>1</v>
      </c>
      <c r="BV105">
        <v>8</v>
      </c>
      <c r="BW105">
        <v>3400</v>
      </c>
      <c r="BX105">
        <v>0</v>
      </c>
      <c r="BY105" t="s">
        <v>270</v>
      </c>
      <c r="BZ105" t="s">
        <v>270</v>
      </c>
      <c r="CA105" t="s">
        <v>270</v>
      </c>
      <c r="CB105" t="s">
        <v>273</v>
      </c>
      <c r="CC105" t="s">
        <v>1787</v>
      </c>
      <c r="CD105" t="s">
        <v>1781</v>
      </c>
      <c r="CE105" t="s">
        <v>1795</v>
      </c>
      <c r="CF105" t="s">
        <v>1783</v>
      </c>
      <c r="CG105" t="str">
        <f t="shared" si="5"/>
        <v/>
      </c>
      <c r="CH105" t="str">
        <f t="shared" si="6"/>
        <v/>
      </c>
      <c r="CI105" t="str">
        <f t="shared" si="7"/>
        <v/>
      </c>
      <c r="CJ105" t="str">
        <f t="shared" si="8"/>
        <v/>
      </c>
      <c r="CK105" t="str">
        <f t="shared" si="9"/>
        <v/>
      </c>
    </row>
    <row r="106" spans="1:89">
      <c r="A106">
        <v>22058</v>
      </c>
      <c r="B106" t="s">
        <v>1770</v>
      </c>
      <c r="C106">
        <v>251.48811340332</v>
      </c>
      <c r="D106" t="s">
        <v>1792</v>
      </c>
      <c r="E106">
        <v>1970</v>
      </c>
      <c r="F106" t="s">
        <v>1853</v>
      </c>
      <c r="G106" t="s">
        <v>170</v>
      </c>
      <c r="H106">
        <v>97236</v>
      </c>
      <c r="I106" t="s">
        <v>1854</v>
      </c>
      <c r="K106" t="s">
        <v>1774</v>
      </c>
      <c r="L106">
        <v>30</v>
      </c>
      <c r="M106">
        <v>2</v>
      </c>
      <c r="N106">
        <v>0</v>
      </c>
      <c r="O106">
        <v>2</v>
      </c>
      <c r="P106">
        <v>0</v>
      </c>
      <c r="Q106">
        <v>23760</v>
      </c>
      <c r="R106">
        <v>23760</v>
      </c>
      <c r="S106">
        <v>110</v>
      </c>
      <c r="T106">
        <v>0</v>
      </c>
      <c r="U106">
        <v>10</v>
      </c>
      <c r="V106">
        <v>11</v>
      </c>
      <c r="W106">
        <v>9</v>
      </c>
      <c r="X106">
        <v>0</v>
      </c>
      <c r="Y106">
        <v>3</v>
      </c>
      <c r="Z106" t="b">
        <v>0</v>
      </c>
      <c r="AA106" t="b">
        <v>1</v>
      </c>
      <c r="AB106">
        <v>8</v>
      </c>
      <c r="AD106">
        <v>247166.796875</v>
      </c>
      <c r="AE106">
        <v>247166.796875</v>
      </c>
      <c r="AI106">
        <v>843333.125</v>
      </c>
      <c r="AJ106" t="s">
        <v>270</v>
      </c>
      <c r="AK106">
        <v>0</v>
      </c>
      <c r="AL106">
        <v>42</v>
      </c>
      <c r="AM106">
        <v>0</v>
      </c>
      <c r="AN106">
        <v>8</v>
      </c>
      <c r="AO106">
        <v>0</v>
      </c>
      <c r="AP106">
        <v>12</v>
      </c>
      <c r="AQ106">
        <v>0</v>
      </c>
      <c r="AR106">
        <v>0</v>
      </c>
      <c r="AS106">
        <v>38</v>
      </c>
      <c r="AT106" t="b">
        <v>0</v>
      </c>
      <c r="AU106">
        <v>4</v>
      </c>
      <c r="AV106">
        <v>4</v>
      </c>
      <c r="AW106">
        <v>0</v>
      </c>
      <c r="AX106" t="b">
        <v>0</v>
      </c>
      <c r="AY106" t="b">
        <v>0</v>
      </c>
      <c r="AZ106" t="b">
        <v>1</v>
      </c>
      <c r="BA106" t="b">
        <v>0</v>
      </c>
      <c r="BB106" t="s">
        <v>270</v>
      </c>
      <c r="BC106" t="s">
        <v>270</v>
      </c>
      <c r="BD106" t="s">
        <v>270</v>
      </c>
      <c r="BE106" t="s">
        <v>1775</v>
      </c>
      <c r="BF106" t="s">
        <v>1776</v>
      </c>
      <c r="BG106" t="s">
        <v>1777</v>
      </c>
      <c r="BH106" t="s">
        <v>1778</v>
      </c>
      <c r="BI106" t="s">
        <v>1790</v>
      </c>
      <c r="BJ106" t="b">
        <v>0</v>
      </c>
      <c r="BK106" t="b">
        <v>1</v>
      </c>
      <c r="BL106" t="b">
        <v>0</v>
      </c>
      <c r="BM106" t="b">
        <v>0</v>
      </c>
      <c r="BN106" t="b">
        <v>0</v>
      </c>
      <c r="BO106" t="b">
        <v>0</v>
      </c>
      <c r="BP106">
        <v>18</v>
      </c>
      <c r="BQ106">
        <v>31</v>
      </c>
      <c r="BR106">
        <v>0</v>
      </c>
      <c r="BS106">
        <v>0</v>
      </c>
      <c r="BT106" t="b">
        <v>1</v>
      </c>
      <c r="BV106">
        <v>30</v>
      </c>
      <c r="BW106">
        <v>12750</v>
      </c>
      <c r="BX106">
        <v>0</v>
      </c>
      <c r="BY106" t="s">
        <v>270</v>
      </c>
      <c r="BZ106" t="s">
        <v>270</v>
      </c>
      <c r="CA106" t="s">
        <v>270</v>
      </c>
      <c r="CB106" t="s">
        <v>273</v>
      </c>
      <c r="CC106" t="s">
        <v>1787</v>
      </c>
      <c r="CD106" t="s">
        <v>1781</v>
      </c>
      <c r="CE106" t="s">
        <v>1795</v>
      </c>
      <c r="CF106" t="s">
        <v>1783</v>
      </c>
      <c r="CG106">
        <f t="shared" si="5"/>
        <v>251.48811340332</v>
      </c>
      <c r="CH106">
        <f t="shared" si="6"/>
        <v>23760</v>
      </c>
      <c r="CI106">
        <f t="shared" si="7"/>
        <v>2</v>
      </c>
      <c r="CJ106">
        <f t="shared" si="8"/>
        <v>5975357.5744628832</v>
      </c>
      <c r="CK106">
        <f t="shared" si="9"/>
        <v>502.97622680664</v>
      </c>
    </row>
    <row r="107" spans="1:89">
      <c r="A107">
        <v>22106</v>
      </c>
      <c r="B107" t="s">
        <v>1770</v>
      </c>
      <c r="C107">
        <v>235.770095825195</v>
      </c>
      <c r="D107" t="s">
        <v>1802</v>
      </c>
      <c r="E107">
        <v>1973</v>
      </c>
      <c r="F107" t="s">
        <v>1853</v>
      </c>
      <c r="G107" t="s">
        <v>170</v>
      </c>
      <c r="H107">
        <v>97230</v>
      </c>
      <c r="I107" t="s">
        <v>1854</v>
      </c>
      <c r="K107" t="s">
        <v>1774</v>
      </c>
      <c r="L107">
        <v>32</v>
      </c>
      <c r="M107">
        <v>3</v>
      </c>
      <c r="N107">
        <v>0</v>
      </c>
      <c r="O107">
        <v>3</v>
      </c>
      <c r="P107">
        <v>0</v>
      </c>
      <c r="Q107">
        <v>15922</v>
      </c>
      <c r="R107">
        <v>15922</v>
      </c>
      <c r="S107">
        <v>400</v>
      </c>
      <c r="T107">
        <v>0</v>
      </c>
      <c r="U107">
        <v>4</v>
      </c>
      <c r="V107">
        <v>14</v>
      </c>
      <c r="W107">
        <v>14</v>
      </c>
      <c r="X107">
        <v>0</v>
      </c>
      <c r="Y107">
        <v>35</v>
      </c>
      <c r="Z107" t="b">
        <v>0</v>
      </c>
      <c r="AA107" t="b">
        <v>1</v>
      </c>
      <c r="AB107">
        <v>8.25</v>
      </c>
      <c r="AD107">
        <v>150207.25</v>
      </c>
      <c r="AE107">
        <v>150207.25</v>
      </c>
      <c r="AI107">
        <v>512507.125</v>
      </c>
      <c r="AJ107" t="s">
        <v>270</v>
      </c>
      <c r="AK107">
        <v>0</v>
      </c>
      <c r="AL107">
        <v>0</v>
      </c>
      <c r="AM107">
        <v>0</v>
      </c>
      <c r="AN107">
        <v>50</v>
      </c>
      <c r="AO107">
        <v>0</v>
      </c>
      <c r="AP107">
        <v>50</v>
      </c>
      <c r="AQ107">
        <v>0</v>
      </c>
      <c r="AR107">
        <v>0</v>
      </c>
      <c r="AS107">
        <v>0</v>
      </c>
      <c r="AT107" t="b">
        <v>1</v>
      </c>
      <c r="AU107">
        <v>3</v>
      </c>
      <c r="AV107">
        <v>2</v>
      </c>
      <c r="AW107">
        <v>0</v>
      </c>
      <c r="AX107" t="b">
        <v>0</v>
      </c>
      <c r="AY107" t="b">
        <v>0</v>
      </c>
      <c r="AZ107" t="b">
        <v>0</v>
      </c>
      <c r="BA107" t="b">
        <v>0</v>
      </c>
      <c r="BB107" t="s">
        <v>270</v>
      </c>
      <c r="BC107" t="s">
        <v>270</v>
      </c>
      <c r="BD107" t="s">
        <v>270</v>
      </c>
      <c r="BE107" t="s">
        <v>1775</v>
      </c>
      <c r="BF107" t="s">
        <v>1776</v>
      </c>
      <c r="BG107" t="s">
        <v>1777</v>
      </c>
      <c r="BH107" t="s">
        <v>1778</v>
      </c>
      <c r="BI107" t="s">
        <v>1790</v>
      </c>
      <c r="BJ107" t="b">
        <v>0</v>
      </c>
      <c r="BK107" t="b">
        <v>1</v>
      </c>
      <c r="BL107" t="b">
        <v>0</v>
      </c>
      <c r="BM107" t="b">
        <v>0</v>
      </c>
      <c r="BN107" t="b">
        <v>0</v>
      </c>
      <c r="BO107" t="b">
        <v>0</v>
      </c>
      <c r="BP107">
        <v>4</v>
      </c>
      <c r="BQ107">
        <v>26</v>
      </c>
      <c r="BR107">
        <v>0</v>
      </c>
      <c r="BS107">
        <v>0</v>
      </c>
      <c r="BT107" t="b">
        <v>1</v>
      </c>
      <c r="BU107">
        <v>0</v>
      </c>
      <c r="BV107">
        <v>21</v>
      </c>
      <c r="BW107">
        <v>7130</v>
      </c>
      <c r="BX107">
        <v>0</v>
      </c>
      <c r="BY107" t="s">
        <v>270</v>
      </c>
      <c r="BZ107" t="s">
        <v>270</v>
      </c>
      <c r="CA107" t="s">
        <v>273</v>
      </c>
      <c r="CB107" t="s">
        <v>273</v>
      </c>
      <c r="CC107" t="s">
        <v>1787</v>
      </c>
      <c r="CD107" t="s">
        <v>1781</v>
      </c>
      <c r="CE107" t="s">
        <v>1782</v>
      </c>
      <c r="CF107" t="s">
        <v>1783</v>
      </c>
      <c r="CG107">
        <f t="shared" si="5"/>
        <v>235.770095825195</v>
      </c>
      <c r="CH107">
        <f t="shared" si="6"/>
        <v>15922</v>
      </c>
      <c r="CI107">
        <f t="shared" si="7"/>
        <v>3</v>
      </c>
      <c r="CJ107">
        <f t="shared" si="8"/>
        <v>3753931.4657287546</v>
      </c>
      <c r="CK107">
        <f t="shared" si="9"/>
        <v>707.31028747558503</v>
      </c>
    </row>
    <row r="108" spans="1:89">
      <c r="A108">
        <v>22262</v>
      </c>
      <c r="B108" t="s">
        <v>1770</v>
      </c>
      <c r="C108">
        <v>943.08038330078102</v>
      </c>
      <c r="D108" t="s">
        <v>1806</v>
      </c>
      <c r="E108">
        <v>2003</v>
      </c>
      <c r="F108" t="s">
        <v>1892</v>
      </c>
      <c r="G108" t="s">
        <v>169</v>
      </c>
      <c r="H108">
        <v>99223</v>
      </c>
      <c r="I108" t="s">
        <v>1861</v>
      </c>
      <c r="K108" t="s">
        <v>1774</v>
      </c>
      <c r="L108">
        <v>8</v>
      </c>
      <c r="M108">
        <v>2</v>
      </c>
      <c r="N108">
        <v>0</v>
      </c>
      <c r="O108">
        <v>2</v>
      </c>
      <c r="P108">
        <v>0</v>
      </c>
      <c r="Q108">
        <v>8240</v>
      </c>
      <c r="R108">
        <v>8240</v>
      </c>
      <c r="S108">
        <v>0</v>
      </c>
      <c r="T108">
        <v>0</v>
      </c>
      <c r="U108">
        <v>0</v>
      </c>
      <c r="V108">
        <v>4</v>
      </c>
      <c r="W108">
        <v>4</v>
      </c>
      <c r="X108">
        <v>0</v>
      </c>
      <c r="Y108">
        <v>0</v>
      </c>
      <c r="Z108" t="b">
        <v>0</v>
      </c>
      <c r="AA108" t="b">
        <v>0</v>
      </c>
      <c r="AB108">
        <v>9</v>
      </c>
      <c r="AJ108" t="s">
        <v>270</v>
      </c>
      <c r="AK108">
        <v>0</v>
      </c>
      <c r="AL108">
        <v>0</v>
      </c>
      <c r="AM108">
        <v>0</v>
      </c>
      <c r="AN108">
        <v>24</v>
      </c>
      <c r="AO108">
        <v>0</v>
      </c>
      <c r="AP108">
        <v>76</v>
      </c>
      <c r="AQ108">
        <v>0</v>
      </c>
      <c r="AR108">
        <v>0</v>
      </c>
      <c r="AS108">
        <v>0</v>
      </c>
      <c r="AT108" t="b">
        <v>1</v>
      </c>
      <c r="AU108">
        <v>0</v>
      </c>
      <c r="AV108">
        <v>0</v>
      </c>
      <c r="AW108">
        <v>0</v>
      </c>
      <c r="AX108" t="b">
        <v>0</v>
      </c>
      <c r="AY108" t="b">
        <v>0</v>
      </c>
      <c r="AZ108" t="b">
        <v>0</v>
      </c>
      <c r="BA108" t="b">
        <v>0</v>
      </c>
      <c r="BB108" t="s">
        <v>270</v>
      </c>
      <c r="BC108" t="s">
        <v>270</v>
      </c>
      <c r="BD108" t="s">
        <v>270</v>
      </c>
      <c r="BE108" t="s">
        <v>1775</v>
      </c>
      <c r="BF108" t="s">
        <v>1776</v>
      </c>
      <c r="BG108" t="s">
        <v>1777</v>
      </c>
      <c r="BH108" t="s">
        <v>1804</v>
      </c>
      <c r="BI108" t="s">
        <v>1779</v>
      </c>
      <c r="BJ108" t="b">
        <v>0</v>
      </c>
      <c r="BK108" t="b">
        <v>1</v>
      </c>
      <c r="BL108" t="b">
        <v>0</v>
      </c>
      <c r="BM108" t="b">
        <v>0</v>
      </c>
      <c r="BN108" t="b">
        <v>0</v>
      </c>
      <c r="BO108" t="b">
        <v>0</v>
      </c>
      <c r="BP108">
        <v>9</v>
      </c>
      <c r="BQ108">
        <v>55</v>
      </c>
      <c r="BR108">
        <v>0</v>
      </c>
      <c r="BS108">
        <v>0</v>
      </c>
      <c r="BT108" t="b">
        <v>1</v>
      </c>
      <c r="BU108">
        <v>0</v>
      </c>
      <c r="BV108">
        <v>8</v>
      </c>
      <c r="BW108">
        <v>3000</v>
      </c>
      <c r="BX108">
        <v>0</v>
      </c>
      <c r="BY108" t="s">
        <v>270</v>
      </c>
      <c r="BZ108" t="s">
        <v>270</v>
      </c>
      <c r="CA108" t="s">
        <v>273</v>
      </c>
      <c r="CB108" t="s">
        <v>273</v>
      </c>
      <c r="CC108" t="s">
        <v>1780</v>
      </c>
      <c r="CD108" t="s">
        <v>1781</v>
      </c>
      <c r="CE108" t="s">
        <v>1782</v>
      </c>
      <c r="CF108" t="s">
        <v>1783</v>
      </c>
      <c r="CG108">
        <f t="shared" si="5"/>
        <v>943.08038330078102</v>
      </c>
      <c r="CH108">
        <f t="shared" si="6"/>
        <v>8240</v>
      </c>
      <c r="CI108">
        <f t="shared" si="7"/>
        <v>2</v>
      </c>
      <c r="CJ108">
        <f t="shared" si="8"/>
        <v>7770982.3583984356</v>
      </c>
      <c r="CK108">
        <f t="shared" si="9"/>
        <v>1886.160766601562</v>
      </c>
    </row>
    <row r="109" spans="1:89">
      <c r="A109">
        <v>22371</v>
      </c>
      <c r="B109" t="s">
        <v>1770</v>
      </c>
      <c r="C109">
        <v>1257.44055175781</v>
      </c>
      <c r="D109" t="s">
        <v>1771</v>
      </c>
      <c r="E109">
        <v>1982</v>
      </c>
      <c r="F109" t="s">
        <v>1893</v>
      </c>
      <c r="G109" t="s">
        <v>171</v>
      </c>
      <c r="H109">
        <v>83870</v>
      </c>
      <c r="I109" t="s">
        <v>1894</v>
      </c>
      <c r="K109" t="s">
        <v>1774</v>
      </c>
      <c r="L109">
        <v>6</v>
      </c>
      <c r="M109">
        <v>1</v>
      </c>
      <c r="N109">
        <v>0</v>
      </c>
      <c r="O109">
        <v>1</v>
      </c>
      <c r="P109">
        <v>0</v>
      </c>
      <c r="Q109">
        <v>5400</v>
      </c>
      <c r="R109">
        <v>5400</v>
      </c>
      <c r="S109">
        <v>0</v>
      </c>
      <c r="T109">
        <v>0</v>
      </c>
      <c r="U109">
        <v>0</v>
      </c>
      <c r="V109">
        <v>6</v>
      </c>
      <c r="W109">
        <v>0</v>
      </c>
      <c r="X109">
        <v>0</v>
      </c>
      <c r="Y109">
        <v>0</v>
      </c>
      <c r="Z109" t="b">
        <v>0</v>
      </c>
      <c r="AA109" t="b">
        <v>0</v>
      </c>
      <c r="AB109">
        <v>9</v>
      </c>
      <c r="AJ109" t="s">
        <v>273</v>
      </c>
      <c r="AK109">
        <v>0</v>
      </c>
      <c r="AL109">
        <v>0</v>
      </c>
      <c r="AM109">
        <v>0</v>
      </c>
      <c r="AN109">
        <v>0</v>
      </c>
      <c r="AO109">
        <v>50</v>
      </c>
      <c r="AP109">
        <v>0</v>
      </c>
      <c r="AQ109">
        <v>50</v>
      </c>
      <c r="AR109">
        <v>0</v>
      </c>
      <c r="AS109">
        <v>0</v>
      </c>
      <c r="AT109" t="b">
        <v>0</v>
      </c>
      <c r="AU109">
        <v>0</v>
      </c>
      <c r="AV109">
        <v>0</v>
      </c>
      <c r="AW109">
        <v>0</v>
      </c>
      <c r="AX109" t="b">
        <v>0</v>
      </c>
      <c r="AY109" t="b">
        <v>0</v>
      </c>
      <c r="AZ109" t="b">
        <v>0</v>
      </c>
      <c r="BA109" t="b">
        <v>0</v>
      </c>
      <c r="BB109" t="s">
        <v>270</v>
      </c>
      <c r="BC109" t="s">
        <v>270</v>
      </c>
      <c r="BD109" t="s">
        <v>270</v>
      </c>
      <c r="BE109" t="s">
        <v>1775</v>
      </c>
      <c r="BF109" t="s">
        <v>1776</v>
      </c>
      <c r="BG109" t="s">
        <v>1777</v>
      </c>
      <c r="BH109" t="s">
        <v>1804</v>
      </c>
      <c r="BI109" t="s">
        <v>1779</v>
      </c>
      <c r="BJ109" t="b">
        <v>0</v>
      </c>
      <c r="BK109" t="b">
        <v>1</v>
      </c>
      <c r="BL109" t="b">
        <v>0</v>
      </c>
      <c r="BM109" t="b">
        <v>0</v>
      </c>
      <c r="BN109" t="b">
        <v>0</v>
      </c>
      <c r="BO109" t="b">
        <v>0</v>
      </c>
      <c r="BP109">
        <v>1</v>
      </c>
      <c r="BQ109">
        <v>6</v>
      </c>
      <c r="BR109">
        <v>0</v>
      </c>
      <c r="BS109">
        <v>0</v>
      </c>
      <c r="BT109" t="b">
        <v>1</v>
      </c>
      <c r="BV109">
        <v>12</v>
      </c>
      <c r="BW109">
        <v>5100</v>
      </c>
      <c r="BX109">
        <v>0</v>
      </c>
      <c r="BY109" t="s">
        <v>270</v>
      </c>
      <c r="BZ109" t="s">
        <v>270</v>
      </c>
      <c r="CA109" t="s">
        <v>270</v>
      </c>
      <c r="CB109" t="s">
        <v>273</v>
      </c>
      <c r="CC109" t="s">
        <v>1780</v>
      </c>
      <c r="CD109" t="s">
        <v>1781</v>
      </c>
      <c r="CE109" t="s">
        <v>1782</v>
      </c>
      <c r="CF109" t="s">
        <v>1783</v>
      </c>
      <c r="CG109">
        <f t="shared" si="5"/>
        <v>1257.44055175781</v>
      </c>
      <c r="CH109">
        <f t="shared" si="6"/>
        <v>5400</v>
      </c>
      <c r="CI109">
        <f t="shared" si="7"/>
        <v>1</v>
      </c>
      <c r="CJ109">
        <f t="shared" si="8"/>
        <v>6790178.9794921735</v>
      </c>
      <c r="CK109">
        <f t="shared" si="9"/>
        <v>1257.44055175781</v>
      </c>
    </row>
    <row r="110" spans="1:89">
      <c r="A110">
        <v>22450</v>
      </c>
      <c r="B110" t="s">
        <v>1770</v>
      </c>
      <c r="C110">
        <v>538.903076171875</v>
      </c>
      <c r="D110" t="s">
        <v>1802</v>
      </c>
      <c r="E110">
        <v>1978</v>
      </c>
      <c r="F110" t="s">
        <v>1853</v>
      </c>
      <c r="G110" t="s">
        <v>170</v>
      </c>
      <c r="H110">
        <v>97215</v>
      </c>
      <c r="I110" t="s">
        <v>1854</v>
      </c>
      <c r="K110" t="s">
        <v>1774</v>
      </c>
      <c r="L110">
        <v>14</v>
      </c>
      <c r="M110">
        <v>2</v>
      </c>
      <c r="N110">
        <v>0</v>
      </c>
      <c r="O110">
        <v>2</v>
      </c>
      <c r="P110">
        <v>0</v>
      </c>
      <c r="Q110">
        <v>10246</v>
      </c>
      <c r="R110">
        <v>10246</v>
      </c>
      <c r="S110">
        <v>400</v>
      </c>
      <c r="T110">
        <v>0</v>
      </c>
      <c r="U110">
        <v>0</v>
      </c>
      <c r="V110">
        <v>4</v>
      </c>
      <c r="W110">
        <v>10</v>
      </c>
      <c r="X110">
        <v>0</v>
      </c>
      <c r="Y110">
        <v>0</v>
      </c>
      <c r="Z110" t="b">
        <v>0</v>
      </c>
      <c r="AA110" t="b">
        <v>1</v>
      </c>
      <c r="AB110">
        <v>8</v>
      </c>
      <c r="AD110">
        <v>92402.6640625</v>
      </c>
      <c r="AE110">
        <v>92402.6640625</v>
      </c>
      <c r="AI110">
        <v>315277.875</v>
      </c>
      <c r="AJ110" t="s">
        <v>270</v>
      </c>
      <c r="AK110">
        <v>0</v>
      </c>
      <c r="AL110">
        <v>12</v>
      </c>
      <c r="AM110">
        <v>0</v>
      </c>
      <c r="AN110">
        <v>25</v>
      </c>
      <c r="AO110">
        <v>0</v>
      </c>
      <c r="AP110">
        <v>28</v>
      </c>
      <c r="AQ110">
        <v>0</v>
      </c>
      <c r="AR110">
        <v>0</v>
      </c>
      <c r="AS110">
        <v>35</v>
      </c>
      <c r="AT110" t="b">
        <v>1</v>
      </c>
      <c r="AU110">
        <v>2</v>
      </c>
      <c r="AV110">
        <v>2</v>
      </c>
      <c r="AW110">
        <v>0</v>
      </c>
      <c r="AX110" t="b">
        <v>0</v>
      </c>
      <c r="AY110" t="b">
        <v>0</v>
      </c>
      <c r="AZ110" t="b">
        <v>0</v>
      </c>
      <c r="BA110" t="b">
        <v>0</v>
      </c>
      <c r="BB110" t="s">
        <v>270</v>
      </c>
      <c r="BC110" t="s">
        <v>270</v>
      </c>
      <c r="BD110" t="s">
        <v>270</v>
      </c>
      <c r="BE110" t="s">
        <v>1775</v>
      </c>
      <c r="BF110" t="s">
        <v>1776</v>
      </c>
      <c r="BG110" t="s">
        <v>1777</v>
      </c>
      <c r="BH110" t="s">
        <v>1804</v>
      </c>
      <c r="BI110" t="s">
        <v>1790</v>
      </c>
      <c r="BJ110" t="b">
        <v>0</v>
      </c>
      <c r="BK110" t="b">
        <v>1</v>
      </c>
      <c r="BL110" t="b">
        <v>0</v>
      </c>
      <c r="BM110" t="b">
        <v>0</v>
      </c>
      <c r="BN110" t="b">
        <v>0</v>
      </c>
      <c r="BO110" t="b">
        <v>0</v>
      </c>
      <c r="BP110">
        <v>2</v>
      </c>
      <c r="BQ110">
        <v>13</v>
      </c>
      <c r="BR110">
        <v>0</v>
      </c>
      <c r="BS110">
        <v>0</v>
      </c>
      <c r="BT110" t="b">
        <v>1</v>
      </c>
      <c r="BV110">
        <v>12</v>
      </c>
      <c r="BW110">
        <v>5100</v>
      </c>
      <c r="BX110">
        <v>0</v>
      </c>
      <c r="BY110" t="s">
        <v>270</v>
      </c>
      <c r="BZ110" t="s">
        <v>270</v>
      </c>
      <c r="CA110" t="s">
        <v>270</v>
      </c>
      <c r="CB110" t="s">
        <v>273</v>
      </c>
      <c r="CC110" t="s">
        <v>1787</v>
      </c>
      <c r="CD110" t="s">
        <v>1781</v>
      </c>
      <c r="CE110" t="s">
        <v>1795</v>
      </c>
      <c r="CF110" t="s">
        <v>1783</v>
      </c>
      <c r="CG110">
        <f t="shared" si="5"/>
        <v>538.903076171875</v>
      </c>
      <c r="CH110">
        <f t="shared" si="6"/>
        <v>10246</v>
      </c>
      <c r="CI110">
        <f t="shared" si="7"/>
        <v>2</v>
      </c>
      <c r="CJ110">
        <f t="shared" si="8"/>
        <v>5521600.9184570312</v>
      </c>
      <c r="CK110">
        <f t="shared" si="9"/>
        <v>1077.80615234375</v>
      </c>
    </row>
    <row r="111" spans="1:89">
      <c r="A111">
        <v>22536</v>
      </c>
      <c r="B111" t="s">
        <v>1770</v>
      </c>
      <c r="C111">
        <v>100.59523773193401</v>
      </c>
      <c r="D111" t="s">
        <v>1802</v>
      </c>
      <c r="E111">
        <v>1975</v>
      </c>
      <c r="F111" t="s">
        <v>1890</v>
      </c>
      <c r="G111" t="s">
        <v>170</v>
      </c>
      <c r="H111">
        <v>97062</v>
      </c>
      <c r="I111" t="s">
        <v>1854</v>
      </c>
      <c r="J111" t="s">
        <v>1826</v>
      </c>
      <c r="K111" t="s">
        <v>1774</v>
      </c>
      <c r="L111">
        <v>75</v>
      </c>
      <c r="M111">
        <v>3</v>
      </c>
      <c r="N111">
        <v>0</v>
      </c>
      <c r="O111">
        <v>3</v>
      </c>
      <c r="P111">
        <v>0</v>
      </c>
      <c r="Q111">
        <v>92509</v>
      </c>
      <c r="R111">
        <v>92509</v>
      </c>
      <c r="S111">
        <v>11607</v>
      </c>
      <c r="T111">
        <v>0</v>
      </c>
      <c r="U111">
        <v>3</v>
      </c>
      <c r="V111">
        <v>51</v>
      </c>
      <c r="W111">
        <v>21</v>
      </c>
      <c r="X111">
        <v>0</v>
      </c>
      <c r="Y111">
        <v>5</v>
      </c>
      <c r="Z111" t="b">
        <v>0</v>
      </c>
      <c r="AA111" t="b">
        <v>1</v>
      </c>
      <c r="AB111">
        <v>8</v>
      </c>
      <c r="AC111">
        <v>152533.65625</v>
      </c>
      <c r="AD111">
        <v>586965.4375</v>
      </c>
      <c r="AE111">
        <v>739499.125</v>
      </c>
      <c r="AH111">
        <v>887.92816162109398</v>
      </c>
      <c r="AI111">
        <v>2611963.75</v>
      </c>
      <c r="AJ111" t="s">
        <v>270</v>
      </c>
      <c r="AK111">
        <v>0</v>
      </c>
      <c r="AL111">
        <v>0</v>
      </c>
      <c r="AM111">
        <v>20</v>
      </c>
      <c r="AN111">
        <v>0</v>
      </c>
      <c r="AO111">
        <v>27</v>
      </c>
      <c r="AP111">
        <v>3</v>
      </c>
      <c r="AQ111">
        <v>0</v>
      </c>
      <c r="AR111">
        <v>19</v>
      </c>
      <c r="AS111">
        <v>31</v>
      </c>
      <c r="AT111" t="b">
        <v>1</v>
      </c>
      <c r="AU111">
        <v>1</v>
      </c>
      <c r="AV111">
        <v>1</v>
      </c>
      <c r="AW111">
        <v>2</v>
      </c>
      <c r="AX111" t="b">
        <v>0</v>
      </c>
      <c r="AY111" t="b">
        <v>0</v>
      </c>
      <c r="AZ111" t="b">
        <v>1</v>
      </c>
      <c r="BA111" t="b">
        <v>0</v>
      </c>
      <c r="BB111" t="s">
        <v>270</v>
      </c>
      <c r="BC111" t="s">
        <v>270</v>
      </c>
      <c r="BD111" t="s">
        <v>273</v>
      </c>
      <c r="BE111" t="s">
        <v>1775</v>
      </c>
      <c r="BF111" t="s">
        <v>1776</v>
      </c>
      <c r="BG111" t="s">
        <v>1777</v>
      </c>
      <c r="BH111" t="s">
        <v>1804</v>
      </c>
      <c r="BI111" t="s">
        <v>1790</v>
      </c>
      <c r="BJ111" t="b">
        <v>1</v>
      </c>
      <c r="BK111" t="b">
        <v>1</v>
      </c>
      <c r="BL111" t="b">
        <v>1</v>
      </c>
      <c r="BM111" t="b">
        <v>0</v>
      </c>
      <c r="BN111" t="b">
        <v>0</v>
      </c>
      <c r="BO111" t="b">
        <v>0</v>
      </c>
      <c r="BP111">
        <v>3</v>
      </c>
      <c r="BQ111">
        <v>81</v>
      </c>
      <c r="BR111">
        <v>1</v>
      </c>
      <c r="BS111">
        <v>1</v>
      </c>
      <c r="BT111" t="b">
        <v>1</v>
      </c>
      <c r="BU111">
        <v>0</v>
      </c>
      <c r="BV111">
        <v>135</v>
      </c>
      <c r="BW111">
        <v>51236</v>
      </c>
      <c r="BX111">
        <v>1</v>
      </c>
      <c r="BY111" t="s">
        <v>273</v>
      </c>
      <c r="BZ111" t="s">
        <v>270</v>
      </c>
      <c r="CA111" t="s">
        <v>270</v>
      </c>
      <c r="CB111" t="s">
        <v>273</v>
      </c>
      <c r="CC111" t="s">
        <v>1787</v>
      </c>
      <c r="CD111" t="s">
        <v>1781</v>
      </c>
      <c r="CE111" t="s">
        <v>1801</v>
      </c>
      <c r="CF111" t="s">
        <v>1783</v>
      </c>
      <c r="CG111">
        <f t="shared" si="5"/>
        <v>100.59523773193401</v>
      </c>
      <c r="CH111">
        <f t="shared" si="6"/>
        <v>92509</v>
      </c>
      <c r="CI111">
        <f t="shared" si="7"/>
        <v>3</v>
      </c>
      <c r="CJ111">
        <f t="shared" si="8"/>
        <v>9305964.8473434821</v>
      </c>
      <c r="CK111">
        <f t="shared" si="9"/>
        <v>301.78571319580203</v>
      </c>
    </row>
    <row r="112" spans="1:89">
      <c r="A112">
        <v>22870</v>
      </c>
      <c r="B112" t="s">
        <v>1770</v>
      </c>
      <c r="C112">
        <v>471.54019165039102</v>
      </c>
      <c r="D112" t="s">
        <v>1802</v>
      </c>
      <c r="E112">
        <v>1979</v>
      </c>
      <c r="F112" t="s">
        <v>1895</v>
      </c>
      <c r="G112" t="s">
        <v>170</v>
      </c>
      <c r="H112">
        <v>97477</v>
      </c>
      <c r="I112" t="s">
        <v>1896</v>
      </c>
      <c r="K112" t="s">
        <v>1819</v>
      </c>
      <c r="L112">
        <v>16</v>
      </c>
      <c r="M112">
        <v>2</v>
      </c>
      <c r="N112">
        <v>0</v>
      </c>
      <c r="O112">
        <v>2</v>
      </c>
      <c r="P112">
        <v>0</v>
      </c>
      <c r="Q112">
        <v>14688</v>
      </c>
      <c r="R112">
        <v>14688</v>
      </c>
      <c r="S112">
        <v>0</v>
      </c>
      <c r="T112">
        <v>0</v>
      </c>
      <c r="U112">
        <v>0</v>
      </c>
      <c r="V112">
        <v>16</v>
      </c>
      <c r="W112">
        <v>0</v>
      </c>
      <c r="X112">
        <v>0</v>
      </c>
      <c r="Y112">
        <v>4</v>
      </c>
      <c r="Z112" t="b">
        <v>0</v>
      </c>
      <c r="AA112" t="b">
        <v>0</v>
      </c>
      <c r="AB112">
        <v>8</v>
      </c>
      <c r="AC112">
        <v>164387.84375</v>
      </c>
      <c r="AD112">
        <v>118590.4140625</v>
      </c>
      <c r="AE112">
        <v>282978.25</v>
      </c>
      <c r="AI112">
        <v>965521.8125</v>
      </c>
      <c r="AJ112" t="s">
        <v>270</v>
      </c>
      <c r="AK112">
        <v>0</v>
      </c>
      <c r="AL112">
        <v>49</v>
      </c>
      <c r="AM112">
        <v>0</v>
      </c>
      <c r="AN112">
        <v>0</v>
      </c>
      <c r="AO112">
        <v>0</v>
      </c>
      <c r="AP112">
        <v>0</v>
      </c>
      <c r="AQ112">
        <v>0</v>
      </c>
      <c r="AR112">
        <v>0</v>
      </c>
      <c r="AS112">
        <v>51</v>
      </c>
      <c r="AT112" t="b">
        <v>1</v>
      </c>
      <c r="AU112">
        <v>0</v>
      </c>
      <c r="AV112">
        <v>0</v>
      </c>
      <c r="AW112">
        <v>0</v>
      </c>
      <c r="AX112" t="b">
        <v>0</v>
      </c>
      <c r="AY112" t="b">
        <v>0</v>
      </c>
      <c r="AZ112" t="b">
        <v>0</v>
      </c>
      <c r="BA112" t="b">
        <v>0</v>
      </c>
      <c r="BB112" t="s">
        <v>270</v>
      </c>
      <c r="BC112" t="s">
        <v>270</v>
      </c>
      <c r="BD112" t="s">
        <v>270</v>
      </c>
      <c r="BE112" t="s">
        <v>1775</v>
      </c>
      <c r="BF112" t="s">
        <v>1776</v>
      </c>
      <c r="BG112" t="s">
        <v>1777</v>
      </c>
      <c r="BH112" t="s">
        <v>1804</v>
      </c>
      <c r="BI112" t="s">
        <v>1779</v>
      </c>
      <c r="BJ112" t="b">
        <v>0</v>
      </c>
      <c r="BK112" t="b">
        <v>1</v>
      </c>
      <c r="BL112" t="b">
        <v>0</v>
      </c>
      <c r="BM112" t="b">
        <v>0</v>
      </c>
      <c r="BN112" t="b">
        <v>0</v>
      </c>
      <c r="BO112" t="b">
        <v>0</v>
      </c>
      <c r="BP112">
        <v>8</v>
      </c>
      <c r="BQ112">
        <v>18</v>
      </c>
      <c r="BR112">
        <v>0</v>
      </c>
      <c r="BS112">
        <v>0</v>
      </c>
      <c r="BT112" t="b">
        <v>1</v>
      </c>
      <c r="BU112">
        <v>0</v>
      </c>
      <c r="BV112">
        <v>13</v>
      </c>
      <c r="BW112">
        <v>4896</v>
      </c>
      <c r="BX112">
        <v>1</v>
      </c>
      <c r="BY112" t="s">
        <v>273</v>
      </c>
      <c r="BZ112" t="s">
        <v>270</v>
      </c>
      <c r="CA112" t="s">
        <v>270</v>
      </c>
      <c r="CB112" t="s">
        <v>273</v>
      </c>
      <c r="CC112" t="s">
        <v>1787</v>
      </c>
      <c r="CD112" t="s">
        <v>1781</v>
      </c>
      <c r="CE112" t="s">
        <v>1782</v>
      </c>
      <c r="CF112" t="s">
        <v>1783</v>
      </c>
      <c r="CG112">
        <f t="shared" si="5"/>
        <v>471.54019165039102</v>
      </c>
      <c r="CH112">
        <f t="shared" si="6"/>
        <v>14688</v>
      </c>
      <c r="CI112">
        <f t="shared" si="7"/>
        <v>2</v>
      </c>
      <c r="CJ112">
        <f t="shared" si="8"/>
        <v>6925982.3349609431</v>
      </c>
      <c r="CK112">
        <f t="shared" si="9"/>
        <v>943.08038330078205</v>
      </c>
    </row>
    <row r="113" spans="1:89">
      <c r="A113">
        <v>22906</v>
      </c>
      <c r="B113" t="s">
        <v>1770</v>
      </c>
      <c r="C113">
        <v>628.72027587890602</v>
      </c>
      <c r="D113" t="s">
        <v>1808</v>
      </c>
      <c r="E113">
        <v>1998</v>
      </c>
      <c r="F113" t="s">
        <v>1862</v>
      </c>
      <c r="G113" t="s">
        <v>170</v>
      </c>
      <c r="H113">
        <v>97223</v>
      </c>
      <c r="I113" t="s">
        <v>1854</v>
      </c>
      <c r="K113" t="s">
        <v>1774</v>
      </c>
      <c r="L113">
        <v>12</v>
      </c>
      <c r="M113">
        <v>2</v>
      </c>
      <c r="N113">
        <v>0</v>
      </c>
      <c r="O113">
        <v>2</v>
      </c>
      <c r="P113">
        <v>0</v>
      </c>
      <c r="Q113">
        <v>11050</v>
      </c>
      <c r="R113">
        <v>11050</v>
      </c>
      <c r="S113">
        <v>0</v>
      </c>
      <c r="T113">
        <v>0</v>
      </c>
      <c r="U113">
        <v>0</v>
      </c>
      <c r="V113">
        <v>4</v>
      </c>
      <c r="W113">
        <v>8</v>
      </c>
      <c r="X113">
        <v>0</v>
      </c>
      <c r="Y113">
        <v>0</v>
      </c>
      <c r="Z113" t="b">
        <v>0</v>
      </c>
      <c r="AA113" t="b">
        <v>0</v>
      </c>
      <c r="AB113">
        <v>8</v>
      </c>
      <c r="AC113">
        <v>8261.927734375</v>
      </c>
      <c r="AD113">
        <v>94268.2890625</v>
      </c>
      <c r="AE113">
        <v>102530.21875</v>
      </c>
      <c r="AI113">
        <v>349833.09375</v>
      </c>
      <c r="AJ113" t="s">
        <v>270</v>
      </c>
      <c r="AK113">
        <v>0</v>
      </c>
      <c r="AL113">
        <v>63</v>
      </c>
      <c r="AM113">
        <v>0</v>
      </c>
      <c r="AN113">
        <v>0</v>
      </c>
      <c r="AO113">
        <v>0</v>
      </c>
      <c r="AP113">
        <v>0</v>
      </c>
      <c r="AQ113">
        <v>0</v>
      </c>
      <c r="AR113">
        <v>0</v>
      </c>
      <c r="AS113">
        <v>37</v>
      </c>
      <c r="AT113" t="b">
        <v>1</v>
      </c>
      <c r="AU113">
        <v>0</v>
      </c>
      <c r="AV113">
        <v>0</v>
      </c>
      <c r="AW113">
        <v>0</v>
      </c>
      <c r="AX113" t="b">
        <v>0</v>
      </c>
      <c r="AY113" t="b">
        <v>0</v>
      </c>
      <c r="AZ113" t="b">
        <v>0</v>
      </c>
      <c r="BA113" t="b">
        <v>0</v>
      </c>
      <c r="BB113" t="s">
        <v>270</v>
      </c>
      <c r="BC113" t="s">
        <v>270</v>
      </c>
      <c r="BD113" t="s">
        <v>270</v>
      </c>
      <c r="BE113" t="s">
        <v>1775</v>
      </c>
      <c r="BF113" t="s">
        <v>1776</v>
      </c>
      <c r="BG113" t="s">
        <v>1777</v>
      </c>
      <c r="BH113" t="s">
        <v>1778</v>
      </c>
      <c r="BI113" t="s">
        <v>1779</v>
      </c>
      <c r="BJ113" t="b">
        <v>0</v>
      </c>
      <c r="BK113" t="b">
        <v>1</v>
      </c>
      <c r="BL113" t="b">
        <v>0</v>
      </c>
      <c r="BM113" t="b">
        <v>0</v>
      </c>
      <c r="BN113" t="b">
        <v>0</v>
      </c>
      <c r="BO113" t="b">
        <v>0</v>
      </c>
      <c r="BP113">
        <v>4</v>
      </c>
      <c r="BQ113">
        <v>13</v>
      </c>
      <c r="BR113">
        <v>0</v>
      </c>
      <c r="BS113">
        <v>0</v>
      </c>
      <c r="BT113" t="b">
        <v>1</v>
      </c>
      <c r="BU113">
        <v>0</v>
      </c>
      <c r="BV113">
        <v>24</v>
      </c>
      <c r="BW113">
        <v>7100</v>
      </c>
      <c r="BX113">
        <v>1</v>
      </c>
      <c r="BY113" t="s">
        <v>273</v>
      </c>
      <c r="BZ113" t="s">
        <v>270</v>
      </c>
      <c r="CA113" t="s">
        <v>270</v>
      </c>
      <c r="CB113" t="s">
        <v>273</v>
      </c>
      <c r="CC113" t="s">
        <v>1787</v>
      </c>
      <c r="CD113" t="s">
        <v>1781</v>
      </c>
      <c r="CE113" t="s">
        <v>1782</v>
      </c>
      <c r="CF113" t="s">
        <v>1783</v>
      </c>
      <c r="CG113">
        <f t="shared" si="5"/>
        <v>628.72027587890602</v>
      </c>
      <c r="CH113">
        <f t="shared" si="6"/>
        <v>11050</v>
      </c>
      <c r="CI113">
        <f t="shared" si="7"/>
        <v>2</v>
      </c>
      <c r="CJ113">
        <f t="shared" si="8"/>
        <v>6947359.0484619113</v>
      </c>
      <c r="CK113">
        <f t="shared" si="9"/>
        <v>1257.440551757812</v>
      </c>
    </row>
    <row r="114" spans="1:89">
      <c r="A114">
        <v>23106</v>
      </c>
      <c r="B114" t="s">
        <v>1839</v>
      </c>
      <c r="C114">
        <v>123.68268585205099</v>
      </c>
      <c r="D114" t="s">
        <v>1806</v>
      </c>
      <c r="E114">
        <v>2009</v>
      </c>
      <c r="F114" t="s">
        <v>1881</v>
      </c>
      <c r="G114" t="s">
        <v>169</v>
      </c>
      <c r="H114">
        <v>98402</v>
      </c>
      <c r="I114" t="s">
        <v>1773</v>
      </c>
      <c r="J114" t="s">
        <v>1785</v>
      </c>
      <c r="K114" t="s">
        <v>1774</v>
      </c>
      <c r="L114">
        <v>61</v>
      </c>
      <c r="M114">
        <v>6</v>
      </c>
      <c r="N114">
        <v>0.5</v>
      </c>
      <c r="O114">
        <v>7</v>
      </c>
      <c r="P114">
        <v>0</v>
      </c>
      <c r="Q114">
        <v>100564</v>
      </c>
      <c r="R114">
        <v>93639</v>
      </c>
      <c r="S114">
        <v>9757</v>
      </c>
      <c r="T114">
        <v>0</v>
      </c>
      <c r="U114">
        <v>5</v>
      </c>
      <c r="V114">
        <v>34</v>
      </c>
      <c r="W114">
        <v>22</v>
      </c>
      <c r="X114">
        <v>0</v>
      </c>
      <c r="Y114">
        <v>2</v>
      </c>
      <c r="Z114" t="b">
        <v>1</v>
      </c>
      <c r="AA114" t="b">
        <v>1</v>
      </c>
      <c r="AB114">
        <v>11.75</v>
      </c>
      <c r="AC114">
        <v>547141.625</v>
      </c>
      <c r="AD114">
        <v>550538.6875</v>
      </c>
      <c r="AE114">
        <v>1097680.25</v>
      </c>
      <c r="AH114">
        <v>7386.88623046875</v>
      </c>
      <c r="AI114">
        <v>4483973.5</v>
      </c>
      <c r="AJ114" t="s">
        <v>270</v>
      </c>
      <c r="AK114">
        <v>6925</v>
      </c>
      <c r="AL114">
        <v>36</v>
      </c>
      <c r="AM114">
        <v>1</v>
      </c>
      <c r="AN114">
        <v>13</v>
      </c>
      <c r="AO114">
        <v>1</v>
      </c>
      <c r="AP114">
        <v>19</v>
      </c>
      <c r="AQ114">
        <v>0</v>
      </c>
      <c r="AR114">
        <v>0</v>
      </c>
      <c r="AS114">
        <v>36</v>
      </c>
      <c r="AT114" t="b">
        <v>1</v>
      </c>
      <c r="AU114">
        <v>0</v>
      </c>
      <c r="AV114">
        <v>0</v>
      </c>
      <c r="AW114">
        <v>1</v>
      </c>
      <c r="AX114" t="b">
        <v>1</v>
      </c>
      <c r="AY114" t="b">
        <v>1</v>
      </c>
      <c r="AZ114" t="b">
        <v>0</v>
      </c>
      <c r="BA114" t="b">
        <v>0</v>
      </c>
      <c r="BB114" t="s">
        <v>270</v>
      </c>
      <c r="BC114" t="s">
        <v>273</v>
      </c>
      <c r="BD114" t="s">
        <v>273</v>
      </c>
      <c r="BE114" t="s">
        <v>1897</v>
      </c>
      <c r="BF114" t="s">
        <v>1776</v>
      </c>
      <c r="BG114" t="s">
        <v>1814</v>
      </c>
      <c r="BH114" t="s">
        <v>1898</v>
      </c>
      <c r="BI114" t="s">
        <v>1790</v>
      </c>
      <c r="BJ114" t="b">
        <v>1</v>
      </c>
      <c r="BK114" t="b">
        <v>1</v>
      </c>
      <c r="BL114" t="b">
        <v>1</v>
      </c>
      <c r="BM114" t="b">
        <v>0</v>
      </c>
      <c r="BN114" t="b">
        <v>0</v>
      </c>
      <c r="BO114" t="b">
        <v>0</v>
      </c>
      <c r="BP114">
        <v>8</v>
      </c>
      <c r="BQ114">
        <v>66</v>
      </c>
      <c r="BR114">
        <v>1</v>
      </c>
      <c r="BS114">
        <v>1</v>
      </c>
      <c r="BT114" t="b">
        <v>1</v>
      </c>
      <c r="BU114">
        <v>50</v>
      </c>
      <c r="BV114">
        <v>121</v>
      </c>
      <c r="BW114">
        <v>16506</v>
      </c>
      <c r="BX114">
        <v>2.5</v>
      </c>
      <c r="BY114" t="s">
        <v>273</v>
      </c>
      <c r="BZ114" t="s">
        <v>270</v>
      </c>
      <c r="CA114" t="s">
        <v>270</v>
      </c>
      <c r="CB114" t="s">
        <v>270</v>
      </c>
      <c r="CC114" t="s">
        <v>1780</v>
      </c>
      <c r="CD114" t="s">
        <v>1828</v>
      </c>
      <c r="CE114" t="s">
        <v>1801</v>
      </c>
      <c r="CF114" t="s">
        <v>1829</v>
      </c>
      <c r="CG114" t="str">
        <f t="shared" si="5"/>
        <v/>
      </c>
      <c r="CH114" t="str">
        <f t="shared" si="6"/>
        <v/>
      </c>
      <c r="CI114" t="str">
        <f t="shared" si="7"/>
        <v/>
      </c>
      <c r="CJ114" t="str">
        <f t="shared" si="8"/>
        <v/>
      </c>
      <c r="CK114" t="str">
        <f t="shared" si="9"/>
        <v/>
      </c>
    </row>
    <row r="115" spans="1:89">
      <c r="A115">
        <v>23425</v>
      </c>
      <c r="B115" t="s">
        <v>1770</v>
      </c>
      <c r="C115">
        <v>754.46429443359398</v>
      </c>
      <c r="D115" t="s">
        <v>1792</v>
      </c>
      <c r="E115">
        <v>1968</v>
      </c>
      <c r="F115" t="s">
        <v>1872</v>
      </c>
      <c r="G115" t="s">
        <v>170</v>
      </c>
      <c r="H115">
        <v>97005</v>
      </c>
      <c r="I115" t="s">
        <v>1854</v>
      </c>
      <c r="K115" t="s">
        <v>1774</v>
      </c>
      <c r="L115">
        <v>10</v>
      </c>
      <c r="M115">
        <v>2</v>
      </c>
      <c r="N115">
        <v>0</v>
      </c>
      <c r="O115">
        <v>2</v>
      </c>
      <c r="P115">
        <v>0</v>
      </c>
      <c r="Q115">
        <v>5480</v>
      </c>
      <c r="R115">
        <v>5480</v>
      </c>
      <c r="S115">
        <v>0</v>
      </c>
      <c r="T115">
        <v>0</v>
      </c>
      <c r="U115">
        <v>0</v>
      </c>
      <c r="V115">
        <v>1</v>
      </c>
      <c r="W115">
        <v>9</v>
      </c>
      <c r="X115">
        <v>0</v>
      </c>
      <c r="Y115">
        <v>0</v>
      </c>
      <c r="Z115" t="b">
        <v>0</v>
      </c>
      <c r="AA115" t="b">
        <v>0</v>
      </c>
      <c r="AB115">
        <v>9</v>
      </c>
      <c r="AC115">
        <v>14573.5458984375</v>
      </c>
      <c r="AD115">
        <v>51766.29296875</v>
      </c>
      <c r="AE115">
        <v>66339.8359375</v>
      </c>
      <c r="AI115">
        <v>226351.515625</v>
      </c>
      <c r="AJ115" t="s">
        <v>270</v>
      </c>
      <c r="AK115">
        <v>0</v>
      </c>
      <c r="AL115">
        <v>30</v>
      </c>
      <c r="AM115">
        <v>0</v>
      </c>
      <c r="AN115">
        <v>0</v>
      </c>
      <c r="AO115">
        <v>0</v>
      </c>
      <c r="AP115">
        <v>6</v>
      </c>
      <c r="AQ115">
        <v>0</v>
      </c>
      <c r="AR115">
        <v>0</v>
      </c>
      <c r="AS115">
        <v>64</v>
      </c>
      <c r="AT115" t="b">
        <v>1</v>
      </c>
      <c r="AU115">
        <v>0</v>
      </c>
      <c r="AV115">
        <v>0</v>
      </c>
      <c r="AW115">
        <v>0</v>
      </c>
      <c r="AX115" t="b">
        <v>0</v>
      </c>
      <c r="AY115" t="b">
        <v>0</v>
      </c>
      <c r="AZ115" t="b">
        <v>0</v>
      </c>
      <c r="BA115" t="b">
        <v>0</v>
      </c>
      <c r="BB115" t="s">
        <v>270</v>
      </c>
      <c r="BC115" t="s">
        <v>270</v>
      </c>
      <c r="BD115" t="s">
        <v>270</v>
      </c>
      <c r="BE115" t="s">
        <v>1775</v>
      </c>
      <c r="BF115" t="s">
        <v>1776</v>
      </c>
      <c r="BG115" t="s">
        <v>1777</v>
      </c>
      <c r="BH115" t="s">
        <v>1804</v>
      </c>
      <c r="BI115" t="s">
        <v>1779</v>
      </c>
      <c r="BJ115" t="b">
        <v>0</v>
      </c>
      <c r="BK115" t="b">
        <v>1</v>
      </c>
      <c r="BL115" t="b">
        <v>0</v>
      </c>
      <c r="BM115" t="b">
        <v>0</v>
      </c>
      <c r="BN115" t="b">
        <v>0</v>
      </c>
      <c r="BO115" t="b">
        <v>0</v>
      </c>
      <c r="BP115">
        <v>1</v>
      </c>
      <c r="BQ115">
        <v>10</v>
      </c>
      <c r="BR115">
        <v>0</v>
      </c>
      <c r="BS115">
        <v>0</v>
      </c>
      <c r="BT115" t="b">
        <v>1</v>
      </c>
      <c r="BU115">
        <v>0</v>
      </c>
      <c r="BV115">
        <v>14</v>
      </c>
      <c r="BW115">
        <v>5950</v>
      </c>
      <c r="BX115">
        <v>0</v>
      </c>
      <c r="BY115" t="s">
        <v>270</v>
      </c>
      <c r="BZ115" t="s">
        <v>270</v>
      </c>
      <c r="CA115" t="s">
        <v>270</v>
      </c>
      <c r="CB115" t="s">
        <v>273</v>
      </c>
      <c r="CC115" t="s">
        <v>1787</v>
      </c>
      <c r="CD115" t="s">
        <v>1781</v>
      </c>
      <c r="CE115" t="s">
        <v>1782</v>
      </c>
      <c r="CF115" t="s">
        <v>1783</v>
      </c>
      <c r="CG115">
        <f t="shared" si="5"/>
        <v>754.46429443359398</v>
      </c>
      <c r="CH115">
        <f t="shared" si="6"/>
        <v>5480</v>
      </c>
      <c r="CI115">
        <f t="shared" si="7"/>
        <v>2</v>
      </c>
      <c r="CJ115">
        <f t="shared" si="8"/>
        <v>4134464.3334960951</v>
      </c>
      <c r="CK115">
        <f t="shared" si="9"/>
        <v>1508.928588867188</v>
      </c>
    </row>
    <row r="116" spans="1:89">
      <c r="A116">
        <v>23531</v>
      </c>
      <c r="B116" t="s">
        <v>1770</v>
      </c>
      <c r="C116">
        <v>419.14685058593801</v>
      </c>
      <c r="D116" t="s">
        <v>1808</v>
      </c>
      <c r="E116">
        <v>1997</v>
      </c>
      <c r="F116" t="s">
        <v>1899</v>
      </c>
      <c r="G116" t="s">
        <v>169</v>
      </c>
      <c r="H116">
        <v>99206</v>
      </c>
      <c r="I116" t="s">
        <v>1861</v>
      </c>
      <c r="J116" t="s">
        <v>1861</v>
      </c>
      <c r="K116" t="s">
        <v>1774</v>
      </c>
      <c r="L116">
        <v>18</v>
      </c>
      <c r="M116">
        <v>3</v>
      </c>
      <c r="N116">
        <v>0</v>
      </c>
      <c r="O116">
        <v>3</v>
      </c>
      <c r="P116">
        <v>0</v>
      </c>
      <c r="Q116">
        <v>15192</v>
      </c>
      <c r="R116">
        <v>15192</v>
      </c>
      <c r="S116">
        <v>0</v>
      </c>
      <c r="T116">
        <v>0</v>
      </c>
      <c r="U116">
        <v>0</v>
      </c>
      <c r="V116">
        <v>18</v>
      </c>
      <c r="W116">
        <v>0</v>
      </c>
      <c r="X116">
        <v>0</v>
      </c>
      <c r="Y116">
        <v>5</v>
      </c>
      <c r="Z116" t="b">
        <v>0</v>
      </c>
      <c r="AA116" t="b">
        <v>0</v>
      </c>
      <c r="AB116">
        <v>7.5</v>
      </c>
      <c r="AJ116" t="s">
        <v>270</v>
      </c>
      <c r="AK116">
        <v>0</v>
      </c>
      <c r="AL116">
        <v>0</v>
      </c>
      <c r="AM116">
        <v>0</v>
      </c>
      <c r="AN116">
        <v>38</v>
      </c>
      <c r="AO116">
        <v>0</v>
      </c>
      <c r="AP116">
        <v>62</v>
      </c>
      <c r="AQ116">
        <v>0</v>
      </c>
      <c r="AR116">
        <v>0</v>
      </c>
      <c r="AS116">
        <v>0</v>
      </c>
      <c r="AT116" t="b">
        <v>1</v>
      </c>
      <c r="AU116">
        <v>0</v>
      </c>
      <c r="AV116">
        <v>0</v>
      </c>
      <c r="AW116">
        <v>0</v>
      </c>
      <c r="AX116" t="b">
        <v>0</v>
      </c>
      <c r="AY116" t="b">
        <v>0</v>
      </c>
      <c r="AZ116" t="b">
        <v>0</v>
      </c>
      <c r="BA116" t="b">
        <v>0</v>
      </c>
      <c r="BB116" t="s">
        <v>270</v>
      </c>
      <c r="BC116" t="s">
        <v>270</v>
      </c>
      <c r="BD116" t="s">
        <v>270</v>
      </c>
      <c r="BE116" t="s">
        <v>1775</v>
      </c>
      <c r="BF116" t="s">
        <v>1776</v>
      </c>
      <c r="BG116" t="s">
        <v>1777</v>
      </c>
      <c r="BH116" t="s">
        <v>1804</v>
      </c>
      <c r="BI116" t="s">
        <v>1779</v>
      </c>
      <c r="BJ116" t="b">
        <v>1</v>
      </c>
      <c r="BK116" t="b">
        <v>1</v>
      </c>
      <c r="BL116" t="b">
        <v>1</v>
      </c>
      <c r="BM116" t="b">
        <v>0</v>
      </c>
      <c r="BN116" t="b">
        <v>0</v>
      </c>
      <c r="BO116" t="b">
        <v>0</v>
      </c>
      <c r="BP116">
        <v>25</v>
      </c>
      <c r="BQ116">
        <v>142</v>
      </c>
      <c r="BR116">
        <v>1</v>
      </c>
      <c r="BS116">
        <v>1</v>
      </c>
      <c r="BT116" t="b">
        <v>1</v>
      </c>
      <c r="BU116">
        <v>0</v>
      </c>
      <c r="BV116">
        <v>18</v>
      </c>
      <c r="BW116">
        <v>7455</v>
      </c>
      <c r="BX116">
        <v>1</v>
      </c>
      <c r="BY116" t="s">
        <v>273</v>
      </c>
      <c r="BZ116" t="s">
        <v>270</v>
      </c>
      <c r="CA116" t="s">
        <v>270</v>
      </c>
      <c r="CB116" t="s">
        <v>273</v>
      </c>
      <c r="CC116" t="s">
        <v>1780</v>
      </c>
      <c r="CD116" t="s">
        <v>1781</v>
      </c>
      <c r="CE116" t="s">
        <v>1782</v>
      </c>
      <c r="CF116" t="s">
        <v>1783</v>
      </c>
      <c r="CG116">
        <f t="shared" si="5"/>
        <v>419.14685058593801</v>
      </c>
      <c r="CH116">
        <f t="shared" si="6"/>
        <v>15192</v>
      </c>
      <c r="CI116">
        <f t="shared" si="7"/>
        <v>3</v>
      </c>
      <c r="CJ116">
        <f t="shared" si="8"/>
        <v>6367678.95410157</v>
      </c>
      <c r="CK116">
        <f t="shared" si="9"/>
        <v>1257.4405517578141</v>
      </c>
    </row>
    <row r="117" spans="1:89">
      <c r="A117">
        <v>23623</v>
      </c>
      <c r="B117" t="s">
        <v>1770</v>
      </c>
      <c r="C117">
        <v>314.36013793945301</v>
      </c>
      <c r="D117" t="s">
        <v>1802</v>
      </c>
      <c r="E117">
        <v>1976</v>
      </c>
      <c r="F117" t="s">
        <v>1858</v>
      </c>
      <c r="G117" t="s">
        <v>169</v>
      </c>
      <c r="H117">
        <v>98661</v>
      </c>
      <c r="I117" t="s">
        <v>1859</v>
      </c>
      <c r="J117" t="s">
        <v>1826</v>
      </c>
      <c r="K117" t="s">
        <v>1774</v>
      </c>
      <c r="L117">
        <v>24</v>
      </c>
      <c r="M117">
        <v>3</v>
      </c>
      <c r="N117">
        <v>0</v>
      </c>
      <c r="O117">
        <v>2.5</v>
      </c>
      <c r="P117">
        <v>0</v>
      </c>
      <c r="Q117">
        <v>12876</v>
      </c>
      <c r="R117">
        <v>12876</v>
      </c>
      <c r="S117">
        <v>0</v>
      </c>
      <c r="T117">
        <v>0</v>
      </c>
      <c r="U117">
        <v>0</v>
      </c>
      <c r="V117">
        <v>0</v>
      </c>
      <c r="W117">
        <v>24</v>
      </c>
      <c r="X117">
        <v>0</v>
      </c>
      <c r="Y117">
        <v>0</v>
      </c>
      <c r="Z117" t="b">
        <v>0</v>
      </c>
      <c r="AA117" t="b">
        <v>0</v>
      </c>
      <c r="AB117">
        <v>8</v>
      </c>
      <c r="AC117">
        <v>2185.93090820313</v>
      </c>
      <c r="AD117">
        <v>134733.28125</v>
      </c>
      <c r="AE117">
        <v>136919.21875</v>
      </c>
      <c r="AJ117" t="s">
        <v>270</v>
      </c>
      <c r="AK117">
        <v>0</v>
      </c>
      <c r="AL117">
        <v>57</v>
      </c>
      <c r="AM117">
        <v>0</v>
      </c>
      <c r="AN117">
        <v>0</v>
      </c>
      <c r="AO117">
        <v>0</v>
      </c>
      <c r="AP117">
        <v>0</v>
      </c>
      <c r="AQ117">
        <v>0</v>
      </c>
      <c r="AR117">
        <v>0</v>
      </c>
      <c r="AS117">
        <v>43</v>
      </c>
      <c r="AT117" t="b">
        <v>0</v>
      </c>
      <c r="AU117">
        <v>0</v>
      </c>
      <c r="AV117">
        <v>0</v>
      </c>
      <c r="AW117">
        <v>0</v>
      </c>
      <c r="AX117" t="b">
        <v>0</v>
      </c>
      <c r="AY117" t="b">
        <v>0</v>
      </c>
      <c r="AZ117" t="b">
        <v>0</v>
      </c>
      <c r="BA117" t="b">
        <v>0</v>
      </c>
      <c r="BB117" t="s">
        <v>270</v>
      </c>
      <c r="BC117" t="s">
        <v>270</v>
      </c>
      <c r="BD117" t="s">
        <v>270</v>
      </c>
      <c r="BE117" t="s">
        <v>1775</v>
      </c>
      <c r="BF117" t="s">
        <v>1776</v>
      </c>
      <c r="BG117" t="s">
        <v>1777</v>
      </c>
      <c r="BH117" t="s">
        <v>1778</v>
      </c>
      <c r="BI117" t="s">
        <v>1779</v>
      </c>
      <c r="BJ117" t="b">
        <v>1</v>
      </c>
      <c r="BK117" t="b">
        <v>1</v>
      </c>
      <c r="BL117" t="b">
        <v>0</v>
      </c>
      <c r="BM117" t="b">
        <v>0</v>
      </c>
      <c r="BN117" t="b">
        <v>0</v>
      </c>
      <c r="BO117" t="b">
        <v>0</v>
      </c>
      <c r="BP117">
        <v>3</v>
      </c>
      <c r="BQ117">
        <v>25</v>
      </c>
      <c r="BR117">
        <v>0</v>
      </c>
      <c r="BS117">
        <v>0</v>
      </c>
      <c r="BT117" t="b">
        <v>1</v>
      </c>
      <c r="BV117">
        <v>27</v>
      </c>
      <c r="BW117">
        <v>11475</v>
      </c>
      <c r="BX117">
        <v>0</v>
      </c>
      <c r="BY117" t="s">
        <v>270</v>
      </c>
      <c r="BZ117" t="s">
        <v>270</v>
      </c>
      <c r="CA117" t="s">
        <v>270</v>
      </c>
      <c r="CB117" t="s">
        <v>273</v>
      </c>
      <c r="CC117" t="s">
        <v>1780</v>
      </c>
      <c r="CD117" t="s">
        <v>1781</v>
      </c>
      <c r="CE117" t="s">
        <v>1782</v>
      </c>
      <c r="CF117" t="s">
        <v>1783</v>
      </c>
      <c r="CG117">
        <f t="shared" si="5"/>
        <v>314.36013793945301</v>
      </c>
      <c r="CH117">
        <f t="shared" si="6"/>
        <v>12876</v>
      </c>
      <c r="CI117">
        <f t="shared" si="7"/>
        <v>3</v>
      </c>
      <c r="CJ117">
        <f t="shared" si="8"/>
        <v>4047701.136108397</v>
      </c>
      <c r="CK117">
        <f t="shared" si="9"/>
        <v>943.08041381835903</v>
      </c>
    </row>
    <row r="118" spans="1:89">
      <c r="A118">
        <v>23681</v>
      </c>
      <c r="B118" t="s">
        <v>1770</v>
      </c>
      <c r="C118">
        <v>943.08038330078102</v>
      </c>
      <c r="D118" t="s">
        <v>1771</v>
      </c>
      <c r="E118">
        <v>1990</v>
      </c>
      <c r="F118" t="s">
        <v>1880</v>
      </c>
      <c r="G118" t="s">
        <v>170</v>
      </c>
      <c r="H118">
        <v>97504</v>
      </c>
      <c r="I118" t="s">
        <v>1875</v>
      </c>
      <c r="J118" t="s">
        <v>1861</v>
      </c>
      <c r="K118" t="s">
        <v>1774</v>
      </c>
      <c r="L118">
        <v>8</v>
      </c>
      <c r="M118">
        <v>2</v>
      </c>
      <c r="N118">
        <v>0</v>
      </c>
      <c r="O118">
        <v>2</v>
      </c>
      <c r="P118">
        <v>0</v>
      </c>
      <c r="Q118">
        <v>10048</v>
      </c>
      <c r="R118">
        <v>10048</v>
      </c>
      <c r="S118">
        <v>0</v>
      </c>
      <c r="T118">
        <v>0</v>
      </c>
      <c r="U118">
        <v>0</v>
      </c>
      <c r="V118">
        <v>8</v>
      </c>
      <c r="W118">
        <v>0</v>
      </c>
      <c r="X118">
        <v>0</v>
      </c>
      <c r="Y118">
        <v>0</v>
      </c>
      <c r="Z118" t="b">
        <v>0</v>
      </c>
      <c r="AA118" t="b">
        <v>0</v>
      </c>
      <c r="AB118">
        <v>8</v>
      </c>
      <c r="AC118">
        <v>7206.7763671875</v>
      </c>
      <c r="AD118">
        <v>66956.8671875</v>
      </c>
      <c r="AE118">
        <v>74163.640625</v>
      </c>
      <c r="AJ118" t="s">
        <v>270</v>
      </c>
      <c r="AK118">
        <v>0</v>
      </c>
      <c r="AL118">
        <v>24</v>
      </c>
      <c r="AM118">
        <v>0</v>
      </c>
      <c r="AN118">
        <v>26</v>
      </c>
      <c r="AO118">
        <v>0</v>
      </c>
      <c r="AP118">
        <v>26</v>
      </c>
      <c r="AQ118">
        <v>0</v>
      </c>
      <c r="AR118">
        <v>0</v>
      </c>
      <c r="AS118">
        <v>24</v>
      </c>
      <c r="AT118" t="b">
        <v>1</v>
      </c>
      <c r="AU118">
        <v>0</v>
      </c>
      <c r="AV118">
        <v>0</v>
      </c>
      <c r="AW118">
        <v>0</v>
      </c>
      <c r="AX118" t="b">
        <v>0</v>
      </c>
      <c r="AY118" t="b">
        <v>0</v>
      </c>
      <c r="AZ118" t="b">
        <v>0</v>
      </c>
      <c r="BA118" t="b">
        <v>0</v>
      </c>
      <c r="BB118" t="s">
        <v>270</v>
      </c>
      <c r="BC118" t="s">
        <v>270</v>
      </c>
      <c r="BD118" t="s">
        <v>273</v>
      </c>
      <c r="BE118" t="s">
        <v>1900</v>
      </c>
      <c r="BF118" t="s">
        <v>1776</v>
      </c>
      <c r="BG118" t="s">
        <v>1777</v>
      </c>
      <c r="BH118" t="s">
        <v>1811</v>
      </c>
      <c r="BI118" t="s">
        <v>1779</v>
      </c>
      <c r="BJ118" t="b">
        <v>1</v>
      </c>
      <c r="BK118" t="b">
        <v>1</v>
      </c>
      <c r="BL118" t="b">
        <v>0</v>
      </c>
      <c r="BM118" t="b">
        <v>0</v>
      </c>
      <c r="BN118" t="b">
        <v>0</v>
      </c>
      <c r="BO118" t="b">
        <v>0</v>
      </c>
      <c r="BP118">
        <v>4</v>
      </c>
      <c r="BQ118">
        <v>10</v>
      </c>
      <c r="BR118">
        <v>0</v>
      </c>
      <c r="BS118">
        <v>0</v>
      </c>
      <c r="BT118" t="b">
        <v>1</v>
      </c>
      <c r="BU118">
        <v>0</v>
      </c>
      <c r="BV118">
        <v>14</v>
      </c>
      <c r="BW118">
        <v>3469</v>
      </c>
      <c r="BX118">
        <v>1</v>
      </c>
      <c r="BY118" t="s">
        <v>273</v>
      </c>
      <c r="BZ118" t="s">
        <v>270</v>
      </c>
      <c r="CA118" t="s">
        <v>273</v>
      </c>
      <c r="CB118" t="s">
        <v>273</v>
      </c>
      <c r="CC118" t="s">
        <v>1780</v>
      </c>
      <c r="CD118" t="s">
        <v>1781</v>
      </c>
      <c r="CE118" t="s">
        <v>1782</v>
      </c>
      <c r="CF118" t="s">
        <v>1783</v>
      </c>
      <c r="CG118">
        <f t="shared" si="5"/>
        <v>943.08038330078102</v>
      </c>
      <c r="CH118">
        <f t="shared" si="6"/>
        <v>10048</v>
      </c>
      <c r="CI118">
        <f t="shared" si="7"/>
        <v>2</v>
      </c>
      <c r="CJ118">
        <f t="shared" si="8"/>
        <v>9476071.6914062481</v>
      </c>
      <c r="CK118">
        <f t="shared" si="9"/>
        <v>1886.160766601562</v>
      </c>
    </row>
    <row r="119" spans="1:89">
      <c r="A119">
        <v>23685</v>
      </c>
      <c r="B119" t="s">
        <v>1770</v>
      </c>
      <c r="C119">
        <v>754.46429443359398</v>
      </c>
      <c r="D119" t="s">
        <v>1802</v>
      </c>
      <c r="E119">
        <v>1979</v>
      </c>
      <c r="F119" t="s">
        <v>1901</v>
      </c>
      <c r="G119" t="s">
        <v>170</v>
      </c>
      <c r="H119">
        <v>97367</v>
      </c>
      <c r="I119" t="s">
        <v>1875</v>
      </c>
      <c r="J119" t="s">
        <v>1826</v>
      </c>
      <c r="K119" t="s">
        <v>1774</v>
      </c>
      <c r="L119">
        <v>10</v>
      </c>
      <c r="M119">
        <v>2</v>
      </c>
      <c r="N119">
        <v>0</v>
      </c>
      <c r="O119">
        <v>2</v>
      </c>
      <c r="P119">
        <v>0</v>
      </c>
      <c r="Q119">
        <v>8400</v>
      </c>
      <c r="R119">
        <v>8400</v>
      </c>
      <c r="S119">
        <v>0</v>
      </c>
      <c r="T119">
        <v>0</v>
      </c>
      <c r="U119">
        <v>2</v>
      </c>
      <c r="V119">
        <v>8</v>
      </c>
      <c r="W119">
        <v>0</v>
      </c>
      <c r="X119">
        <v>0</v>
      </c>
      <c r="Y119">
        <v>10</v>
      </c>
      <c r="Z119" t="b">
        <v>0</v>
      </c>
      <c r="AA119" t="b">
        <v>0</v>
      </c>
      <c r="AB119">
        <v>7.6599998474121103</v>
      </c>
      <c r="AD119">
        <v>78153.4609375</v>
      </c>
      <c r="AE119">
        <v>78153.4609375</v>
      </c>
      <c r="AH119">
        <v>579.93786621093795</v>
      </c>
      <c r="AI119">
        <v>324653.40625</v>
      </c>
      <c r="AJ119" t="s">
        <v>270</v>
      </c>
      <c r="AK119">
        <v>0</v>
      </c>
      <c r="AL119">
        <v>32</v>
      </c>
      <c r="AM119">
        <v>0</v>
      </c>
      <c r="AN119">
        <v>3</v>
      </c>
      <c r="AO119">
        <v>0</v>
      </c>
      <c r="AP119">
        <v>3</v>
      </c>
      <c r="AQ119">
        <v>0</v>
      </c>
      <c r="AR119">
        <v>0</v>
      </c>
      <c r="AS119">
        <v>62</v>
      </c>
      <c r="AT119" t="b">
        <v>1</v>
      </c>
      <c r="AU119">
        <v>0</v>
      </c>
      <c r="AV119">
        <v>0</v>
      </c>
      <c r="AX119" t="b">
        <v>0</v>
      </c>
      <c r="AY119" t="b">
        <v>0</v>
      </c>
      <c r="AZ119" t="b">
        <v>0</v>
      </c>
      <c r="BA119" t="b">
        <v>0</v>
      </c>
      <c r="BB119" t="s">
        <v>270</v>
      </c>
      <c r="BC119" t="s">
        <v>270</v>
      </c>
      <c r="BD119" t="s">
        <v>270</v>
      </c>
      <c r="BE119" t="s">
        <v>1775</v>
      </c>
      <c r="BF119" t="s">
        <v>1776</v>
      </c>
      <c r="BG119" t="s">
        <v>1777</v>
      </c>
      <c r="BH119" t="s">
        <v>1778</v>
      </c>
      <c r="BI119" t="s">
        <v>1779</v>
      </c>
      <c r="BJ119" t="b">
        <v>1</v>
      </c>
      <c r="BK119" t="b">
        <v>1</v>
      </c>
      <c r="BL119" t="b">
        <v>1</v>
      </c>
      <c r="BM119" t="b">
        <v>0</v>
      </c>
      <c r="BN119" t="b">
        <v>0</v>
      </c>
      <c r="BO119" t="b">
        <v>0</v>
      </c>
      <c r="BP119">
        <v>5</v>
      </c>
      <c r="BQ119">
        <v>11</v>
      </c>
      <c r="BR119">
        <v>1</v>
      </c>
      <c r="BS119">
        <v>1</v>
      </c>
      <c r="BT119" t="b">
        <v>1</v>
      </c>
      <c r="BU119">
        <v>40</v>
      </c>
      <c r="BV119">
        <v>12</v>
      </c>
      <c r="BW119">
        <v>5100</v>
      </c>
      <c r="BX119">
        <v>0</v>
      </c>
      <c r="BY119" t="s">
        <v>270</v>
      </c>
      <c r="BZ119" t="s">
        <v>270</v>
      </c>
      <c r="CA119" t="s">
        <v>270</v>
      </c>
      <c r="CB119" t="s">
        <v>273</v>
      </c>
      <c r="CC119" t="s">
        <v>1780</v>
      </c>
      <c r="CD119" t="s">
        <v>1781</v>
      </c>
      <c r="CE119" t="s">
        <v>1782</v>
      </c>
      <c r="CF119" t="s">
        <v>1783</v>
      </c>
      <c r="CG119">
        <f t="shared" si="5"/>
        <v>754.46429443359398</v>
      </c>
      <c r="CH119">
        <f t="shared" si="6"/>
        <v>8400</v>
      </c>
      <c r="CI119">
        <f t="shared" si="7"/>
        <v>2</v>
      </c>
      <c r="CJ119">
        <f t="shared" si="8"/>
        <v>6337500.0732421894</v>
      </c>
      <c r="CK119">
        <f t="shared" si="9"/>
        <v>1508.928588867188</v>
      </c>
    </row>
    <row r="120" spans="1:89">
      <c r="A120">
        <v>23800</v>
      </c>
      <c r="B120" t="s">
        <v>1770</v>
      </c>
      <c r="C120">
        <v>188.61607360839801</v>
      </c>
      <c r="D120" t="s">
        <v>1792</v>
      </c>
      <c r="E120">
        <v>1964</v>
      </c>
      <c r="F120" t="s">
        <v>1878</v>
      </c>
      <c r="G120" t="s">
        <v>172</v>
      </c>
      <c r="H120">
        <v>59601</v>
      </c>
      <c r="I120" t="s">
        <v>1879</v>
      </c>
      <c r="J120" t="s">
        <v>1879</v>
      </c>
      <c r="K120" t="s">
        <v>1774</v>
      </c>
      <c r="L120">
        <v>40</v>
      </c>
      <c r="M120">
        <v>3</v>
      </c>
      <c r="N120">
        <v>0</v>
      </c>
      <c r="O120">
        <v>3</v>
      </c>
      <c r="P120">
        <v>0</v>
      </c>
      <c r="Q120">
        <v>32024</v>
      </c>
      <c r="R120">
        <v>32024</v>
      </c>
      <c r="S120">
        <v>4599</v>
      </c>
      <c r="T120">
        <v>0</v>
      </c>
      <c r="U120">
        <v>0</v>
      </c>
      <c r="V120">
        <v>12</v>
      </c>
      <c r="W120">
        <v>27</v>
      </c>
      <c r="X120">
        <v>1</v>
      </c>
      <c r="Y120">
        <v>10</v>
      </c>
      <c r="Z120" t="b">
        <v>0</v>
      </c>
      <c r="AA120" t="b">
        <v>1</v>
      </c>
      <c r="AB120">
        <v>8</v>
      </c>
      <c r="AH120">
        <v>13652.072265625</v>
      </c>
      <c r="AJ120" t="s">
        <v>270</v>
      </c>
      <c r="AK120">
        <v>0</v>
      </c>
      <c r="AL120">
        <v>40</v>
      </c>
      <c r="AM120">
        <v>0</v>
      </c>
      <c r="AN120">
        <v>10</v>
      </c>
      <c r="AO120">
        <v>0</v>
      </c>
      <c r="AP120">
        <v>10</v>
      </c>
      <c r="AQ120">
        <v>0</v>
      </c>
      <c r="AR120">
        <v>0</v>
      </c>
      <c r="AS120">
        <v>40</v>
      </c>
      <c r="AT120" t="b">
        <v>0</v>
      </c>
      <c r="AU120">
        <v>3</v>
      </c>
      <c r="AV120">
        <v>3</v>
      </c>
      <c r="AW120">
        <v>0</v>
      </c>
      <c r="AX120" t="b">
        <v>1</v>
      </c>
      <c r="AY120" t="b">
        <v>0</v>
      </c>
      <c r="AZ120" t="b">
        <v>0</v>
      </c>
      <c r="BA120" t="b">
        <v>0</v>
      </c>
      <c r="BB120" t="s">
        <v>273</v>
      </c>
      <c r="BC120" t="s">
        <v>270</v>
      </c>
      <c r="BD120" t="s">
        <v>270</v>
      </c>
      <c r="BE120" t="s">
        <v>1813</v>
      </c>
      <c r="BF120" t="s">
        <v>1810</v>
      </c>
      <c r="BG120" t="s">
        <v>1814</v>
      </c>
      <c r="BH120" t="s">
        <v>1902</v>
      </c>
      <c r="BI120" t="s">
        <v>1812</v>
      </c>
      <c r="BJ120" t="b">
        <v>1</v>
      </c>
      <c r="BK120" t="b">
        <v>1</v>
      </c>
      <c r="BL120" t="b">
        <v>1</v>
      </c>
      <c r="BM120" t="b">
        <v>0</v>
      </c>
      <c r="BN120" t="b">
        <v>0</v>
      </c>
      <c r="BO120" t="b">
        <v>0</v>
      </c>
      <c r="BP120">
        <v>1</v>
      </c>
      <c r="BQ120">
        <v>41</v>
      </c>
      <c r="BR120">
        <v>1</v>
      </c>
      <c r="BS120">
        <v>1</v>
      </c>
      <c r="BT120" t="b">
        <v>1</v>
      </c>
      <c r="BV120">
        <v>38</v>
      </c>
      <c r="BW120">
        <v>16150</v>
      </c>
      <c r="BX120">
        <v>0</v>
      </c>
      <c r="BY120" t="s">
        <v>270</v>
      </c>
      <c r="BZ120" t="s">
        <v>270</v>
      </c>
      <c r="CA120" t="s">
        <v>270</v>
      </c>
      <c r="CB120" t="s">
        <v>273</v>
      </c>
      <c r="CC120" t="s">
        <v>1855</v>
      </c>
      <c r="CD120" t="s">
        <v>1841</v>
      </c>
      <c r="CE120" t="s">
        <v>1824</v>
      </c>
      <c r="CF120" t="s">
        <v>1903</v>
      </c>
      <c r="CG120" t="str">
        <f t="shared" si="5"/>
        <v/>
      </c>
      <c r="CH120" t="str">
        <f t="shared" si="6"/>
        <v/>
      </c>
      <c r="CI120" t="str">
        <f t="shared" si="7"/>
        <v/>
      </c>
      <c r="CJ120" t="str">
        <f t="shared" si="8"/>
        <v/>
      </c>
      <c r="CK120" t="str">
        <f t="shared" si="9"/>
        <v/>
      </c>
    </row>
    <row r="121" spans="1:89">
      <c r="A121">
        <v>23899</v>
      </c>
      <c r="B121" t="s">
        <v>1770</v>
      </c>
      <c r="C121">
        <v>167.65873718261699</v>
      </c>
      <c r="D121" t="s">
        <v>1806</v>
      </c>
      <c r="E121">
        <v>2002</v>
      </c>
      <c r="F121" t="s">
        <v>1858</v>
      </c>
      <c r="G121" t="s">
        <v>169</v>
      </c>
      <c r="H121">
        <v>98665</v>
      </c>
      <c r="I121" t="s">
        <v>1859</v>
      </c>
      <c r="J121" t="s">
        <v>1826</v>
      </c>
      <c r="K121" t="s">
        <v>1774</v>
      </c>
      <c r="L121">
        <v>45</v>
      </c>
      <c r="M121">
        <v>3</v>
      </c>
      <c r="N121">
        <v>0</v>
      </c>
      <c r="O121">
        <v>3</v>
      </c>
      <c r="P121">
        <v>0</v>
      </c>
      <c r="Q121">
        <v>38165</v>
      </c>
      <c r="R121">
        <v>38165</v>
      </c>
      <c r="S121">
        <v>12400</v>
      </c>
      <c r="T121">
        <v>0</v>
      </c>
      <c r="U121">
        <v>0</v>
      </c>
      <c r="V121">
        <v>1</v>
      </c>
      <c r="W121">
        <v>44</v>
      </c>
      <c r="X121">
        <v>0</v>
      </c>
      <c r="Y121">
        <v>0</v>
      </c>
      <c r="Z121" t="b">
        <v>0</v>
      </c>
      <c r="AA121" t="b">
        <v>1</v>
      </c>
      <c r="AB121">
        <v>8</v>
      </c>
      <c r="AC121">
        <v>105824.8515625</v>
      </c>
      <c r="AD121">
        <v>147050.015625</v>
      </c>
      <c r="AE121">
        <v>252874.875</v>
      </c>
      <c r="AH121">
        <v>3406.1171875</v>
      </c>
      <c r="AI121">
        <v>1203420.75</v>
      </c>
      <c r="AJ121" t="s">
        <v>270</v>
      </c>
      <c r="AK121">
        <v>0</v>
      </c>
      <c r="AL121">
        <v>12</v>
      </c>
      <c r="AM121">
        <v>0</v>
      </c>
      <c r="AN121">
        <v>37</v>
      </c>
      <c r="AO121">
        <v>0</v>
      </c>
      <c r="AP121">
        <v>35</v>
      </c>
      <c r="AQ121">
        <v>0</v>
      </c>
      <c r="AR121">
        <v>0</v>
      </c>
      <c r="AS121">
        <v>16</v>
      </c>
      <c r="AT121" t="b">
        <v>0</v>
      </c>
      <c r="AU121">
        <v>3</v>
      </c>
      <c r="AV121">
        <v>3</v>
      </c>
      <c r="AW121">
        <v>1</v>
      </c>
      <c r="AX121" t="b">
        <v>0</v>
      </c>
      <c r="AY121" t="b">
        <v>1</v>
      </c>
      <c r="AZ121" t="b">
        <v>1</v>
      </c>
      <c r="BA121" t="b">
        <v>1</v>
      </c>
      <c r="BB121" t="s">
        <v>270</v>
      </c>
      <c r="BC121" t="s">
        <v>270</v>
      </c>
      <c r="BD121" t="s">
        <v>270</v>
      </c>
      <c r="BE121" t="s">
        <v>1775</v>
      </c>
      <c r="BF121" t="s">
        <v>1776</v>
      </c>
      <c r="BG121" t="s">
        <v>1777</v>
      </c>
      <c r="BH121" t="s">
        <v>1804</v>
      </c>
      <c r="BI121" t="s">
        <v>1847</v>
      </c>
      <c r="BJ121" t="b">
        <v>1</v>
      </c>
      <c r="BK121" t="b">
        <v>1</v>
      </c>
      <c r="BL121" t="b">
        <v>1</v>
      </c>
      <c r="BM121" t="b">
        <v>0</v>
      </c>
      <c r="BN121" t="b">
        <v>0</v>
      </c>
      <c r="BO121" t="b">
        <v>0</v>
      </c>
      <c r="BP121">
        <v>1</v>
      </c>
      <c r="BQ121">
        <v>46</v>
      </c>
      <c r="BR121">
        <v>1</v>
      </c>
      <c r="BS121">
        <v>1</v>
      </c>
      <c r="BT121" t="b">
        <v>1</v>
      </c>
      <c r="BV121">
        <v>45</v>
      </c>
      <c r="BW121">
        <v>19125</v>
      </c>
      <c r="BX121">
        <v>0</v>
      </c>
      <c r="BY121" t="s">
        <v>270</v>
      </c>
      <c r="BZ121" t="s">
        <v>270</v>
      </c>
      <c r="CA121" t="s">
        <v>270</v>
      </c>
      <c r="CB121" t="s">
        <v>273</v>
      </c>
      <c r="CC121" t="s">
        <v>1780</v>
      </c>
      <c r="CD121" t="s">
        <v>1781</v>
      </c>
      <c r="CE121" t="s">
        <v>1782</v>
      </c>
      <c r="CF121" t="s">
        <v>1783</v>
      </c>
      <c r="CG121">
        <f t="shared" si="5"/>
        <v>167.65873718261699</v>
      </c>
      <c r="CH121">
        <f t="shared" si="6"/>
        <v>38165</v>
      </c>
      <c r="CI121">
        <f t="shared" si="7"/>
        <v>3</v>
      </c>
      <c r="CJ121">
        <f t="shared" si="8"/>
        <v>6398695.7045745775</v>
      </c>
      <c r="CK121">
        <f t="shared" si="9"/>
        <v>502.97621154785099</v>
      </c>
    </row>
    <row r="122" spans="1:89">
      <c r="A122">
        <v>23996</v>
      </c>
      <c r="B122" t="s">
        <v>1839</v>
      </c>
      <c r="C122">
        <v>89.817184448242202</v>
      </c>
      <c r="D122" t="s">
        <v>1802</v>
      </c>
      <c r="E122">
        <v>1972</v>
      </c>
      <c r="F122" t="s">
        <v>1892</v>
      </c>
      <c r="G122" t="s">
        <v>169</v>
      </c>
      <c r="H122">
        <v>99201</v>
      </c>
      <c r="I122" t="s">
        <v>1861</v>
      </c>
      <c r="J122" t="s">
        <v>1861</v>
      </c>
      <c r="K122" t="s">
        <v>1774</v>
      </c>
      <c r="L122">
        <v>84</v>
      </c>
      <c r="M122">
        <v>8</v>
      </c>
      <c r="N122">
        <v>0</v>
      </c>
      <c r="O122">
        <v>8</v>
      </c>
      <c r="P122">
        <v>0</v>
      </c>
      <c r="Q122">
        <v>96545</v>
      </c>
      <c r="R122">
        <v>96545</v>
      </c>
      <c r="S122">
        <v>7060</v>
      </c>
      <c r="T122">
        <v>0</v>
      </c>
      <c r="U122">
        <v>0</v>
      </c>
      <c r="V122">
        <v>34</v>
      </c>
      <c r="W122">
        <v>50</v>
      </c>
      <c r="X122">
        <v>0</v>
      </c>
      <c r="Y122">
        <v>11</v>
      </c>
      <c r="Z122" t="b">
        <v>0</v>
      </c>
      <c r="AA122" t="b">
        <v>1</v>
      </c>
      <c r="AB122">
        <v>8</v>
      </c>
      <c r="AJ122" t="s">
        <v>270</v>
      </c>
      <c r="AK122">
        <v>0</v>
      </c>
      <c r="AL122">
        <v>15</v>
      </c>
      <c r="AM122">
        <v>0</v>
      </c>
      <c r="AN122">
        <v>35</v>
      </c>
      <c r="AO122">
        <v>0</v>
      </c>
      <c r="AP122">
        <v>35</v>
      </c>
      <c r="AQ122">
        <v>0</v>
      </c>
      <c r="AR122">
        <v>0</v>
      </c>
      <c r="AS122">
        <v>15</v>
      </c>
      <c r="AT122" t="b">
        <v>1</v>
      </c>
      <c r="AU122">
        <v>6</v>
      </c>
      <c r="AV122">
        <v>6</v>
      </c>
      <c r="AW122">
        <v>2</v>
      </c>
      <c r="AX122" t="b">
        <v>0</v>
      </c>
      <c r="AY122" t="b">
        <v>0</v>
      </c>
      <c r="AZ122" t="b">
        <v>0</v>
      </c>
      <c r="BA122" t="b">
        <v>1</v>
      </c>
      <c r="BB122" t="s">
        <v>270</v>
      </c>
      <c r="BC122" t="s">
        <v>270</v>
      </c>
      <c r="BD122" t="s">
        <v>273</v>
      </c>
      <c r="BE122" t="s">
        <v>1775</v>
      </c>
      <c r="BF122" t="s">
        <v>1776</v>
      </c>
      <c r="BG122" t="s">
        <v>1777</v>
      </c>
      <c r="BH122" t="s">
        <v>1804</v>
      </c>
      <c r="BI122" t="s">
        <v>1779</v>
      </c>
      <c r="BJ122" t="b">
        <v>1</v>
      </c>
      <c r="BK122" t="b">
        <v>1</v>
      </c>
      <c r="BL122" t="b">
        <v>1</v>
      </c>
      <c r="BM122" t="b">
        <v>0</v>
      </c>
      <c r="BN122" t="b">
        <v>0</v>
      </c>
      <c r="BO122" t="b">
        <v>0</v>
      </c>
      <c r="BP122">
        <v>1</v>
      </c>
      <c r="BQ122">
        <v>83</v>
      </c>
      <c r="BR122">
        <v>1</v>
      </c>
      <c r="BS122">
        <v>1</v>
      </c>
      <c r="BT122" t="b">
        <v>1</v>
      </c>
      <c r="BV122">
        <v>88</v>
      </c>
      <c r="BW122">
        <v>37400</v>
      </c>
      <c r="BX122">
        <v>0</v>
      </c>
      <c r="BY122" t="s">
        <v>270</v>
      </c>
      <c r="BZ122" t="s">
        <v>270</v>
      </c>
      <c r="CA122" t="s">
        <v>270</v>
      </c>
      <c r="CB122" t="s">
        <v>273</v>
      </c>
      <c r="CC122" t="s">
        <v>1855</v>
      </c>
      <c r="CD122" t="s">
        <v>1841</v>
      </c>
      <c r="CE122" t="s">
        <v>1782</v>
      </c>
      <c r="CF122" t="s">
        <v>1842</v>
      </c>
      <c r="CG122" t="str">
        <f t="shared" si="5"/>
        <v/>
      </c>
      <c r="CH122" t="str">
        <f t="shared" si="6"/>
        <v/>
      </c>
      <c r="CI122" t="str">
        <f t="shared" si="7"/>
        <v/>
      </c>
      <c r="CJ122" t="str">
        <f t="shared" si="8"/>
        <v/>
      </c>
      <c r="CK122" t="str">
        <f t="shared" si="9"/>
        <v/>
      </c>
    </row>
    <row r="123" spans="1:89">
      <c r="A123">
        <v>24009</v>
      </c>
      <c r="B123" t="s">
        <v>1770</v>
      </c>
      <c r="C123">
        <v>943.08038330078102</v>
      </c>
      <c r="D123" t="s">
        <v>1808</v>
      </c>
      <c r="E123">
        <v>1994</v>
      </c>
      <c r="F123" t="s">
        <v>1884</v>
      </c>
      <c r="G123" t="s">
        <v>171</v>
      </c>
      <c r="H123">
        <v>83705</v>
      </c>
      <c r="I123" t="s">
        <v>1885</v>
      </c>
      <c r="J123" t="s">
        <v>1886</v>
      </c>
      <c r="K123" t="s">
        <v>1774</v>
      </c>
      <c r="L123">
        <v>8</v>
      </c>
      <c r="M123">
        <v>2</v>
      </c>
      <c r="N123">
        <v>0</v>
      </c>
      <c r="O123">
        <v>2</v>
      </c>
      <c r="P123">
        <v>0</v>
      </c>
      <c r="Q123">
        <v>4112</v>
      </c>
      <c r="R123">
        <v>4112</v>
      </c>
      <c r="S123">
        <v>0</v>
      </c>
      <c r="T123">
        <v>0</v>
      </c>
      <c r="U123">
        <v>0</v>
      </c>
      <c r="V123">
        <v>0</v>
      </c>
      <c r="W123">
        <v>8</v>
      </c>
      <c r="X123">
        <v>0</v>
      </c>
      <c r="Y123">
        <v>0</v>
      </c>
      <c r="Z123" t="b">
        <v>0</v>
      </c>
      <c r="AA123" t="b">
        <v>0</v>
      </c>
      <c r="AB123">
        <v>8</v>
      </c>
      <c r="AD123">
        <v>33502.30078125</v>
      </c>
      <c r="AE123">
        <v>33502.30078125</v>
      </c>
      <c r="AJ123" t="s">
        <v>270</v>
      </c>
      <c r="AK123">
        <v>0</v>
      </c>
      <c r="AL123">
        <v>39</v>
      </c>
      <c r="AM123">
        <v>0</v>
      </c>
      <c r="AN123">
        <v>11</v>
      </c>
      <c r="AO123">
        <v>0</v>
      </c>
      <c r="AP123">
        <v>11</v>
      </c>
      <c r="AQ123">
        <v>0</v>
      </c>
      <c r="AR123">
        <v>0</v>
      </c>
      <c r="AS123">
        <v>39</v>
      </c>
      <c r="AT123" t="b">
        <v>1</v>
      </c>
      <c r="AU123">
        <v>0</v>
      </c>
      <c r="AV123">
        <v>0</v>
      </c>
      <c r="AW123">
        <v>0</v>
      </c>
      <c r="AX123" t="b">
        <v>0</v>
      </c>
      <c r="AY123" t="b">
        <v>0</v>
      </c>
      <c r="AZ123" t="b">
        <v>0</v>
      </c>
      <c r="BA123" t="b">
        <v>0</v>
      </c>
      <c r="BB123" t="s">
        <v>270</v>
      </c>
      <c r="BC123" t="s">
        <v>270</v>
      </c>
      <c r="BD123" t="s">
        <v>270</v>
      </c>
      <c r="BE123" t="s">
        <v>1827</v>
      </c>
      <c r="BF123" t="s">
        <v>1810</v>
      </c>
      <c r="BG123" t="s">
        <v>1777</v>
      </c>
      <c r="BH123" t="s">
        <v>1811</v>
      </c>
      <c r="BI123" t="s">
        <v>1779</v>
      </c>
      <c r="BJ123" t="b">
        <v>1</v>
      </c>
      <c r="BK123" t="b">
        <v>1</v>
      </c>
      <c r="BL123" t="b">
        <v>1</v>
      </c>
      <c r="BM123" t="b">
        <v>0</v>
      </c>
      <c r="BN123" t="b">
        <v>0</v>
      </c>
      <c r="BO123" t="b">
        <v>0</v>
      </c>
      <c r="BP123">
        <v>1</v>
      </c>
      <c r="BQ123">
        <v>9</v>
      </c>
      <c r="BR123">
        <v>4</v>
      </c>
      <c r="BS123">
        <v>8</v>
      </c>
      <c r="BT123" t="b">
        <v>1</v>
      </c>
      <c r="BU123">
        <v>0</v>
      </c>
      <c r="BV123">
        <v>15</v>
      </c>
      <c r="BW123">
        <v>6375</v>
      </c>
      <c r="BX123">
        <v>0</v>
      </c>
      <c r="BY123" t="s">
        <v>270</v>
      </c>
      <c r="BZ123" t="s">
        <v>270</v>
      </c>
      <c r="CA123" t="s">
        <v>270</v>
      </c>
      <c r="CB123" t="s">
        <v>273</v>
      </c>
      <c r="CC123" t="s">
        <v>1780</v>
      </c>
      <c r="CD123" t="s">
        <v>1781</v>
      </c>
      <c r="CE123" t="s">
        <v>1795</v>
      </c>
      <c r="CF123" t="s">
        <v>1783</v>
      </c>
      <c r="CG123" t="str">
        <f t="shared" si="5"/>
        <v/>
      </c>
      <c r="CH123" t="str">
        <f t="shared" si="6"/>
        <v/>
      </c>
      <c r="CI123" t="str">
        <f t="shared" si="7"/>
        <v/>
      </c>
      <c r="CJ123" t="str">
        <f t="shared" si="8"/>
        <v/>
      </c>
      <c r="CK123" t="str">
        <f t="shared" si="9"/>
        <v/>
      </c>
    </row>
    <row r="124" spans="1:89">
      <c r="A124">
        <v>24123</v>
      </c>
      <c r="B124" t="s">
        <v>1770</v>
      </c>
      <c r="C124">
        <v>1257.44055175781</v>
      </c>
      <c r="D124" t="s">
        <v>1822</v>
      </c>
      <c r="E124">
        <v>1900</v>
      </c>
      <c r="F124" t="s">
        <v>1904</v>
      </c>
      <c r="G124" t="s">
        <v>170</v>
      </c>
      <c r="H124">
        <v>97814</v>
      </c>
      <c r="I124" t="s">
        <v>1905</v>
      </c>
      <c r="J124" t="s">
        <v>1833</v>
      </c>
      <c r="K124" t="s">
        <v>1774</v>
      </c>
      <c r="L124">
        <v>6</v>
      </c>
      <c r="M124">
        <v>3</v>
      </c>
      <c r="N124">
        <v>0</v>
      </c>
      <c r="O124">
        <v>2</v>
      </c>
      <c r="P124">
        <v>0</v>
      </c>
      <c r="Q124">
        <v>5622</v>
      </c>
      <c r="R124">
        <v>5622</v>
      </c>
      <c r="S124">
        <v>0</v>
      </c>
      <c r="T124">
        <v>0</v>
      </c>
      <c r="U124">
        <v>0</v>
      </c>
      <c r="V124">
        <v>0</v>
      </c>
      <c r="W124">
        <v>4</v>
      </c>
      <c r="X124">
        <v>2</v>
      </c>
      <c r="Y124">
        <v>71</v>
      </c>
      <c r="Z124" t="b">
        <v>0</v>
      </c>
      <c r="AA124" t="b">
        <v>0</v>
      </c>
      <c r="AB124">
        <v>8.8000001907348597</v>
      </c>
      <c r="AH124">
        <v>1571.33642578125</v>
      </c>
      <c r="AJ124" t="s">
        <v>270</v>
      </c>
      <c r="AK124">
        <v>0</v>
      </c>
      <c r="AL124">
        <v>18</v>
      </c>
      <c r="AM124">
        <v>0</v>
      </c>
      <c r="AN124">
        <v>31</v>
      </c>
      <c r="AO124">
        <v>0</v>
      </c>
      <c r="AP124">
        <v>37</v>
      </c>
      <c r="AQ124">
        <v>0</v>
      </c>
      <c r="AR124">
        <v>0</v>
      </c>
      <c r="AS124">
        <v>14</v>
      </c>
      <c r="AT124" t="b">
        <v>1</v>
      </c>
      <c r="AU124">
        <v>0</v>
      </c>
      <c r="AV124">
        <v>0</v>
      </c>
      <c r="AW124">
        <v>0</v>
      </c>
      <c r="AX124" t="b">
        <v>1</v>
      </c>
      <c r="AY124" t="b">
        <v>0</v>
      </c>
      <c r="AZ124" t="b">
        <v>0</v>
      </c>
      <c r="BA124" t="b">
        <v>0</v>
      </c>
      <c r="BB124" t="s">
        <v>270</v>
      </c>
      <c r="BC124" t="s">
        <v>270</v>
      </c>
      <c r="BD124" t="s">
        <v>270</v>
      </c>
      <c r="BE124" t="s">
        <v>1906</v>
      </c>
      <c r="BF124" t="s">
        <v>1810</v>
      </c>
      <c r="BG124" t="s">
        <v>1814</v>
      </c>
      <c r="BH124" t="s">
        <v>1778</v>
      </c>
      <c r="BI124" t="s">
        <v>1848</v>
      </c>
      <c r="BJ124" t="b">
        <v>1</v>
      </c>
      <c r="BK124" t="b">
        <v>1</v>
      </c>
      <c r="BL124" t="b">
        <v>1</v>
      </c>
      <c r="BM124" t="b">
        <v>0</v>
      </c>
      <c r="BN124" t="b">
        <v>0</v>
      </c>
      <c r="BO124" t="b">
        <v>0</v>
      </c>
      <c r="BP124">
        <v>1</v>
      </c>
      <c r="BQ124">
        <v>1</v>
      </c>
      <c r="BR124">
        <v>1</v>
      </c>
      <c r="BS124">
        <v>1</v>
      </c>
      <c r="BT124" t="b">
        <v>0</v>
      </c>
      <c r="BV124">
        <v>0</v>
      </c>
      <c r="BW124">
        <v>0</v>
      </c>
      <c r="BX124">
        <v>0</v>
      </c>
      <c r="BY124" t="s">
        <v>270</v>
      </c>
      <c r="BZ124" t="s">
        <v>270</v>
      </c>
      <c r="CA124" t="s">
        <v>270</v>
      </c>
      <c r="CB124" t="s">
        <v>270</v>
      </c>
      <c r="CC124" t="s">
        <v>1787</v>
      </c>
      <c r="CD124" t="s">
        <v>1781</v>
      </c>
      <c r="CE124" t="s">
        <v>1865</v>
      </c>
      <c r="CF124" t="s">
        <v>1783</v>
      </c>
      <c r="CG124" t="str">
        <f t="shared" si="5"/>
        <v/>
      </c>
      <c r="CH124" t="str">
        <f t="shared" si="6"/>
        <v/>
      </c>
      <c r="CI124" t="str">
        <f t="shared" si="7"/>
        <v/>
      </c>
      <c r="CJ124" t="str">
        <f t="shared" si="8"/>
        <v/>
      </c>
      <c r="CK124" t="str">
        <f t="shared" si="9"/>
        <v/>
      </c>
    </row>
    <row r="125" spans="1:89">
      <c r="A125">
        <v>24139</v>
      </c>
      <c r="B125" t="s">
        <v>1770</v>
      </c>
      <c r="C125">
        <v>471.54019165039102</v>
      </c>
      <c r="D125" t="s">
        <v>1771</v>
      </c>
      <c r="E125">
        <v>1981</v>
      </c>
      <c r="F125" t="s">
        <v>1907</v>
      </c>
      <c r="G125" t="s">
        <v>170</v>
      </c>
      <c r="H125">
        <v>97330</v>
      </c>
      <c r="I125" t="s">
        <v>1875</v>
      </c>
      <c r="K125" t="s">
        <v>1774</v>
      </c>
      <c r="L125">
        <v>16</v>
      </c>
      <c r="M125">
        <v>2</v>
      </c>
      <c r="N125">
        <v>0</v>
      </c>
      <c r="O125">
        <v>2</v>
      </c>
      <c r="P125">
        <v>0</v>
      </c>
      <c r="Q125">
        <v>14560</v>
      </c>
      <c r="R125">
        <v>14560</v>
      </c>
      <c r="S125">
        <v>88</v>
      </c>
      <c r="T125">
        <v>0</v>
      </c>
      <c r="U125">
        <v>0</v>
      </c>
      <c r="V125">
        <v>16</v>
      </c>
      <c r="W125">
        <v>0</v>
      </c>
      <c r="X125">
        <v>0</v>
      </c>
      <c r="Y125">
        <v>0</v>
      </c>
      <c r="Z125" t="b">
        <v>0</v>
      </c>
      <c r="AA125" t="b">
        <v>1</v>
      </c>
      <c r="AB125">
        <v>8</v>
      </c>
      <c r="AC125">
        <v>20222.9765625</v>
      </c>
      <c r="AD125">
        <v>110400.640625</v>
      </c>
      <c r="AE125">
        <v>130623.6171875</v>
      </c>
      <c r="AI125">
        <v>445687.78125</v>
      </c>
      <c r="AJ125" t="s">
        <v>270</v>
      </c>
      <c r="AK125">
        <v>0</v>
      </c>
      <c r="AL125">
        <v>50</v>
      </c>
      <c r="AM125">
        <v>0</v>
      </c>
      <c r="AN125">
        <v>0</v>
      </c>
      <c r="AO125">
        <v>0</v>
      </c>
      <c r="AP125">
        <v>0</v>
      </c>
      <c r="AQ125">
        <v>0</v>
      </c>
      <c r="AR125">
        <v>0</v>
      </c>
      <c r="AS125">
        <v>50</v>
      </c>
      <c r="AT125" t="b">
        <v>1</v>
      </c>
      <c r="AU125">
        <v>2</v>
      </c>
      <c r="AV125">
        <v>2</v>
      </c>
      <c r="AW125">
        <v>0</v>
      </c>
      <c r="AX125" t="b">
        <v>0</v>
      </c>
      <c r="AY125" t="b">
        <v>0</v>
      </c>
      <c r="AZ125" t="b">
        <v>0</v>
      </c>
      <c r="BA125" t="b">
        <v>0</v>
      </c>
      <c r="BB125" t="s">
        <v>270</v>
      </c>
      <c r="BC125" t="s">
        <v>270</v>
      </c>
      <c r="BD125" t="s">
        <v>270</v>
      </c>
      <c r="BE125" t="s">
        <v>1775</v>
      </c>
      <c r="BF125" t="s">
        <v>1776</v>
      </c>
      <c r="BG125" t="s">
        <v>1777</v>
      </c>
      <c r="BH125" t="s">
        <v>1778</v>
      </c>
      <c r="BI125" t="s">
        <v>1790</v>
      </c>
      <c r="BJ125" t="b">
        <v>0</v>
      </c>
      <c r="BK125" t="b">
        <v>1</v>
      </c>
      <c r="BL125" t="b">
        <v>0</v>
      </c>
      <c r="BM125" t="b">
        <v>0</v>
      </c>
      <c r="BN125" t="b">
        <v>0</v>
      </c>
      <c r="BO125" t="b">
        <v>0</v>
      </c>
      <c r="BP125">
        <v>9</v>
      </c>
      <c r="BQ125">
        <v>18</v>
      </c>
      <c r="BR125">
        <v>0</v>
      </c>
      <c r="BS125">
        <v>0</v>
      </c>
      <c r="BT125" t="b">
        <v>1</v>
      </c>
      <c r="BU125">
        <v>0</v>
      </c>
      <c r="BV125">
        <v>14</v>
      </c>
      <c r="BW125">
        <v>5950</v>
      </c>
      <c r="BX125">
        <v>0</v>
      </c>
      <c r="BY125" t="s">
        <v>270</v>
      </c>
      <c r="BZ125" t="s">
        <v>270</v>
      </c>
      <c r="CA125" t="s">
        <v>270</v>
      </c>
      <c r="CB125" t="s">
        <v>273</v>
      </c>
      <c r="CC125" t="s">
        <v>1787</v>
      </c>
      <c r="CD125" t="s">
        <v>1781</v>
      </c>
      <c r="CE125" t="s">
        <v>1795</v>
      </c>
      <c r="CF125" t="s">
        <v>1783</v>
      </c>
      <c r="CG125">
        <f t="shared" si="5"/>
        <v>471.54019165039102</v>
      </c>
      <c r="CH125">
        <f t="shared" si="6"/>
        <v>14560</v>
      </c>
      <c r="CI125">
        <f t="shared" si="7"/>
        <v>2</v>
      </c>
      <c r="CJ125">
        <f t="shared" si="8"/>
        <v>6865625.1904296931</v>
      </c>
      <c r="CK125">
        <f t="shared" si="9"/>
        <v>943.08038330078205</v>
      </c>
    </row>
    <row r="126" spans="1:89">
      <c r="A126">
        <v>24637</v>
      </c>
      <c r="B126" t="s">
        <v>1770</v>
      </c>
      <c r="C126">
        <v>209.57342529296901</v>
      </c>
      <c r="D126" t="s">
        <v>1802</v>
      </c>
      <c r="E126">
        <v>1972</v>
      </c>
      <c r="F126" t="s">
        <v>1884</v>
      </c>
      <c r="G126" t="s">
        <v>171</v>
      </c>
      <c r="H126">
        <v>83704</v>
      </c>
      <c r="I126" t="s">
        <v>1885</v>
      </c>
      <c r="J126" t="s">
        <v>1886</v>
      </c>
      <c r="K126" t="s">
        <v>1774</v>
      </c>
      <c r="L126">
        <v>36</v>
      </c>
      <c r="M126">
        <v>2</v>
      </c>
      <c r="N126">
        <v>0</v>
      </c>
      <c r="O126">
        <v>2</v>
      </c>
      <c r="P126">
        <v>0</v>
      </c>
      <c r="Q126">
        <v>31180</v>
      </c>
      <c r="R126">
        <v>31180</v>
      </c>
      <c r="S126">
        <v>672</v>
      </c>
      <c r="T126">
        <v>0</v>
      </c>
      <c r="U126">
        <v>0</v>
      </c>
      <c r="V126">
        <v>30</v>
      </c>
      <c r="W126">
        <v>6</v>
      </c>
      <c r="X126">
        <v>0</v>
      </c>
      <c r="Y126">
        <v>0</v>
      </c>
      <c r="Z126" t="b">
        <v>0</v>
      </c>
      <c r="AA126" t="b">
        <v>1</v>
      </c>
      <c r="AB126">
        <v>8</v>
      </c>
      <c r="AC126">
        <v>9745.0341796875</v>
      </c>
      <c r="AD126">
        <v>333279.125</v>
      </c>
      <c r="AE126">
        <v>343024.15625</v>
      </c>
      <c r="AH126">
        <v>3304.06640625</v>
      </c>
      <c r="AI126">
        <v>1500805</v>
      </c>
      <c r="AJ126" t="s">
        <v>270</v>
      </c>
      <c r="AK126">
        <v>0</v>
      </c>
      <c r="AL126">
        <v>24</v>
      </c>
      <c r="AM126">
        <v>0</v>
      </c>
      <c r="AN126">
        <v>23</v>
      </c>
      <c r="AO126">
        <v>0</v>
      </c>
      <c r="AP126">
        <v>29</v>
      </c>
      <c r="AQ126">
        <v>0</v>
      </c>
      <c r="AR126">
        <v>0</v>
      </c>
      <c r="AS126">
        <v>24</v>
      </c>
      <c r="AT126" t="b">
        <v>0</v>
      </c>
      <c r="AU126">
        <v>3</v>
      </c>
      <c r="AV126">
        <v>3</v>
      </c>
      <c r="AW126">
        <v>0</v>
      </c>
      <c r="AX126" t="b">
        <v>0</v>
      </c>
      <c r="AY126" t="b">
        <v>0</v>
      </c>
      <c r="AZ126" t="b">
        <v>1</v>
      </c>
      <c r="BA126" t="b">
        <v>0</v>
      </c>
      <c r="BB126" t="s">
        <v>270</v>
      </c>
      <c r="BC126" t="s">
        <v>270</v>
      </c>
      <c r="BD126" t="s">
        <v>270</v>
      </c>
      <c r="BE126" t="s">
        <v>1775</v>
      </c>
      <c r="BF126" t="s">
        <v>1776</v>
      </c>
      <c r="BG126" t="s">
        <v>1777</v>
      </c>
      <c r="BH126" t="s">
        <v>1804</v>
      </c>
      <c r="BI126" t="s">
        <v>1790</v>
      </c>
      <c r="BJ126" t="b">
        <v>1</v>
      </c>
      <c r="BK126" t="b">
        <v>1</v>
      </c>
      <c r="BL126" t="b">
        <v>1</v>
      </c>
      <c r="BM126" t="b">
        <v>0</v>
      </c>
      <c r="BN126" t="b">
        <v>0</v>
      </c>
      <c r="BO126" t="b">
        <v>0</v>
      </c>
      <c r="BP126">
        <v>8</v>
      </c>
      <c r="BQ126">
        <v>40</v>
      </c>
      <c r="BR126">
        <v>0</v>
      </c>
      <c r="BS126">
        <v>0</v>
      </c>
      <c r="BT126" t="b">
        <v>1</v>
      </c>
      <c r="BU126">
        <v>0</v>
      </c>
      <c r="BV126">
        <v>53</v>
      </c>
      <c r="BW126">
        <v>22525</v>
      </c>
      <c r="BX126">
        <v>0</v>
      </c>
      <c r="BY126" t="s">
        <v>270</v>
      </c>
      <c r="BZ126" t="s">
        <v>270</v>
      </c>
      <c r="CA126" t="s">
        <v>270</v>
      </c>
      <c r="CB126" t="s">
        <v>273</v>
      </c>
      <c r="CC126" t="s">
        <v>1787</v>
      </c>
      <c r="CD126" t="s">
        <v>1781</v>
      </c>
      <c r="CE126" t="s">
        <v>1795</v>
      </c>
      <c r="CF126" t="s">
        <v>1783</v>
      </c>
      <c r="CG126">
        <f t="shared" si="5"/>
        <v>209.57342529296901</v>
      </c>
      <c r="CH126">
        <f t="shared" si="6"/>
        <v>31180</v>
      </c>
      <c r="CI126">
        <f t="shared" si="7"/>
        <v>2</v>
      </c>
      <c r="CJ126">
        <f t="shared" si="8"/>
        <v>6534499.400634774</v>
      </c>
      <c r="CK126">
        <f t="shared" si="9"/>
        <v>419.14685058593801</v>
      </c>
    </row>
    <row r="127" spans="1:89">
      <c r="A127">
        <v>24802</v>
      </c>
      <c r="B127" t="s">
        <v>1770</v>
      </c>
      <c r="C127">
        <v>314.36013793945301</v>
      </c>
      <c r="D127" t="s">
        <v>1802</v>
      </c>
      <c r="E127">
        <v>1978</v>
      </c>
      <c r="F127" t="s">
        <v>1853</v>
      </c>
      <c r="G127" t="s">
        <v>170</v>
      </c>
      <c r="H127">
        <v>97230</v>
      </c>
      <c r="I127" t="s">
        <v>1854</v>
      </c>
      <c r="K127" t="s">
        <v>1774</v>
      </c>
      <c r="L127">
        <v>24</v>
      </c>
      <c r="M127">
        <v>3</v>
      </c>
      <c r="N127">
        <v>0</v>
      </c>
      <c r="O127">
        <v>3</v>
      </c>
      <c r="P127">
        <v>0</v>
      </c>
      <c r="Q127">
        <v>27456</v>
      </c>
      <c r="R127">
        <v>27456</v>
      </c>
      <c r="S127">
        <v>0</v>
      </c>
      <c r="T127">
        <v>0</v>
      </c>
      <c r="U127">
        <v>0</v>
      </c>
      <c r="V127">
        <v>18</v>
      </c>
      <c r="W127">
        <v>6</v>
      </c>
      <c r="X127">
        <v>0</v>
      </c>
      <c r="Y127">
        <v>8</v>
      </c>
      <c r="Z127" t="b">
        <v>0</v>
      </c>
      <c r="AA127" t="b">
        <v>0</v>
      </c>
      <c r="AB127">
        <v>8</v>
      </c>
      <c r="AC127">
        <v>43115.1953125</v>
      </c>
      <c r="AD127">
        <v>186263.84375</v>
      </c>
      <c r="AE127">
        <v>229379.03125</v>
      </c>
      <c r="AI127">
        <v>782641.25</v>
      </c>
      <c r="AJ127" t="s">
        <v>270</v>
      </c>
      <c r="AK127">
        <v>0</v>
      </c>
      <c r="AL127">
        <v>0</v>
      </c>
      <c r="AM127">
        <v>0</v>
      </c>
      <c r="AN127">
        <v>35</v>
      </c>
      <c r="AO127">
        <v>0</v>
      </c>
      <c r="AP127">
        <v>63</v>
      </c>
      <c r="AQ127">
        <v>0</v>
      </c>
      <c r="AR127">
        <v>0</v>
      </c>
      <c r="AS127">
        <v>2</v>
      </c>
      <c r="AT127" t="b">
        <v>1</v>
      </c>
      <c r="AU127">
        <v>0</v>
      </c>
      <c r="AV127">
        <v>0</v>
      </c>
      <c r="AW127">
        <v>0</v>
      </c>
      <c r="AX127" t="b">
        <v>0</v>
      </c>
      <c r="AY127" t="b">
        <v>0</v>
      </c>
      <c r="AZ127" t="b">
        <v>0</v>
      </c>
      <c r="BA127" t="b">
        <v>0</v>
      </c>
      <c r="BB127" t="s">
        <v>270</v>
      </c>
      <c r="BC127" t="s">
        <v>270</v>
      </c>
      <c r="BD127" t="s">
        <v>270</v>
      </c>
      <c r="BE127" t="s">
        <v>1775</v>
      </c>
      <c r="BF127" t="s">
        <v>1776</v>
      </c>
      <c r="BG127" t="s">
        <v>1777</v>
      </c>
      <c r="BH127" t="s">
        <v>1778</v>
      </c>
      <c r="BI127" t="s">
        <v>1779</v>
      </c>
      <c r="BJ127" t="b">
        <v>0</v>
      </c>
      <c r="BK127" t="b">
        <v>1</v>
      </c>
      <c r="BL127" t="b">
        <v>0</v>
      </c>
      <c r="BM127" t="b">
        <v>0</v>
      </c>
      <c r="BN127" t="b">
        <v>0</v>
      </c>
      <c r="BO127" t="b">
        <v>0</v>
      </c>
      <c r="BP127">
        <v>11</v>
      </c>
      <c r="BQ127">
        <v>146</v>
      </c>
      <c r="BR127">
        <v>0</v>
      </c>
      <c r="BS127">
        <v>0</v>
      </c>
      <c r="BT127" t="b">
        <v>1</v>
      </c>
      <c r="BU127">
        <v>0</v>
      </c>
      <c r="BV127">
        <v>36</v>
      </c>
      <c r="BW127">
        <v>20855</v>
      </c>
      <c r="BX127">
        <v>1</v>
      </c>
      <c r="BY127" t="s">
        <v>273</v>
      </c>
      <c r="BZ127" t="s">
        <v>270</v>
      </c>
      <c r="CA127" t="s">
        <v>270</v>
      </c>
      <c r="CB127" t="s">
        <v>273</v>
      </c>
      <c r="CC127" t="s">
        <v>1780</v>
      </c>
      <c r="CD127" t="s">
        <v>1781</v>
      </c>
      <c r="CE127" t="s">
        <v>1782</v>
      </c>
      <c r="CF127" t="s">
        <v>1783</v>
      </c>
      <c r="CG127">
        <f t="shared" si="5"/>
        <v>314.36013793945301</v>
      </c>
      <c r="CH127">
        <f t="shared" si="6"/>
        <v>27456</v>
      </c>
      <c r="CI127">
        <f t="shared" si="7"/>
        <v>3</v>
      </c>
      <c r="CJ127">
        <f t="shared" si="8"/>
        <v>8631071.9472656213</v>
      </c>
      <c r="CK127">
        <f t="shared" si="9"/>
        <v>943.08041381835903</v>
      </c>
    </row>
    <row r="128" spans="1:89">
      <c r="A128">
        <v>29940</v>
      </c>
      <c r="B128" t="s">
        <v>1799</v>
      </c>
      <c r="C128">
        <v>21.904685974121101</v>
      </c>
      <c r="D128" t="s">
        <v>1802</v>
      </c>
      <c r="E128">
        <v>1980</v>
      </c>
      <c r="F128" t="s">
        <v>1788</v>
      </c>
      <c r="G128" t="s">
        <v>169</v>
      </c>
      <c r="H128">
        <v>98134</v>
      </c>
      <c r="I128" t="s">
        <v>1789</v>
      </c>
      <c r="K128" t="s">
        <v>1774</v>
      </c>
      <c r="L128">
        <v>50</v>
      </c>
      <c r="M128">
        <v>4</v>
      </c>
      <c r="N128">
        <v>0</v>
      </c>
      <c r="O128">
        <v>4</v>
      </c>
      <c r="P128">
        <v>0</v>
      </c>
      <c r="Q128">
        <v>58440</v>
      </c>
      <c r="R128">
        <v>58440</v>
      </c>
      <c r="S128">
        <v>1517</v>
      </c>
      <c r="T128">
        <v>0</v>
      </c>
      <c r="U128">
        <v>3</v>
      </c>
      <c r="V128">
        <v>47</v>
      </c>
      <c r="W128">
        <v>0</v>
      </c>
      <c r="X128">
        <v>0</v>
      </c>
      <c r="Y128">
        <v>6</v>
      </c>
      <c r="Z128" t="b">
        <v>0</v>
      </c>
      <c r="AA128" t="b">
        <v>1</v>
      </c>
      <c r="AC128">
        <v>19311.46875</v>
      </c>
      <c r="AD128">
        <v>442529.75</v>
      </c>
      <c r="AE128">
        <v>461841.21875</v>
      </c>
      <c r="AI128">
        <v>1575802.25</v>
      </c>
      <c r="AJ128" t="s">
        <v>270</v>
      </c>
      <c r="AK128">
        <v>0</v>
      </c>
      <c r="AL128">
        <v>13</v>
      </c>
      <c r="AM128">
        <v>0</v>
      </c>
      <c r="AN128">
        <v>31</v>
      </c>
      <c r="AO128">
        <v>0</v>
      </c>
      <c r="AP128">
        <v>13</v>
      </c>
      <c r="AQ128">
        <v>0</v>
      </c>
      <c r="AR128">
        <v>0</v>
      </c>
      <c r="AS128">
        <v>43</v>
      </c>
      <c r="AT128" t="b">
        <v>1</v>
      </c>
      <c r="AU128">
        <v>3</v>
      </c>
      <c r="AV128">
        <v>3</v>
      </c>
      <c r="AW128">
        <v>2</v>
      </c>
      <c r="AX128" t="b">
        <v>0</v>
      </c>
      <c r="AY128" t="b">
        <v>1</v>
      </c>
      <c r="AZ128" t="b">
        <v>1</v>
      </c>
      <c r="BA128" t="b">
        <v>0</v>
      </c>
      <c r="BB128" t="s">
        <v>270</v>
      </c>
      <c r="BC128" t="s">
        <v>270</v>
      </c>
      <c r="BD128" t="s">
        <v>270</v>
      </c>
      <c r="BE128" t="s">
        <v>1775</v>
      </c>
      <c r="BF128" t="s">
        <v>1776</v>
      </c>
      <c r="BG128" t="s">
        <v>1777</v>
      </c>
      <c r="BH128" t="s">
        <v>1804</v>
      </c>
      <c r="BI128" t="s">
        <v>1790</v>
      </c>
      <c r="BJ128" t="b">
        <v>0</v>
      </c>
      <c r="BK128" t="b">
        <v>1</v>
      </c>
      <c r="BL128" t="b">
        <v>0</v>
      </c>
      <c r="BM128" t="b">
        <v>0</v>
      </c>
      <c r="BN128" t="b">
        <v>0</v>
      </c>
      <c r="BO128" t="b">
        <v>0</v>
      </c>
      <c r="BP128">
        <v>2</v>
      </c>
      <c r="BQ128">
        <v>53</v>
      </c>
      <c r="BR128">
        <v>0</v>
      </c>
      <c r="BS128">
        <v>0</v>
      </c>
      <c r="BT128" t="b">
        <v>1</v>
      </c>
      <c r="BU128">
        <v>0</v>
      </c>
      <c r="BV128">
        <v>63</v>
      </c>
      <c r="BW128">
        <v>14485</v>
      </c>
      <c r="BX128">
        <v>0</v>
      </c>
      <c r="BY128" t="s">
        <v>270</v>
      </c>
      <c r="BZ128" t="s">
        <v>270</v>
      </c>
      <c r="CA128" t="s">
        <v>273</v>
      </c>
      <c r="CB128" t="s">
        <v>273</v>
      </c>
      <c r="CC128" t="s">
        <v>1787</v>
      </c>
      <c r="CD128" t="s">
        <v>1781</v>
      </c>
      <c r="CE128" t="s">
        <v>1782</v>
      </c>
      <c r="CF128" t="s">
        <v>1783</v>
      </c>
      <c r="CG128" t="str">
        <f t="shared" si="5"/>
        <v/>
      </c>
      <c r="CH128" t="str">
        <f t="shared" si="6"/>
        <v/>
      </c>
      <c r="CI128" t="str">
        <f t="shared" si="7"/>
        <v/>
      </c>
      <c r="CJ128" t="str">
        <f t="shared" si="8"/>
        <v/>
      </c>
      <c r="CK128" t="str">
        <f t="shared" si="9"/>
        <v/>
      </c>
    </row>
    <row r="129" spans="1:89">
      <c r="A129">
        <v>60022</v>
      </c>
      <c r="B129" t="s">
        <v>1770</v>
      </c>
      <c r="C129">
        <v>600.53796386718795</v>
      </c>
      <c r="D129" t="s">
        <v>1802</v>
      </c>
      <c r="E129">
        <v>1979</v>
      </c>
      <c r="F129" t="s">
        <v>1850</v>
      </c>
      <c r="G129" t="s">
        <v>169</v>
      </c>
      <c r="H129">
        <v>98503</v>
      </c>
      <c r="I129" t="s">
        <v>1785</v>
      </c>
      <c r="K129" t="s">
        <v>1774</v>
      </c>
      <c r="L129">
        <v>8</v>
      </c>
      <c r="M129">
        <v>2</v>
      </c>
      <c r="N129">
        <v>0</v>
      </c>
      <c r="O129">
        <v>2</v>
      </c>
      <c r="P129">
        <v>0</v>
      </c>
      <c r="Q129">
        <v>4700</v>
      </c>
      <c r="R129">
        <v>4700</v>
      </c>
      <c r="S129">
        <v>315</v>
      </c>
      <c r="T129">
        <v>0</v>
      </c>
      <c r="U129">
        <v>0</v>
      </c>
      <c r="V129">
        <v>0</v>
      </c>
      <c r="W129">
        <v>8</v>
      </c>
      <c r="X129">
        <v>0</v>
      </c>
      <c r="Y129">
        <v>0</v>
      </c>
      <c r="Z129" t="b">
        <v>0</v>
      </c>
      <c r="AA129" t="b">
        <v>1</v>
      </c>
      <c r="AB129">
        <v>7.75</v>
      </c>
      <c r="AC129">
        <v>6832.90087890625</v>
      </c>
      <c r="AD129">
        <v>51567.83984375</v>
      </c>
      <c r="AE129">
        <v>58400.7421875</v>
      </c>
      <c r="AI129">
        <v>199263.328125</v>
      </c>
      <c r="AJ129" t="s">
        <v>270</v>
      </c>
      <c r="AK129">
        <v>0</v>
      </c>
      <c r="AL129">
        <v>13</v>
      </c>
      <c r="AM129">
        <v>0</v>
      </c>
      <c r="AN129">
        <v>36</v>
      </c>
      <c r="AO129">
        <v>0</v>
      </c>
      <c r="AP129">
        <v>36</v>
      </c>
      <c r="AQ129">
        <v>0</v>
      </c>
      <c r="AR129">
        <v>0</v>
      </c>
      <c r="AS129">
        <v>13</v>
      </c>
      <c r="AT129" t="b">
        <v>1</v>
      </c>
      <c r="AU129">
        <v>3</v>
      </c>
      <c r="AV129">
        <v>3</v>
      </c>
      <c r="AW129">
        <v>0</v>
      </c>
      <c r="AX129" t="b">
        <v>0</v>
      </c>
      <c r="AY129" t="b">
        <v>0</v>
      </c>
      <c r="AZ129" t="b">
        <v>1</v>
      </c>
      <c r="BA129" t="b">
        <v>0</v>
      </c>
      <c r="BB129" t="s">
        <v>270</v>
      </c>
      <c r="BC129" t="s">
        <v>270</v>
      </c>
      <c r="BD129" t="s">
        <v>270</v>
      </c>
      <c r="BE129" t="s">
        <v>1775</v>
      </c>
      <c r="BF129" t="s">
        <v>1776</v>
      </c>
      <c r="BG129" t="s">
        <v>1777</v>
      </c>
      <c r="BH129" t="s">
        <v>1778</v>
      </c>
      <c r="BI129" t="s">
        <v>1790</v>
      </c>
      <c r="BJ129" t="b">
        <v>0</v>
      </c>
      <c r="BK129" t="b">
        <v>1</v>
      </c>
      <c r="BL129" t="b">
        <v>0</v>
      </c>
      <c r="BM129" t="b">
        <v>0</v>
      </c>
      <c r="BN129" t="b">
        <v>0</v>
      </c>
      <c r="BO129" t="b">
        <v>0</v>
      </c>
      <c r="BP129">
        <v>1</v>
      </c>
      <c r="BQ129">
        <v>9</v>
      </c>
      <c r="BR129">
        <v>0</v>
      </c>
      <c r="BS129">
        <v>0</v>
      </c>
      <c r="BT129" t="b">
        <v>1</v>
      </c>
      <c r="BU129">
        <v>25</v>
      </c>
      <c r="BV129">
        <v>8</v>
      </c>
      <c r="BW129">
        <v>3400</v>
      </c>
      <c r="BX129">
        <v>0</v>
      </c>
      <c r="BY129" t="s">
        <v>270</v>
      </c>
      <c r="BZ129" t="s">
        <v>270</v>
      </c>
      <c r="CA129" t="s">
        <v>270</v>
      </c>
      <c r="CB129" t="s">
        <v>273</v>
      </c>
      <c r="CC129" t="s">
        <v>1780</v>
      </c>
      <c r="CD129" t="s">
        <v>1781</v>
      </c>
      <c r="CE129" t="s">
        <v>1782</v>
      </c>
      <c r="CF129" t="s">
        <v>1783</v>
      </c>
      <c r="CG129">
        <f t="shared" si="5"/>
        <v>600.53796386718795</v>
      </c>
      <c r="CH129">
        <f t="shared" si="6"/>
        <v>4700</v>
      </c>
      <c r="CI129">
        <f t="shared" si="7"/>
        <v>2</v>
      </c>
      <c r="CJ129">
        <f t="shared" si="8"/>
        <v>2822528.4301757836</v>
      </c>
      <c r="CK129">
        <f t="shared" si="9"/>
        <v>1201.0759277343759</v>
      </c>
    </row>
    <row r="130" spans="1:89">
      <c r="A130">
        <v>60051</v>
      </c>
      <c r="B130" t="s">
        <v>1770</v>
      </c>
      <c r="C130">
        <v>960.86071777343795</v>
      </c>
      <c r="D130" t="s">
        <v>1771</v>
      </c>
      <c r="E130">
        <v>1989</v>
      </c>
      <c r="F130" t="s">
        <v>1807</v>
      </c>
      <c r="G130" t="s">
        <v>169</v>
      </c>
      <c r="H130">
        <v>98032</v>
      </c>
      <c r="I130" t="s">
        <v>1785</v>
      </c>
      <c r="J130" t="s">
        <v>1785</v>
      </c>
      <c r="K130" t="s">
        <v>1819</v>
      </c>
      <c r="L130">
        <v>5</v>
      </c>
      <c r="M130">
        <v>2</v>
      </c>
      <c r="N130">
        <v>0</v>
      </c>
      <c r="O130">
        <v>2</v>
      </c>
      <c r="P130">
        <v>0</v>
      </c>
      <c r="Q130">
        <v>5210</v>
      </c>
      <c r="R130">
        <v>5210</v>
      </c>
      <c r="S130">
        <v>0</v>
      </c>
      <c r="T130">
        <v>0</v>
      </c>
      <c r="U130">
        <v>0</v>
      </c>
      <c r="V130">
        <v>5</v>
      </c>
      <c r="W130">
        <v>0</v>
      </c>
      <c r="X130">
        <v>0</v>
      </c>
      <c r="Y130">
        <v>20</v>
      </c>
      <c r="Z130" t="b">
        <v>0</v>
      </c>
      <c r="AA130" t="b">
        <v>0</v>
      </c>
      <c r="AB130">
        <v>8</v>
      </c>
      <c r="AD130">
        <v>50388.2265625</v>
      </c>
      <c r="AE130">
        <v>50388.2265625</v>
      </c>
      <c r="AJ130" t="s">
        <v>270</v>
      </c>
      <c r="AK130">
        <v>0</v>
      </c>
      <c r="AL130">
        <v>0</v>
      </c>
      <c r="AM130">
        <v>34</v>
      </c>
      <c r="AN130">
        <v>0</v>
      </c>
      <c r="AO130">
        <v>7</v>
      </c>
      <c r="AP130">
        <v>0</v>
      </c>
      <c r="AQ130">
        <v>7</v>
      </c>
      <c r="AR130">
        <v>52</v>
      </c>
      <c r="AS130">
        <v>0</v>
      </c>
      <c r="AT130" t="b">
        <v>0</v>
      </c>
      <c r="AU130">
        <v>0</v>
      </c>
      <c r="AV130">
        <v>0</v>
      </c>
      <c r="AW130">
        <v>0</v>
      </c>
      <c r="AX130" t="b">
        <v>0</v>
      </c>
      <c r="AY130" t="b">
        <v>0</v>
      </c>
      <c r="AZ130" t="b">
        <v>0</v>
      </c>
      <c r="BA130" t="b">
        <v>0</v>
      </c>
      <c r="BB130" t="s">
        <v>270</v>
      </c>
      <c r="BC130" t="s">
        <v>270</v>
      </c>
      <c r="BD130" t="s">
        <v>270</v>
      </c>
      <c r="BE130" t="s">
        <v>1775</v>
      </c>
      <c r="BF130" t="s">
        <v>1776</v>
      </c>
      <c r="BG130" t="s">
        <v>1777</v>
      </c>
      <c r="BH130" t="s">
        <v>1804</v>
      </c>
      <c r="BI130" t="s">
        <v>1779</v>
      </c>
      <c r="BJ130" t="b">
        <v>1</v>
      </c>
      <c r="BK130" t="b">
        <v>1</v>
      </c>
      <c r="BL130" t="b">
        <v>0</v>
      </c>
      <c r="BM130" t="b">
        <v>0</v>
      </c>
      <c r="BN130" t="b">
        <v>0</v>
      </c>
      <c r="BO130" t="b">
        <v>0</v>
      </c>
      <c r="BP130">
        <v>2</v>
      </c>
      <c r="BQ130">
        <v>5</v>
      </c>
      <c r="BR130">
        <v>0</v>
      </c>
      <c r="BS130">
        <v>0</v>
      </c>
      <c r="BT130" t="b">
        <v>1</v>
      </c>
      <c r="BU130">
        <v>0</v>
      </c>
      <c r="BV130">
        <v>10</v>
      </c>
      <c r="BW130">
        <v>3228</v>
      </c>
      <c r="BX130">
        <v>1</v>
      </c>
      <c r="BY130" t="s">
        <v>273</v>
      </c>
      <c r="BZ130" t="s">
        <v>270</v>
      </c>
      <c r="CA130" t="s">
        <v>270</v>
      </c>
      <c r="CB130" t="s">
        <v>273</v>
      </c>
      <c r="CC130" t="s">
        <v>1780</v>
      </c>
      <c r="CD130" t="s">
        <v>1781</v>
      </c>
      <c r="CE130" t="s">
        <v>1782</v>
      </c>
      <c r="CF130" t="s">
        <v>1783</v>
      </c>
      <c r="CG130">
        <f t="shared" si="5"/>
        <v>960.86071777343795</v>
      </c>
      <c r="CH130">
        <f t="shared" si="6"/>
        <v>5210</v>
      </c>
      <c r="CI130">
        <f t="shared" si="7"/>
        <v>2</v>
      </c>
      <c r="CJ130">
        <f t="shared" si="8"/>
        <v>5006084.3395996122</v>
      </c>
      <c r="CK130">
        <f t="shared" si="9"/>
        <v>1921.7214355468759</v>
      </c>
    </row>
    <row r="131" spans="1:89">
      <c r="A131">
        <v>60071</v>
      </c>
      <c r="B131" t="s">
        <v>1799</v>
      </c>
      <c r="C131">
        <v>184.78091430664099</v>
      </c>
      <c r="D131" t="s">
        <v>1808</v>
      </c>
      <c r="E131">
        <v>1997</v>
      </c>
      <c r="F131" t="s">
        <v>1908</v>
      </c>
      <c r="G131" t="s">
        <v>169</v>
      </c>
      <c r="H131">
        <v>98059</v>
      </c>
      <c r="I131" t="s">
        <v>1785</v>
      </c>
      <c r="J131" t="s">
        <v>1785</v>
      </c>
      <c r="K131" t="s">
        <v>1774</v>
      </c>
      <c r="L131">
        <v>26</v>
      </c>
      <c r="M131">
        <v>4</v>
      </c>
      <c r="N131">
        <v>0</v>
      </c>
      <c r="O131">
        <v>4</v>
      </c>
      <c r="P131">
        <v>0</v>
      </c>
      <c r="Q131">
        <v>26423</v>
      </c>
      <c r="R131">
        <v>26423</v>
      </c>
      <c r="S131">
        <v>6798</v>
      </c>
      <c r="T131">
        <v>0</v>
      </c>
      <c r="U131">
        <v>5</v>
      </c>
      <c r="V131">
        <v>11</v>
      </c>
      <c r="W131">
        <v>10</v>
      </c>
      <c r="X131">
        <v>0</v>
      </c>
      <c r="Y131">
        <v>4</v>
      </c>
      <c r="Z131" t="b">
        <v>0</v>
      </c>
      <c r="AA131" t="b">
        <v>1</v>
      </c>
      <c r="AB131">
        <v>7.75</v>
      </c>
      <c r="AC131">
        <v>50357.7734375</v>
      </c>
      <c r="AD131">
        <v>194838.328125</v>
      </c>
      <c r="AE131">
        <v>245196.09375</v>
      </c>
      <c r="AJ131" t="s">
        <v>270</v>
      </c>
      <c r="AK131">
        <v>0</v>
      </c>
      <c r="AL131">
        <v>0</v>
      </c>
      <c r="AM131">
        <v>14</v>
      </c>
      <c r="AN131">
        <v>0</v>
      </c>
      <c r="AO131">
        <v>41</v>
      </c>
      <c r="AP131">
        <v>0</v>
      </c>
      <c r="AQ131">
        <v>32</v>
      </c>
      <c r="AR131">
        <v>13</v>
      </c>
      <c r="AS131">
        <v>0</v>
      </c>
      <c r="AT131" t="b">
        <v>1</v>
      </c>
      <c r="AU131">
        <v>0</v>
      </c>
      <c r="AV131">
        <v>0</v>
      </c>
      <c r="AW131">
        <v>0</v>
      </c>
      <c r="AX131" t="b">
        <v>0</v>
      </c>
      <c r="AY131" t="b">
        <v>0</v>
      </c>
      <c r="AZ131" t="b">
        <v>1</v>
      </c>
      <c r="BA131" t="b">
        <v>1</v>
      </c>
      <c r="BB131" t="s">
        <v>270</v>
      </c>
      <c r="BC131" t="s">
        <v>270</v>
      </c>
      <c r="BD131" t="s">
        <v>270</v>
      </c>
      <c r="BE131" t="s">
        <v>1775</v>
      </c>
      <c r="BF131" t="s">
        <v>1776</v>
      </c>
      <c r="BG131" t="s">
        <v>1777</v>
      </c>
      <c r="BH131" t="s">
        <v>1778</v>
      </c>
      <c r="BI131" t="s">
        <v>1779</v>
      </c>
      <c r="BJ131" t="b">
        <v>1</v>
      </c>
      <c r="BK131" t="b">
        <v>1</v>
      </c>
      <c r="BL131" t="b">
        <v>0</v>
      </c>
      <c r="BM131" t="b">
        <v>0</v>
      </c>
      <c r="BN131" t="b">
        <v>0</v>
      </c>
      <c r="BO131" t="b">
        <v>0</v>
      </c>
      <c r="BP131">
        <v>8</v>
      </c>
      <c r="BQ131">
        <v>28</v>
      </c>
      <c r="BR131">
        <v>0</v>
      </c>
      <c r="BS131">
        <v>0</v>
      </c>
      <c r="BT131" t="b">
        <v>1</v>
      </c>
      <c r="BU131">
        <v>0</v>
      </c>
      <c r="BV131">
        <v>17</v>
      </c>
      <c r="BW131">
        <v>9035</v>
      </c>
      <c r="BX131">
        <v>1</v>
      </c>
      <c r="BY131" t="s">
        <v>273</v>
      </c>
      <c r="BZ131" t="s">
        <v>270</v>
      </c>
      <c r="CA131" t="s">
        <v>273</v>
      </c>
      <c r="CB131" t="s">
        <v>273</v>
      </c>
      <c r="CC131" t="s">
        <v>1780</v>
      </c>
      <c r="CD131" t="s">
        <v>1781</v>
      </c>
      <c r="CE131" t="s">
        <v>1825</v>
      </c>
      <c r="CF131" t="s">
        <v>1783</v>
      </c>
      <c r="CG131" t="str">
        <f t="shared" si="5"/>
        <v/>
      </c>
      <c r="CH131" t="str">
        <f t="shared" si="6"/>
        <v/>
      </c>
      <c r="CI131" t="str">
        <f t="shared" si="7"/>
        <v/>
      </c>
      <c r="CJ131" t="str">
        <f t="shared" si="8"/>
        <v/>
      </c>
      <c r="CK131" t="str">
        <f t="shared" si="9"/>
        <v/>
      </c>
    </row>
    <row r="132" spans="1:89">
      <c r="A132">
        <v>60099</v>
      </c>
      <c r="B132" t="s">
        <v>1770</v>
      </c>
      <c r="C132">
        <v>300.26898193359398</v>
      </c>
      <c r="D132" t="s">
        <v>1771</v>
      </c>
      <c r="E132">
        <v>1982</v>
      </c>
      <c r="F132" t="s">
        <v>1831</v>
      </c>
      <c r="G132" t="s">
        <v>169</v>
      </c>
      <c r="H132">
        <v>98052</v>
      </c>
      <c r="I132" t="s">
        <v>1785</v>
      </c>
      <c r="J132" t="s">
        <v>1785</v>
      </c>
      <c r="K132" t="s">
        <v>1774</v>
      </c>
      <c r="L132">
        <v>16</v>
      </c>
      <c r="M132">
        <v>2</v>
      </c>
      <c r="N132">
        <v>0</v>
      </c>
      <c r="O132">
        <v>2</v>
      </c>
      <c r="P132">
        <v>0</v>
      </c>
      <c r="Q132">
        <v>11615</v>
      </c>
      <c r="R132">
        <v>11615</v>
      </c>
      <c r="S132">
        <v>0</v>
      </c>
      <c r="T132">
        <v>0</v>
      </c>
      <c r="U132">
        <v>0</v>
      </c>
      <c r="V132">
        <v>0</v>
      </c>
      <c r="W132">
        <v>16</v>
      </c>
      <c r="X132">
        <v>0</v>
      </c>
      <c r="Y132">
        <v>0</v>
      </c>
      <c r="Z132" t="b">
        <v>0</v>
      </c>
      <c r="AA132" t="b">
        <v>0</v>
      </c>
      <c r="AB132">
        <v>8</v>
      </c>
      <c r="AC132">
        <v>1514.73291015625</v>
      </c>
      <c r="AD132">
        <v>136819.546875</v>
      </c>
      <c r="AE132">
        <v>138334.28125</v>
      </c>
      <c r="AJ132" t="s">
        <v>270</v>
      </c>
      <c r="AK132">
        <v>0</v>
      </c>
      <c r="AL132">
        <v>50</v>
      </c>
      <c r="AM132">
        <v>0</v>
      </c>
      <c r="AN132">
        <v>0</v>
      </c>
      <c r="AO132">
        <v>0</v>
      </c>
      <c r="AP132">
        <v>0</v>
      </c>
      <c r="AQ132">
        <v>0</v>
      </c>
      <c r="AR132">
        <v>0</v>
      </c>
      <c r="AS132">
        <v>50</v>
      </c>
      <c r="AT132" t="b">
        <v>1</v>
      </c>
      <c r="AU132">
        <v>0</v>
      </c>
      <c r="AV132">
        <v>0</v>
      </c>
      <c r="AW132">
        <v>0</v>
      </c>
      <c r="AX132" t="b">
        <v>0</v>
      </c>
      <c r="AY132" t="b">
        <v>0</v>
      </c>
      <c r="AZ132" t="b">
        <v>0</v>
      </c>
      <c r="BA132" t="b">
        <v>0</v>
      </c>
      <c r="BB132" t="s">
        <v>270</v>
      </c>
      <c r="BC132" t="s">
        <v>270</v>
      </c>
      <c r="BD132" t="s">
        <v>270</v>
      </c>
      <c r="BE132" t="s">
        <v>1809</v>
      </c>
      <c r="BF132" t="s">
        <v>1776</v>
      </c>
      <c r="BG132" t="s">
        <v>1777</v>
      </c>
      <c r="BH132" t="s">
        <v>1778</v>
      </c>
      <c r="BI132" t="s">
        <v>1779</v>
      </c>
      <c r="BJ132" t="b">
        <v>1</v>
      </c>
      <c r="BK132" t="b">
        <v>1</v>
      </c>
      <c r="BL132" t="b">
        <v>0</v>
      </c>
      <c r="BM132" t="b">
        <v>0</v>
      </c>
      <c r="BN132" t="b">
        <v>0</v>
      </c>
      <c r="BO132" t="b">
        <v>0</v>
      </c>
      <c r="BP132">
        <v>2</v>
      </c>
      <c r="BQ132">
        <v>18</v>
      </c>
      <c r="BR132">
        <v>0</v>
      </c>
      <c r="BS132">
        <v>0</v>
      </c>
      <c r="BT132" t="b">
        <v>1</v>
      </c>
      <c r="BU132">
        <v>0</v>
      </c>
      <c r="BV132">
        <v>22</v>
      </c>
      <c r="BW132">
        <v>2480</v>
      </c>
      <c r="BX132">
        <v>1</v>
      </c>
      <c r="BY132" t="s">
        <v>273</v>
      </c>
      <c r="BZ132" t="s">
        <v>270</v>
      </c>
      <c r="CA132" t="s">
        <v>273</v>
      </c>
      <c r="CB132" t="s">
        <v>273</v>
      </c>
      <c r="CC132" t="s">
        <v>1787</v>
      </c>
      <c r="CD132" t="s">
        <v>1781</v>
      </c>
      <c r="CE132" t="s">
        <v>1782</v>
      </c>
      <c r="CF132" t="s">
        <v>1783</v>
      </c>
      <c r="CG132">
        <f t="shared" ref="CG132:CG195" si="10">IF(AND($B132="1-3 stories",$BF132="electric"),$C132,"")</f>
        <v>300.26898193359398</v>
      </c>
      <c r="CH132">
        <f t="shared" ref="CH132:CH195" si="11">IF(CG132="","",$Q132)</f>
        <v>11615</v>
      </c>
      <c r="CI132">
        <f t="shared" ref="CI132:CI195" si="12">IF($CG132="","",$M132)</f>
        <v>2</v>
      </c>
      <c r="CJ132">
        <f t="shared" ref="CJ132:CJ195" si="13">IFERROR($CG132*CH132,"")</f>
        <v>3487624.2251586942</v>
      </c>
      <c r="CK132">
        <f t="shared" ref="CK132:CK195" si="14">IFERROR($CG132*CI132,"")</f>
        <v>600.53796386718795</v>
      </c>
    </row>
    <row r="133" spans="1:89">
      <c r="A133">
        <v>71001</v>
      </c>
      <c r="B133" t="s">
        <v>1770</v>
      </c>
      <c r="C133">
        <v>136.90428161621099</v>
      </c>
      <c r="D133" t="s">
        <v>1792</v>
      </c>
      <c r="E133">
        <v>1956</v>
      </c>
      <c r="F133" t="s">
        <v>1788</v>
      </c>
      <c r="G133" t="s">
        <v>169</v>
      </c>
      <c r="H133">
        <v>98115</v>
      </c>
      <c r="I133" t="s">
        <v>1789</v>
      </c>
      <c r="K133" t="s">
        <v>1774</v>
      </c>
      <c r="L133">
        <v>8</v>
      </c>
      <c r="M133">
        <v>2</v>
      </c>
      <c r="N133">
        <v>0</v>
      </c>
      <c r="O133">
        <v>2</v>
      </c>
      <c r="P133">
        <v>1</v>
      </c>
      <c r="Q133">
        <v>2816</v>
      </c>
      <c r="R133">
        <v>2816</v>
      </c>
      <c r="S133">
        <v>352</v>
      </c>
      <c r="T133">
        <v>0</v>
      </c>
      <c r="U133">
        <v>0</v>
      </c>
      <c r="V133">
        <v>0</v>
      </c>
      <c r="W133">
        <v>8</v>
      </c>
      <c r="X133">
        <v>0</v>
      </c>
      <c r="Y133">
        <v>0</v>
      </c>
      <c r="Z133" t="b">
        <v>0</v>
      </c>
      <c r="AA133" t="b">
        <v>1</v>
      </c>
      <c r="AB133">
        <v>8</v>
      </c>
      <c r="AC133">
        <v>3099.12744140625</v>
      </c>
      <c r="AD133">
        <v>38514.83984375</v>
      </c>
      <c r="AE133">
        <v>41613.96875</v>
      </c>
      <c r="AI133">
        <v>141986.859375</v>
      </c>
      <c r="AJ133" t="s">
        <v>270</v>
      </c>
      <c r="AK133">
        <v>0</v>
      </c>
      <c r="AL133">
        <v>23</v>
      </c>
      <c r="AM133">
        <v>0</v>
      </c>
      <c r="AN133">
        <v>14</v>
      </c>
      <c r="AO133">
        <v>0</v>
      </c>
      <c r="AP133">
        <v>13</v>
      </c>
      <c r="AQ133">
        <v>0</v>
      </c>
      <c r="AR133">
        <v>0</v>
      </c>
      <c r="AS133">
        <v>50</v>
      </c>
      <c r="AT133" t="b">
        <v>0</v>
      </c>
      <c r="AU133">
        <v>1</v>
      </c>
      <c r="AV133">
        <v>1</v>
      </c>
      <c r="AW133">
        <v>0</v>
      </c>
      <c r="AX133" t="b">
        <v>0</v>
      </c>
      <c r="AY133" t="b">
        <v>0</v>
      </c>
      <c r="AZ133" t="b">
        <v>1</v>
      </c>
      <c r="BA133" t="b">
        <v>0</v>
      </c>
      <c r="BB133" t="s">
        <v>270</v>
      </c>
      <c r="BC133" t="s">
        <v>270</v>
      </c>
      <c r="BD133" t="s">
        <v>270</v>
      </c>
      <c r="BE133" t="s">
        <v>1775</v>
      </c>
      <c r="BF133" t="s">
        <v>1776</v>
      </c>
      <c r="BG133" t="s">
        <v>1777</v>
      </c>
      <c r="BH133" t="s">
        <v>1778</v>
      </c>
      <c r="BI133" t="s">
        <v>1790</v>
      </c>
      <c r="BJ133" t="b">
        <v>0</v>
      </c>
      <c r="BK133" t="b">
        <v>1</v>
      </c>
      <c r="BL133" t="b">
        <v>0</v>
      </c>
      <c r="BM133" t="b">
        <v>0</v>
      </c>
      <c r="BN133" t="b">
        <v>0</v>
      </c>
      <c r="BO133" t="b">
        <v>0</v>
      </c>
      <c r="BP133">
        <v>1</v>
      </c>
      <c r="BQ133">
        <v>9</v>
      </c>
      <c r="BR133">
        <v>0</v>
      </c>
      <c r="BS133">
        <v>0</v>
      </c>
      <c r="BT133" t="b">
        <v>1</v>
      </c>
      <c r="BV133">
        <v>5</v>
      </c>
      <c r="BW133">
        <v>2125</v>
      </c>
      <c r="BX133">
        <v>0</v>
      </c>
      <c r="BY133" t="s">
        <v>270</v>
      </c>
      <c r="BZ133" t="s">
        <v>270</v>
      </c>
      <c r="CA133" t="s">
        <v>270</v>
      </c>
      <c r="CB133" t="s">
        <v>273</v>
      </c>
      <c r="CC133" t="s">
        <v>1780</v>
      </c>
      <c r="CD133" t="s">
        <v>1781</v>
      </c>
      <c r="CE133" t="s">
        <v>1825</v>
      </c>
      <c r="CF133" t="s">
        <v>1783</v>
      </c>
      <c r="CG133">
        <f t="shared" si="10"/>
        <v>136.90428161621099</v>
      </c>
      <c r="CH133">
        <f t="shared" si="11"/>
        <v>2816</v>
      </c>
      <c r="CI133">
        <f t="shared" si="12"/>
        <v>2</v>
      </c>
      <c r="CJ133">
        <f t="shared" si="13"/>
        <v>385522.45703125017</v>
      </c>
      <c r="CK133">
        <f t="shared" si="14"/>
        <v>273.80856323242199</v>
      </c>
    </row>
    <row r="134" spans="1:89">
      <c r="A134">
        <v>71002</v>
      </c>
      <c r="B134" t="s">
        <v>1799</v>
      </c>
      <c r="C134">
        <v>136.90428161621099</v>
      </c>
      <c r="D134" t="s">
        <v>1808</v>
      </c>
      <c r="E134">
        <v>1993</v>
      </c>
      <c r="F134" t="s">
        <v>1788</v>
      </c>
      <c r="G134" t="s">
        <v>169</v>
      </c>
      <c r="H134">
        <v>90812</v>
      </c>
      <c r="I134" t="s">
        <v>1789</v>
      </c>
      <c r="J134" t="s">
        <v>1785</v>
      </c>
      <c r="K134" t="s">
        <v>1774</v>
      </c>
      <c r="L134">
        <v>8</v>
      </c>
      <c r="M134">
        <v>3</v>
      </c>
      <c r="N134">
        <v>0</v>
      </c>
      <c r="O134">
        <v>4</v>
      </c>
      <c r="P134">
        <v>0</v>
      </c>
      <c r="Q134">
        <v>13086</v>
      </c>
      <c r="R134">
        <v>13086</v>
      </c>
      <c r="S134">
        <v>1862</v>
      </c>
      <c r="T134">
        <v>0</v>
      </c>
      <c r="U134">
        <v>3</v>
      </c>
      <c r="V134">
        <v>4</v>
      </c>
      <c r="W134">
        <v>1</v>
      </c>
      <c r="X134">
        <v>0</v>
      </c>
      <c r="Y134">
        <v>0</v>
      </c>
      <c r="Z134" t="b">
        <v>0</v>
      </c>
      <c r="AA134" t="b">
        <v>1</v>
      </c>
      <c r="AB134">
        <v>9</v>
      </c>
      <c r="AC134">
        <v>18184.248046875</v>
      </c>
      <c r="AD134">
        <v>75115.6484375</v>
      </c>
      <c r="AE134">
        <v>93299.8984375</v>
      </c>
      <c r="AH134">
        <v>1245.44946289063</v>
      </c>
      <c r="AI134">
        <v>442884.1875</v>
      </c>
      <c r="AJ134" t="s">
        <v>270</v>
      </c>
      <c r="AK134">
        <v>0</v>
      </c>
      <c r="AL134">
        <v>23</v>
      </c>
      <c r="AM134">
        <v>0</v>
      </c>
      <c r="AN134">
        <v>15</v>
      </c>
      <c r="AO134">
        <v>0</v>
      </c>
      <c r="AP134">
        <v>12</v>
      </c>
      <c r="AQ134">
        <v>0</v>
      </c>
      <c r="AR134">
        <v>0</v>
      </c>
      <c r="AS134">
        <v>51</v>
      </c>
      <c r="AT134" t="b">
        <v>1</v>
      </c>
      <c r="AU134">
        <v>0</v>
      </c>
      <c r="AV134">
        <v>0</v>
      </c>
      <c r="AW134">
        <v>1</v>
      </c>
      <c r="AX134" t="b">
        <v>0</v>
      </c>
      <c r="AY134" t="b">
        <v>0</v>
      </c>
      <c r="AZ134" t="b">
        <v>1</v>
      </c>
      <c r="BA134" t="b">
        <v>0</v>
      </c>
      <c r="BB134" t="s">
        <v>270</v>
      </c>
      <c r="BC134" t="s">
        <v>270</v>
      </c>
      <c r="BD134" t="s">
        <v>270</v>
      </c>
      <c r="BE134" t="s">
        <v>1775</v>
      </c>
      <c r="BF134" t="s">
        <v>1776</v>
      </c>
      <c r="BG134" t="s">
        <v>1777</v>
      </c>
      <c r="BH134" t="s">
        <v>1778</v>
      </c>
      <c r="BI134" t="s">
        <v>1779</v>
      </c>
      <c r="BJ134" t="b">
        <v>1</v>
      </c>
      <c r="BK134" t="b">
        <v>1</v>
      </c>
      <c r="BL134" t="b">
        <v>1</v>
      </c>
      <c r="BM134" t="b">
        <v>0</v>
      </c>
      <c r="BN134" t="b">
        <v>0</v>
      </c>
      <c r="BO134" t="b">
        <v>0</v>
      </c>
      <c r="BP134">
        <v>1</v>
      </c>
      <c r="BQ134">
        <v>11</v>
      </c>
      <c r="BR134">
        <v>1</v>
      </c>
      <c r="BS134">
        <v>1</v>
      </c>
      <c r="BT134" t="b">
        <v>1</v>
      </c>
      <c r="BU134">
        <v>0</v>
      </c>
      <c r="BV134">
        <v>17</v>
      </c>
      <c r="BW134">
        <v>5930</v>
      </c>
      <c r="BX134">
        <v>1</v>
      </c>
      <c r="BY134" t="s">
        <v>273</v>
      </c>
      <c r="BZ134" t="s">
        <v>270</v>
      </c>
      <c r="CA134" t="s">
        <v>270</v>
      </c>
      <c r="CB134" t="s">
        <v>270</v>
      </c>
      <c r="CC134" t="s">
        <v>1780</v>
      </c>
      <c r="CD134" t="s">
        <v>1781</v>
      </c>
      <c r="CE134" t="s">
        <v>1801</v>
      </c>
      <c r="CF134" t="s">
        <v>1783</v>
      </c>
      <c r="CG134" t="str">
        <f t="shared" si="10"/>
        <v/>
      </c>
      <c r="CH134" t="str">
        <f t="shared" si="11"/>
        <v/>
      </c>
      <c r="CI134" t="str">
        <f t="shared" si="12"/>
        <v/>
      </c>
      <c r="CJ134" t="str">
        <f t="shared" si="13"/>
        <v/>
      </c>
      <c r="CK134" t="str">
        <f t="shared" si="14"/>
        <v/>
      </c>
    </row>
    <row r="135" spans="1:89">
      <c r="A135">
        <v>71003</v>
      </c>
      <c r="B135" t="s">
        <v>1770</v>
      </c>
      <c r="C135">
        <v>182.53904724121099</v>
      </c>
      <c r="D135" t="s">
        <v>1802</v>
      </c>
      <c r="E135">
        <v>1977</v>
      </c>
      <c r="F135" t="s">
        <v>1788</v>
      </c>
      <c r="G135" t="s">
        <v>169</v>
      </c>
      <c r="H135">
        <v>98119</v>
      </c>
      <c r="I135" t="s">
        <v>1789</v>
      </c>
      <c r="K135" t="s">
        <v>1774</v>
      </c>
      <c r="L135">
        <v>6</v>
      </c>
      <c r="M135">
        <v>2</v>
      </c>
      <c r="N135">
        <v>0</v>
      </c>
      <c r="O135">
        <v>2</v>
      </c>
      <c r="P135">
        <v>0</v>
      </c>
      <c r="Q135">
        <v>4342</v>
      </c>
      <c r="R135">
        <v>4342</v>
      </c>
      <c r="S135">
        <v>46</v>
      </c>
      <c r="T135">
        <v>0</v>
      </c>
      <c r="U135">
        <v>0</v>
      </c>
      <c r="V135">
        <v>4</v>
      </c>
      <c r="W135">
        <v>2</v>
      </c>
      <c r="X135">
        <v>0</v>
      </c>
      <c r="Y135">
        <v>0</v>
      </c>
      <c r="Z135" t="b">
        <v>0</v>
      </c>
      <c r="AA135" t="b">
        <v>1</v>
      </c>
      <c r="AB135">
        <v>7.5</v>
      </c>
      <c r="AC135">
        <v>3952.2509765625</v>
      </c>
      <c r="AD135">
        <v>36498.32421875</v>
      </c>
      <c r="AE135">
        <v>40450.57421875</v>
      </c>
      <c r="AI135">
        <v>138017.359375</v>
      </c>
      <c r="AJ135" t="s">
        <v>270</v>
      </c>
      <c r="AK135">
        <v>0</v>
      </c>
      <c r="AL135">
        <v>11</v>
      </c>
      <c r="AM135">
        <v>0</v>
      </c>
      <c r="AN135">
        <v>43</v>
      </c>
      <c r="AO135">
        <v>0</v>
      </c>
      <c r="AP135">
        <v>46</v>
      </c>
      <c r="AQ135">
        <v>0</v>
      </c>
      <c r="AR135">
        <v>0</v>
      </c>
      <c r="AS135">
        <v>0</v>
      </c>
      <c r="AT135" t="b">
        <v>1</v>
      </c>
      <c r="AU135">
        <v>1</v>
      </c>
      <c r="AV135">
        <v>1</v>
      </c>
      <c r="AW135">
        <v>0</v>
      </c>
      <c r="AX135" t="b">
        <v>0</v>
      </c>
      <c r="AY135" t="b">
        <v>0</v>
      </c>
      <c r="AZ135" t="b">
        <v>0</v>
      </c>
      <c r="BA135" t="b">
        <v>0</v>
      </c>
      <c r="BB135" t="s">
        <v>270</v>
      </c>
      <c r="BC135" t="s">
        <v>270</v>
      </c>
      <c r="BD135" t="s">
        <v>270</v>
      </c>
      <c r="BE135" t="s">
        <v>1775</v>
      </c>
      <c r="BF135" t="s">
        <v>1776</v>
      </c>
      <c r="BG135" t="s">
        <v>1777</v>
      </c>
      <c r="BH135" t="s">
        <v>1778</v>
      </c>
      <c r="BI135" t="s">
        <v>1790</v>
      </c>
      <c r="BJ135" t="b">
        <v>0</v>
      </c>
      <c r="BK135" t="b">
        <v>1</v>
      </c>
      <c r="BL135" t="b">
        <v>0</v>
      </c>
      <c r="BM135" t="b">
        <v>0</v>
      </c>
      <c r="BN135" t="b">
        <v>0</v>
      </c>
      <c r="BO135" t="b">
        <v>0</v>
      </c>
      <c r="BP135">
        <v>1</v>
      </c>
      <c r="BQ135">
        <v>7</v>
      </c>
      <c r="BR135">
        <v>0</v>
      </c>
      <c r="BS135">
        <v>0</v>
      </c>
      <c r="BT135" t="b">
        <v>1</v>
      </c>
      <c r="BV135">
        <v>6</v>
      </c>
      <c r="BW135">
        <v>2550</v>
      </c>
      <c r="BX135">
        <v>0</v>
      </c>
      <c r="BY135" t="s">
        <v>270</v>
      </c>
      <c r="BZ135" t="s">
        <v>270</v>
      </c>
      <c r="CA135" t="s">
        <v>270</v>
      </c>
      <c r="CB135" t="s">
        <v>273</v>
      </c>
      <c r="CC135" t="s">
        <v>1787</v>
      </c>
      <c r="CD135" t="s">
        <v>1781</v>
      </c>
      <c r="CE135" t="s">
        <v>1795</v>
      </c>
      <c r="CF135" t="s">
        <v>1783</v>
      </c>
      <c r="CG135">
        <f t="shared" si="10"/>
        <v>182.53904724121099</v>
      </c>
      <c r="CH135">
        <f t="shared" si="11"/>
        <v>4342</v>
      </c>
      <c r="CI135">
        <f t="shared" si="12"/>
        <v>2</v>
      </c>
      <c r="CJ135">
        <f t="shared" si="13"/>
        <v>792584.54312133812</v>
      </c>
      <c r="CK135">
        <f t="shared" si="14"/>
        <v>365.07809448242199</v>
      </c>
    </row>
    <row r="136" spans="1:89">
      <c r="A136">
        <v>71004</v>
      </c>
      <c r="B136" t="s">
        <v>1770</v>
      </c>
      <c r="C136">
        <v>136.90428161621099</v>
      </c>
      <c r="D136" t="s">
        <v>1771</v>
      </c>
      <c r="E136">
        <v>1990</v>
      </c>
      <c r="F136" t="s">
        <v>1788</v>
      </c>
      <c r="G136" t="s">
        <v>169</v>
      </c>
      <c r="H136">
        <v>98106</v>
      </c>
      <c r="I136" t="s">
        <v>1789</v>
      </c>
      <c r="J136" t="s">
        <v>1785</v>
      </c>
      <c r="K136" t="s">
        <v>1774</v>
      </c>
      <c r="L136">
        <v>8</v>
      </c>
      <c r="M136">
        <v>2</v>
      </c>
      <c r="N136">
        <v>0</v>
      </c>
      <c r="O136">
        <v>2</v>
      </c>
      <c r="P136">
        <v>0</v>
      </c>
      <c r="Q136">
        <v>9274</v>
      </c>
      <c r="R136">
        <v>9274</v>
      </c>
      <c r="S136">
        <v>0</v>
      </c>
      <c r="T136">
        <v>0</v>
      </c>
      <c r="U136">
        <v>0</v>
      </c>
      <c r="V136">
        <v>4</v>
      </c>
      <c r="W136">
        <v>4</v>
      </c>
      <c r="X136">
        <v>0</v>
      </c>
      <c r="Y136">
        <v>0</v>
      </c>
      <c r="Z136" t="b">
        <v>0</v>
      </c>
      <c r="AA136" t="b">
        <v>0</v>
      </c>
      <c r="AB136">
        <v>8</v>
      </c>
      <c r="AD136">
        <v>85138.3046875</v>
      </c>
      <c r="AE136">
        <v>85138.3046875</v>
      </c>
      <c r="AI136">
        <v>290491.90625</v>
      </c>
      <c r="AJ136" t="s">
        <v>270</v>
      </c>
      <c r="AK136">
        <v>0</v>
      </c>
      <c r="AL136">
        <v>6</v>
      </c>
      <c r="AM136">
        <v>0</v>
      </c>
      <c r="AN136">
        <v>11</v>
      </c>
      <c r="AO136">
        <v>0</v>
      </c>
      <c r="AP136">
        <v>13</v>
      </c>
      <c r="AQ136">
        <v>0</v>
      </c>
      <c r="AR136">
        <v>0</v>
      </c>
      <c r="AS136">
        <v>70</v>
      </c>
      <c r="AT136" t="b">
        <v>0</v>
      </c>
      <c r="AU136">
        <v>0</v>
      </c>
      <c r="AV136">
        <v>0</v>
      </c>
      <c r="AW136">
        <v>0</v>
      </c>
      <c r="AX136" t="b">
        <v>0</v>
      </c>
      <c r="AY136" t="b">
        <v>0</v>
      </c>
      <c r="AZ136" t="b">
        <v>0</v>
      </c>
      <c r="BA136" t="b">
        <v>0</v>
      </c>
      <c r="BB136" t="s">
        <v>270</v>
      </c>
      <c r="BC136" t="s">
        <v>270</v>
      </c>
      <c r="BD136" t="s">
        <v>270</v>
      </c>
      <c r="BE136" t="s">
        <v>1775</v>
      </c>
      <c r="BF136" t="s">
        <v>1776</v>
      </c>
      <c r="BG136" t="s">
        <v>1777</v>
      </c>
      <c r="BH136" t="s">
        <v>1778</v>
      </c>
      <c r="BI136" t="s">
        <v>1779</v>
      </c>
      <c r="BJ136" t="b">
        <v>0</v>
      </c>
      <c r="BK136" t="b">
        <v>1</v>
      </c>
      <c r="BL136" t="b">
        <v>1</v>
      </c>
      <c r="BM136" t="b">
        <v>0</v>
      </c>
      <c r="BN136" t="b">
        <v>0</v>
      </c>
      <c r="BO136" t="b">
        <v>0</v>
      </c>
      <c r="BP136">
        <v>1</v>
      </c>
      <c r="BQ136">
        <v>9</v>
      </c>
      <c r="BR136">
        <v>1</v>
      </c>
      <c r="BS136">
        <v>1</v>
      </c>
      <c r="BT136" t="b">
        <v>1</v>
      </c>
      <c r="BU136">
        <v>80</v>
      </c>
      <c r="BV136">
        <v>9</v>
      </c>
      <c r="BW136">
        <v>2500</v>
      </c>
      <c r="BX136">
        <v>0</v>
      </c>
      <c r="BY136" t="s">
        <v>270</v>
      </c>
      <c r="BZ136" t="s">
        <v>270</v>
      </c>
      <c r="CA136" t="s">
        <v>273</v>
      </c>
      <c r="CB136" t="s">
        <v>273</v>
      </c>
      <c r="CC136" t="s">
        <v>1787</v>
      </c>
      <c r="CD136" t="s">
        <v>1781</v>
      </c>
      <c r="CE136" t="s">
        <v>1782</v>
      </c>
      <c r="CF136" t="s">
        <v>1783</v>
      </c>
      <c r="CG136">
        <f t="shared" si="10"/>
        <v>136.90428161621099</v>
      </c>
      <c r="CH136">
        <f t="shared" si="11"/>
        <v>9274</v>
      </c>
      <c r="CI136">
        <f t="shared" si="12"/>
        <v>2</v>
      </c>
      <c r="CJ136">
        <f t="shared" si="13"/>
        <v>1269650.3077087407</v>
      </c>
      <c r="CK136">
        <f t="shared" si="14"/>
        <v>273.80856323242199</v>
      </c>
    </row>
    <row r="137" spans="1:89">
      <c r="A137">
        <v>71005</v>
      </c>
      <c r="B137" t="s">
        <v>1770</v>
      </c>
      <c r="C137">
        <v>121.69268798828099</v>
      </c>
      <c r="D137" t="s">
        <v>1792</v>
      </c>
      <c r="E137">
        <v>1965</v>
      </c>
      <c r="F137" t="s">
        <v>1788</v>
      </c>
      <c r="G137" t="s">
        <v>169</v>
      </c>
      <c r="H137">
        <v>98146</v>
      </c>
      <c r="I137" t="s">
        <v>1789</v>
      </c>
      <c r="K137" t="s">
        <v>1774</v>
      </c>
      <c r="L137">
        <v>9</v>
      </c>
      <c r="M137">
        <v>3</v>
      </c>
      <c r="N137">
        <v>0</v>
      </c>
      <c r="O137">
        <v>3</v>
      </c>
      <c r="P137">
        <v>0</v>
      </c>
      <c r="Q137">
        <v>6771</v>
      </c>
      <c r="R137">
        <v>6771</v>
      </c>
      <c r="S137">
        <v>0</v>
      </c>
      <c r="T137">
        <v>0</v>
      </c>
      <c r="U137">
        <v>0</v>
      </c>
      <c r="V137">
        <v>3</v>
      </c>
      <c r="W137">
        <v>6</v>
      </c>
      <c r="X137">
        <v>0</v>
      </c>
      <c r="Y137">
        <v>0</v>
      </c>
      <c r="Z137" t="b">
        <v>0</v>
      </c>
      <c r="AA137" t="b">
        <v>0</v>
      </c>
      <c r="AB137">
        <v>8</v>
      </c>
      <c r="AC137">
        <v>3353.2587890625</v>
      </c>
      <c r="AD137">
        <v>79529.078125</v>
      </c>
      <c r="AE137">
        <v>82882.3359375</v>
      </c>
      <c r="AI137">
        <v>282794.53125</v>
      </c>
      <c r="AJ137" t="s">
        <v>270</v>
      </c>
      <c r="AK137">
        <v>0</v>
      </c>
      <c r="AL137">
        <v>4</v>
      </c>
      <c r="AM137">
        <v>0</v>
      </c>
      <c r="AN137">
        <v>6</v>
      </c>
      <c r="AO137">
        <v>0</v>
      </c>
      <c r="AP137">
        <v>0</v>
      </c>
      <c r="AQ137">
        <v>0</v>
      </c>
      <c r="AR137">
        <v>0</v>
      </c>
      <c r="AS137">
        <v>90</v>
      </c>
      <c r="AT137" t="b">
        <v>1</v>
      </c>
      <c r="AU137">
        <v>0</v>
      </c>
      <c r="AV137">
        <v>0</v>
      </c>
      <c r="AW137">
        <v>0</v>
      </c>
      <c r="AX137" t="b">
        <v>0</v>
      </c>
      <c r="AY137" t="b">
        <v>0</v>
      </c>
      <c r="AZ137" t="b">
        <v>0</v>
      </c>
      <c r="BA137" t="b">
        <v>0</v>
      </c>
      <c r="BB137" t="s">
        <v>270</v>
      </c>
      <c r="BC137" t="s">
        <v>270</v>
      </c>
      <c r="BD137" t="s">
        <v>270</v>
      </c>
      <c r="BE137" t="s">
        <v>1775</v>
      </c>
      <c r="BF137" t="s">
        <v>1776</v>
      </c>
      <c r="BG137" t="s">
        <v>1777</v>
      </c>
      <c r="BH137" t="s">
        <v>1778</v>
      </c>
      <c r="BI137" t="s">
        <v>1779</v>
      </c>
      <c r="BJ137" t="b">
        <v>0</v>
      </c>
      <c r="BK137" t="b">
        <v>1</v>
      </c>
      <c r="BL137" t="b">
        <v>0</v>
      </c>
      <c r="BM137" t="b">
        <v>0</v>
      </c>
      <c r="BN137" t="b">
        <v>0</v>
      </c>
      <c r="BO137" t="b">
        <v>0</v>
      </c>
      <c r="BP137">
        <v>1</v>
      </c>
      <c r="BQ137">
        <v>10</v>
      </c>
      <c r="BR137">
        <v>0</v>
      </c>
      <c r="BS137">
        <v>0</v>
      </c>
      <c r="BT137" t="b">
        <v>1</v>
      </c>
      <c r="BU137">
        <v>0</v>
      </c>
      <c r="BV137">
        <v>11</v>
      </c>
      <c r="BW137">
        <v>4675</v>
      </c>
      <c r="BX137">
        <v>0</v>
      </c>
      <c r="BY137" t="s">
        <v>270</v>
      </c>
      <c r="BZ137" t="s">
        <v>270</v>
      </c>
      <c r="CA137" t="s">
        <v>270</v>
      </c>
      <c r="CB137" t="s">
        <v>273</v>
      </c>
      <c r="CC137" t="s">
        <v>1780</v>
      </c>
      <c r="CD137" t="s">
        <v>1781</v>
      </c>
      <c r="CE137" t="s">
        <v>1782</v>
      </c>
      <c r="CF137" t="s">
        <v>1783</v>
      </c>
      <c r="CG137">
        <f t="shared" si="10"/>
        <v>121.69268798828099</v>
      </c>
      <c r="CH137">
        <f t="shared" si="11"/>
        <v>6771</v>
      </c>
      <c r="CI137">
        <f t="shared" si="12"/>
        <v>3</v>
      </c>
      <c r="CJ137">
        <f t="shared" si="13"/>
        <v>823981.1903686506</v>
      </c>
      <c r="CK137">
        <f t="shared" si="14"/>
        <v>365.07806396484295</v>
      </c>
    </row>
    <row r="138" spans="1:89">
      <c r="A138">
        <v>71006</v>
      </c>
      <c r="B138" t="s">
        <v>1770</v>
      </c>
      <c r="C138">
        <v>219.04685974121099</v>
      </c>
      <c r="D138" t="s">
        <v>1792</v>
      </c>
      <c r="E138">
        <v>1960</v>
      </c>
      <c r="F138" t="s">
        <v>1788</v>
      </c>
      <c r="G138" t="s">
        <v>169</v>
      </c>
      <c r="H138">
        <v>98103</v>
      </c>
      <c r="I138" t="s">
        <v>1789</v>
      </c>
      <c r="K138" t="s">
        <v>1774</v>
      </c>
      <c r="L138">
        <v>5</v>
      </c>
      <c r="M138">
        <v>2</v>
      </c>
      <c r="N138">
        <v>0</v>
      </c>
      <c r="O138">
        <v>2</v>
      </c>
      <c r="P138">
        <v>0</v>
      </c>
      <c r="Q138">
        <v>3452</v>
      </c>
      <c r="R138">
        <v>3452</v>
      </c>
      <c r="S138">
        <v>128</v>
      </c>
      <c r="T138">
        <v>0</v>
      </c>
      <c r="U138">
        <v>0</v>
      </c>
      <c r="V138">
        <v>3</v>
      </c>
      <c r="W138">
        <v>2</v>
      </c>
      <c r="X138">
        <v>0</v>
      </c>
      <c r="Y138">
        <v>0</v>
      </c>
      <c r="Z138" t="b">
        <v>0</v>
      </c>
      <c r="AA138" t="b">
        <v>1</v>
      </c>
      <c r="AB138">
        <v>7.75</v>
      </c>
      <c r="AC138">
        <v>1988.83288574219</v>
      </c>
      <c r="AD138">
        <v>25010.685546875</v>
      </c>
      <c r="AE138">
        <v>26999.517578125</v>
      </c>
      <c r="AI138">
        <v>92122.3515625</v>
      </c>
      <c r="AJ138" t="s">
        <v>270</v>
      </c>
      <c r="AL138">
        <v>11</v>
      </c>
      <c r="AM138">
        <v>0</v>
      </c>
      <c r="AN138">
        <v>17</v>
      </c>
      <c r="AO138">
        <v>0</v>
      </c>
      <c r="AP138">
        <v>56</v>
      </c>
      <c r="AQ138">
        <v>0</v>
      </c>
      <c r="AR138">
        <v>0</v>
      </c>
      <c r="AS138">
        <v>16</v>
      </c>
      <c r="AT138" t="b">
        <v>0</v>
      </c>
      <c r="AU138">
        <v>0</v>
      </c>
      <c r="AV138">
        <v>0</v>
      </c>
      <c r="AW138">
        <v>0</v>
      </c>
      <c r="AX138" t="b">
        <v>0</v>
      </c>
      <c r="AY138" t="b">
        <v>0</v>
      </c>
      <c r="AZ138" t="b">
        <v>0</v>
      </c>
      <c r="BA138" t="b">
        <v>0</v>
      </c>
      <c r="BB138" t="s">
        <v>270</v>
      </c>
      <c r="BC138" t="s">
        <v>270</v>
      </c>
      <c r="BD138" t="s">
        <v>270</v>
      </c>
      <c r="BE138" t="s">
        <v>1775</v>
      </c>
      <c r="BF138" t="s">
        <v>1776</v>
      </c>
      <c r="BG138" t="s">
        <v>1777</v>
      </c>
      <c r="BH138" t="s">
        <v>1778</v>
      </c>
      <c r="BI138" t="s">
        <v>1779</v>
      </c>
      <c r="BJ138" t="b">
        <v>0</v>
      </c>
      <c r="BK138" t="b">
        <v>1</v>
      </c>
      <c r="BL138" t="b">
        <v>0</v>
      </c>
      <c r="BM138" t="b">
        <v>0</v>
      </c>
      <c r="BN138" t="b">
        <v>0</v>
      </c>
      <c r="BO138" t="b">
        <v>0</v>
      </c>
      <c r="BP138">
        <v>1</v>
      </c>
      <c r="BQ138">
        <v>6</v>
      </c>
      <c r="BR138">
        <v>0</v>
      </c>
      <c r="BS138">
        <v>0</v>
      </c>
      <c r="BT138" t="b">
        <v>1</v>
      </c>
      <c r="BU138">
        <v>0</v>
      </c>
      <c r="BV138">
        <v>4</v>
      </c>
      <c r="BW138">
        <v>684</v>
      </c>
      <c r="BX138">
        <v>0</v>
      </c>
      <c r="BY138" t="s">
        <v>270</v>
      </c>
      <c r="BZ138" t="s">
        <v>270</v>
      </c>
      <c r="CA138" t="s">
        <v>273</v>
      </c>
      <c r="CB138" t="s">
        <v>270</v>
      </c>
      <c r="CC138" t="s">
        <v>1780</v>
      </c>
      <c r="CD138" t="s">
        <v>1781</v>
      </c>
      <c r="CE138" t="s">
        <v>1782</v>
      </c>
      <c r="CF138" t="s">
        <v>1783</v>
      </c>
      <c r="CG138">
        <f t="shared" si="10"/>
        <v>219.04685974121099</v>
      </c>
      <c r="CH138">
        <f t="shared" si="11"/>
        <v>3452</v>
      </c>
      <c r="CI138">
        <f t="shared" si="12"/>
        <v>2</v>
      </c>
      <c r="CJ138">
        <f t="shared" si="13"/>
        <v>756149.75982666039</v>
      </c>
      <c r="CK138">
        <f t="shared" si="14"/>
        <v>438.09371948242199</v>
      </c>
    </row>
    <row r="139" spans="1:89">
      <c r="A139">
        <v>71007</v>
      </c>
      <c r="B139" t="s">
        <v>1770</v>
      </c>
      <c r="C139">
        <v>219.04685974121099</v>
      </c>
      <c r="D139" t="s">
        <v>1792</v>
      </c>
      <c r="E139">
        <v>1969</v>
      </c>
      <c r="F139" t="s">
        <v>1788</v>
      </c>
      <c r="G139" t="s">
        <v>169</v>
      </c>
      <c r="H139">
        <v>98107</v>
      </c>
      <c r="I139" t="s">
        <v>1789</v>
      </c>
      <c r="K139" t="s">
        <v>1774</v>
      </c>
      <c r="L139">
        <v>5</v>
      </c>
      <c r="M139">
        <v>3</v>
      </c>
      <c r="N139">
        <v>0</v>
      </c>
      <c r="O139">
        <v>3</v>
      </c>
      <c r="P139">
        <v>0</v>
      </c>
      <c r="Q139">
        <v>4925</v>
      </c>
      <c r="R139">
        <v>4925</v>
      </c>
      <c r="S139">
        <v>739</v>
      </c>
      <c r="T139">
        <v>0</v>
      </c>
      <c r="U139">
        <v>0</v>
      </c>
      <c r="V139">
        <v>2</v>
      </c>
      <c r="W139">
        <v>3</v>
      </c>
      <c r="X139">
        <v>0</v>
      </c>
      <c r="Y139">
        <v>0</v>
      </c>
      <c r="Z139" t="b">
        <v>0</v>
      </c>
      <c r="AA139" t="b">
        <v>1</v>
      </c>
      <c r="AB139">
        <v>7.75</v>
      </c>
      <c r="AC139">
        <v>18313.673828125</v>
      </c>
      <c r="AD139">
        <v>31798.994140625</v>
      </c>
      <c r="AE139">
        <v>50112.66796875</v>
      </c>
      <c r="AI139">
        <v>170984.421875</v>
      </c>
      <c r="AJ139" t="s">
        <v>270</v>
      </c>
      <c r="AK139">
        <v>0</v>
      </c>
      <c r="AL139">
        <v>20</v>
      </c>
      <c r="AM139">
        <v>0</v>
      </c>
      <c r="AN139">
        <v>23</v>
      </c>
      <c r="AO139">
        <v>0</v>
      </c>
      <c r="AP139">
        <v>40</v>
      </c>
      <c r="AQ139">
        <v>0</v>
      </c>
      <c r="AR139">
        <v>0</v>
      </c>
      <c r="AS139">
        <v>17</v>
      </c>
      <c r="AT139" t="b">
        <v>1</v>
      </c>
      <c r="AU139">
        <v>1</v>
      </c>
      <c r="AV139">
        <v>1</v>
      </c>
      <c r="AW139">
        <v>0</v>
      </c>
      <c r="AX139" t="b">
        <v>0</v>
      </c>
      <c r="AY139" t="b">
        <v>0</v>
      </c>
      <c r="AZ139" t="b">
        <v>0</v>
      </c>
      <c r="BA139" t="b">
        <v>0</v>
      </c>
      <c r="BB139" t="s">
        <v>270</v>
      </c>
      <c r="BC139" t="s">
        <v>270</v>
      </c>
      <c r="BD139" t="s">
        <v>270</v>
      </c>
      <c r="BE139" t="s">
        <v>1775</v>
      </c>
      <c r="BF139" t="s">
        <v>1776</v>
      </c>
      <c r="BG139" t="s">
        <v>1777</v>
      </c>
      <c r="BH139" t="s">
        <v>1778</v>
      </c>
      <c r="BI139" t="s">
        <v>1812</v>
      </c>
      <c r="BJ139" t="b">
        <v>0</v>
      </c>
      <c r="BK139" t="b">
        <v>1</v>
      </c>
      <c r="BL139" t="b">
        <v>0</v>
      </c>
      <c r="BM139" t="b">
        <v>0</v>
      </c>
      <c r="BN139" t="b">
        <v>0</v>
      </c>
      <c r="BO139" t="b">
        <v>0</v>
      </c>
      <c r="BP139">
        <v>1</v>
      </c>
      <c r="BQ139">
        <v>7</v>
      </c>
      <c r="BR139">
        <v>0</v>
      </c>
      <c r="BS139">
        <v>0</v>
      </c>
      <c r="BT139" t="b">
        <v>1</v>
      </c>
      <c r="BU139">
        <v>0</v>
      </c>
      <c r="BV139">
        <v>5</v>
      </c>
      <c r="BW139">
        <v>1437</v>
      </c>
      <c r="BX139">
        <v>0</v>
      </c>
      <c r="BY139" t="s">
        <v>270</v>
      </c>
      <c r="BZ139" t="s">
        <v>270</v>
      </c>
      <c r="CA139" t="s">
        <v>273</v>
      </c>
      <c r="CB139" t="s">
        <v>273</v>
      </c>
      <c r="CC139" t="s">
        <v>1780</v>
      </c>
      <c r="CD139" t="s">
        <v>1781</v>
      </c>
      <c r="CE139" t="s">
        <v>1782</v>
      </c>
      <c r="CF139" t="s">
        <v>1783</v>
      </c>
      <c r="CG139">
        <f t="shared" si="10"/>
        <v>219.04685974121099</v>
      </c>
      <c r="CH139">
        <f t="shared" si="11"/>
        <v>4925</v>
      </c>
      <c r="CI139">
        <f t="shared" si="12"/>
        <v>3</v>
      </c>
      <c r="CJ139">
        <f t="shared" si="13"/>
        <v>1078805.7842254641</v>
      </c>
      <c r="CK139">
        <f t="shared" si="14"/>
        <v>657.14057922363304</v>
      </c>
    </row>
    <row r="140" spans="1:89">
      <c r="A140">
        <v>71008</v>
      </c>
      <c r="B140" t="s">
        <v>1770</v>
      </c>
      <c r="C140">
        <v>182.53904724121099</v>
      </c>
      <c r="D140" t="s">
        <v>1771</v>
      </c>
      <c r="E140">
        <v>1986</v>
      </c>
      <c r="F140" t="s">
        <v>1788</v>
      </c>
      <c r="G140" t="s">
        <v>169</v>
      </c>
      <c r="H140">
        <v>98106</v>
      </c>
      <c r="I140" t="s">
        <v>1789</v>
      </c>
      <c r="J140" t="s">
        <v>1785</v>
      </c>
      <c r="K140" t="s">
        <v>1774</v>
      </c>
      <c r="L140">
        <v>6</v>
      </c>
      <c r="M140">
        <v>3</v>
      </c>
      <c r="N140">
        <v>0</v>
      </c>
      <c r="O140">
        <v>3</v>
      </c>
      <c r="P140">
        <v>0</v>
      </c>
      <c r="Q140">
        <v>3780</v>
      </c>
      <c r="R140">
        <v>3780</v>
      </c>
      <c r="S140">
        <v>0</v>
      </c>
      <c r="T140">
        <v>0</v>
      </c>
      <c r="U140">
        <v>0</v>
      </c>
      <c r="V140">
        <v>0</v>
      </c>
      <c r="W140">
        <v>6</v>
      </c>
      <c r="X140">
        <v>0</v>
      </c>
      <c r="Y140">
        <v>0</v>
      </c>
      <c r="Z140" t="b">
        <v>0</v>
      </c>
      <c r="AA140" t="b">
        <v>0</v>
      </c>
      <c r="AB140">
        <v>8</v>
      </c>
      <c r="AC140">
        <v>8291.6953125</v>
      </c>
      <c r="AD140">
        <v>46411.87109375</v>
      </c>
      <c r="AE140">
        <v>54703.56640625</v>
      </c>
      <c r="AI140">
        <v>186648.5625</v>
      </c>
      <c r="AJ140" t="s">
        <v>270</v>
      </c>
      <c r="AK140">
        <v>0</v>
      </c>
      <c r="AL140">
        <v>57</v>
      </c>
      <c r="AM140">
        <v>0</v>
      </c>
      <c r="AN140">
        <v>16</v>
      </c>
      <c r="AO140">
        <v>0</v>
      </c>
      <c r="AP140">
        <v>16</v>
      </c>
      <c r="AQ140">
        <v>0</v>
      </c>
      <c r="AR140">
        <v>0</v>
      </c>
      <c r="AS140">
        <v>11</v>
      </c>
      <c r="AT140" t="b">
        <v>1</v>
      </c>
      <c r="AU140">
        <v>0</v>
      </c>
      <c r="AV140">
        <v>0</v>
      </c>
      <c r="AW140">
        <v>0</v>
      </c>
      <c r="AX140" t="b">
        <v>0</v>
      </c>
      <c r="AY140" t="b">
        <v>0</v>
      </c>
      <c r="AZ140" t="b">
        <v>0</v>
      </c>
      <c r="BA140" t="b">
        <v>0</v>
      </c>
      <c r="BB140" t="s">
        <v>270</v>
      </c>
      <c r="BC140" t="s">
        <v>270</v>
      </c>
      <c r="BD140" t="s">
        <v>273</v>
      </c>
      <c r="BE140" t="s">
        <v>1775</v>
      </c>
      <c r="BF140" t="s">
        <v>1776</v>
      </c>
      <c r="BG140" t="s">
        <v>1777</v>
      </c>
      <c r="BH140" t="s">
        <v>1778</v>
      </c>
      <c r="BI140" t="s">
        <v>1779</v>
      </c>
      <c r="BJ140" t="b">
        <v>0</v>
      </c>
      <c r="BK140" t="b">
        <v>1</v>
      </c>
      <c r="BL140" t="b">
        <v>0</v>
      </c>
      <c r="BM140" t="b">
        <v>0</v>
      </c>
      <c r="BN140" t="b">
        <v>0</v>
      </c>
      <c r="BO140" t="b">
        <v>0</v>
      </c>
      <c r="BP140">
        <v>1</v>
      </c>
      <c r="BQ140">
        <v>7</v>
      </c>
      <c r="BR140">
        <v>0</v>
      </c>
      <c r="BS140">
        <v>0</v>
      </c>
      <c r="BT140" t="b">
        <v>1</v>
      </c>
      <c r="BU140">
        <v>10</v>
      </c>
      <c r="BV140">
        <v>8</v>
      </c>
      <c r="BW140">
        <v>3100</v>
      </c>
      <c r="BX140">
        <v>1</v>
      </c>
      <c r="BY140" t="s">
        <v>273</v>
      </c>
      <c r="BZ140" t="s">
        <v>270</v>
      </c>
      <c r="CA140" t="s">
        <v>273</v>
      </c>
      <c r="CB140" t="s">
        <v>273</v>
      </c>
      <c r="CC140" t="s">
        <v>1780</v>
      </c>
      <c r="CD140" t="s">
        <v>1781</v>
      </c>
      <c r="CE140" t="s">
        <v>1782</v>
      </c>
      <c r="CF140" t="s">
        <v>1783</v>
      </c>
      <c r="CG140">
        <f t="shared" si="10"/>
        <v>182.53904724121099</v>
      </c>
      <c r="CH140">
        <f t="shared" si="11"/>
        <v>3780</v>
      </c>
      <c r="CI140">
        <f t="shared" si="12"/>
        <v>3</v>
      </c>
      <c r="CJ140">
        <f t="shared" si="13"/>
        <v>689997.59857177758</v>
      </c>
      <c r="CK140">
        <f t="shared" si="14"/>
        <v>547.61714172363304</v>
      </c>
    </row>
    <row r="141" spans="1:89">
      <c r="A141">
        <v>71009</v>
      </c>
      <c r="B141" t="s">
        <v>1770</v>
      </c>
      <c r="C141">
        <v>136.90428161621099</v>
      </c>
      <c r="D141" t="s">
        <v>1822</v>
      </c>
      <c r="E141">
        <v>1908</v>
      </c>
      <c r="F141" t="s">
        <v>1788</v>
      </c>
      <c r="G141" t="s">
        <v>169</v>
      </c>
      <c r="H141">
        <v>98107</v>
      </c>
      <c r="I141" t="s">
        <v>1789</v>
      </c>
      <c r="J141" t="s">
        <v>1785</v>
      </c>
      <c r="K141" t="s">
        <v>1774</v>
      </c>
      <c r="L141">
        <v>8</v>
      </c>
      <c r="M141">
        <v>3</v>
      </c>
      <c r="N141">
        <v>0</v>
      </c>
      <c r="O141">
        <v>3</v>
      </c>
      <c r="P141">
        <v>0</v>
      </c>
      <c r="Q141">
        <v>4398</v>
      </c>
      <c r="R141">
        <v>4398</v>
      </c>
      <c r="S141">
        <v>1240</v>
      </c>
      <c r="T141">
        <v>0</v>
      </c>
      <c r="U141">
        <v>0</v>
      </c>
      <c r="V141">
        <v>0</v>
      </c>
      <c r="W141">
        <v>4</v>
      </c>
      <c r="X141">
        <v>4</v>
      </c>
      <c r="Y141">
        <v>0</v>
      </c>
      <c r="Z141" t="b">
        <v>0</v>
      </c>
      <c r="AA141" t="b">
        <v>1</v>
      </c>
      <c r="AB141">
        <v>8.75</v>
      </c>
      <c r="AC141">
        <v>3079.2705078125</v>
      </c>
      <c r="AD141">
        <v>16979.1015625</v>
      </c>
      <c r="AE141">
        <v>20058.37109375</v>
      </c>
      <c r="AF141">
        <v>3684.45166015625</v>
      </c>
      <c r="AG141">
        <v>131.25532531738301</v>
      </c>
      <c r="AH141">
        <v>3815.70703125</v>
      </c>
      <c r="AI141">
        <v>450009.875</v>
      </c>
      <c r="AJ141" t="s">
        <v>270</v>
      </c>
      <c r="AK141">
        <v>0</v>
      </c>
      <c r="AL141">
        <v>31</v>
      </c>
      <c r="AM141">
        <v>0</v>
      </c>
      <c r="AN141">
        <v>25</v>
      </c>
      <c r="AO141">
        <v>0</v>
      </c>
      <c r="AP141">
        <v>16</v>
      </c>
      <c r="AQ141">
        <v>0</v>
      </c>
      <c r="AR141">
        <v>0</v>
      </c>
      <c r="AS141">
        <v>28</v>
      </c>
      <c r="AT141" t="b">
        <v>0</v>
      </c>
      <c r="AU141">
        <v>1</v>
      </c>
      <c r="AV141">
        <v>1</v>
      </c>
      <c r="AW141">
        <v>0</v>
      </c>
      <c r="AX141" t="b">
        <v>1</v>
      </c>
      <c r="AY141" t="b">
        <v>0</v>
      </c>
      <c r="AZ141" t="b">
        <v>0</v>
      </c>
      <c r="BA141" t="b">
        <v>0</v>
      </c>
      <c r="BB141" t="s">
        <v>270</v>
      </c>
      <c r="BC141" t="s">
        <v>270</v>
      </c>
      <c r="BD141" t="s">
        <v>270</v>
      </c>
      <c r="BE141" t="s">
        <v>1813</v>
      </c>
      <c r="BF141" t="s">
        <v>1810</v>
      </c>
      <c r="BG141" t="s">
        <v>1814</v>
      </c>
      <c r="BH141" t="s">
        <v>1778</v>
      </c>
      <c r="BI141" t="s">
        <v>1812</v>
      </c>
      <c r="BJ141" t="b">
        <v>1</v>
      </c>
      <c r="BK141" t="b">
        <v>1</v>
      </c>
      <c r="BL141" t="b">
        <v>1</v>
      </c>
      <c r="BM141" t="b">
        <v>0</v>
      </c>
      <c r="BN141" t="b">
        <v>0</v>
      </c>
      <c r="BO141" t="b">
        <v>0</v>
      </c>
      <c r="BP141">
        <v>1</v>
      </c>
      <c r="BQ141">
        <v>9</v>
      </c>
      <c r="BR141">
        <v>1</v>
      </c>
      <c r="BS141">
        <v>7</v>
      </c>
      <c r="BT141" t="b">
        <v>0</v>
      </c>
      <c r="BV141">
        <v>0</v>
      </c>
      <c r="BW141">
        <v>0</v>
      </c>
      <c r="BX141">
        <v>0</v>
      </c>
      <c r="BY141" t="s">
        <v>270</v>
      </c>
      <c r="BZ141" t="s">
        <v>270</v>
      </c>
      <c r="CA141" t="s">
        <v>270</v>
      </c>
      <c r="CB141" t="s">
        <v>270</v>
      </c>
      <c r="CC141" t="s">
        <v>1780</v>
      </c>
      <c r="CD141" t="s">
        <v>1781</v>
      </c>
      <c r="CE141" t="s">
        <v>1798</v>
      </c>
      <c r="CF141" t="s">
        <v>1783</v>
      </c>
      <c r="CG141" t="str">
        <f t="shared" si="10"/>
        <v/>
      </c>
      <c r="CH141" t="str">
        <f t="shared" si="11"/>
        <v/>
      </c>
      <c r="CI141" t="str">
        <f t="shared" si="12"/>
        <v/>
      </c>
      <c r="CJ141" t="str">
        <f t="shared" si="13"/>
        <v/>
      </c>
      <c r="CK141" t="str">
        <f t="shared" si="14"/>
        <v/>
      </c>
    </row>
    <row r="142" spans="1:89">
      <c r="A142">
        <v>71010</v>
      </c>
      <c r="B142" t="s">
        <v>1770</v>
      </c>
      <c r="C142">
        <v>182.53904724121099</v>
      </c>
      <c r="D142" t="s">
        <v>1771</v>
      </c>
      <c r="E142">
        <v>1990</v>
      </c>
      <c r="F142" t="s">
        <v>1788</v>
      </c>
      <c r="G142" t="s">
        <v>169</v>
      </c>
      <c r="H142">
        <v>98115</v>
      </c>
      <c r="I142" t="s">
        <v>1789</v>
      </c>
      <c r="K142" t="s">
        <v>1774</v>
      </c>
      <c r="L142">
        <v>6</v>
      </c>
      <c r="M142">
        <v>2</v>
      </c>
      <c r="N142">
        <v>0</v>
      </c>
      <c r="O142">
        <v>2</v>
      </c>
      <c r="P142">
        <v>0</v>
      </c>
      <c r="Q142">
        <v>5364</v>
      </c>
      <c r="R142">
        <v>5364</v>
      </c>
      <c r="S142">
        <v>544</v>
      </c>
      <c r="T142">
        <v>0</v>
      </c>
      <c r="U142">
        <v>0</v>
      </c>
      <c r="V142">
        <v>4</v>
      </c>
      <c r="W142">
        <v>2</v>
      </c>
      <c r="X142">
        <v>0</v>
      </c>
      <c r="Y142">
        <v>0</v>
      </c>
      <c r="Z142" t="b">
        <v>0</v>
      </c>
      <c r="AA142" t="b">
        <v>1</v>
      </c>
      <c r="AB142">
        <v>7.75</v>
      </c>
      <c r="AC142">
        <v>5140.099609375</v>
      </c>
      <c r="AD142">
        <v>53659.64453125</v>
      </c>
      <c r="AE142">
        <v>58799.7421875</v>
      </c>
      <c r="AI142">
        <v>200624.71875</v>
      </c>
      <c r="AJ142" t="s">
        <v>270</v>
      </c>
      <c r="AK142">
        <v>0</v>
      </c>
      <c r="AL142">
        <v>19</v>
      </c>
      <c r="AM142">
        <v>0</v>
      </c>
      <c r="AN142">
        <v>42</v>
      </c>
      <c r="AO142">
        <v>0</v>
      </c>
      <c r="AP142">
        <v>21</v>
      </c>
      <c r="AQ142">
        <v>0</v>
      </c>
      <c r="AR142">
        <v>0</v>
      </c>
      <c r="AS142">
        <v>18</v>
      </c>
      <c r="AT142" t="b">
        <v>0</v>
      </c>
      <c r="AU142">
        <v>0</v>
      </c>
      <c r="AV142">
        <v>0</v>
      </c>
      <c r="AW142">
        <v>0</v>
      </c>
      <c r="AX142" t="b">
        <v>0</v>
      </c>
      <c r="AY142" t="b">
        <v>0</v>
      </c>
      <c r="AZ142" t="b">
        <v>0</v>
      </c>
      <c r="BA142" t="b">
        <v>0</v>
      </c>
      <c r="BB142" t="s">
        <v>270</v>
      </c>
      <c r="BC142" t="s">
        <v>270</v>
      </c>
      <c r="BD142" t="s">
        <v>270</v>
      </c>
      <c r="BE142" t="s">
        <v>1775</v>
      </c>
      <c r="BF142" t="s">
        <v>1776</v>
      </c>
      <c r="BG142" t="s">
        <v>1777</v>
      </c>
      <c r="BH142" t="s">
        <v>1778</v>
      </c>
      <c r="BI142" t="s">
        <v>1779</v>
      </c>
      <c r="BJ142" t="b">
        <v>0</v>
      </c>
      <c r="BK142" t="b">
        <v>1</v>
      </c>
      <c r="BL142" t="b">
        <v>0</v>
      </c>
      <c r="BM142" t="b">
        <v>0</v>
      </c>
      <c r="BN142" t="b">
        <v>0</v>
      </c>
      <c r="BO142" t="b">
        <v>0</v>
      </c>
      <c r="BP142">
        <v>1</v>
      </c>
      <c r="BQ142">
        <v>7</v>
      </c>
      <c r="BR142">
        <v>0</v>
      </c>
      <c r="BS142">
        <v>0</v>
      </c>
      <c r="BT142" t="b">
        <v>1</v>
      </c>
      <c r="BU142">
        <v>0</v>
      </c>
      <c r="BV142">
        <v>6</v>
      </c>
      <c r="BW142">
        <v>2415</v>
      </c>
      <c r="BX142">
        <v>1</v>
      </c>
      <c r="BY142" t="s">
        <v>273</v>
      </c>
      <c r="BZ142" t="s">
        <v>270</v>
      </c>
      <c r="CA142" t="s">
        <v>270</v>
      </c>
      <c r="CB142" t="s">
        <v>270</v>
      </c>
      <c r="CC142" t="s">
        <v>1780</v>
      </c>
      <c r="CD142" t="s">
        <v>1781</v>
      </c>
      <c r="CE142" t="s">
        <v>1801</v>
      </c>
      <c r="CF142" t="s">
        <v>1783</v>
      </c>
      <c r="CG142">
        <f t="shared" si="10"/>
        <v>182.53904724121099</v>
      </c>
      <c r="CH142">
        <f t="shared" si="11"/>
        <v>5364</v>
      </c>
      <c r="CI142">
        <f t="shared" si="12"/>
        <v>2</v>
      </c>
      <c r="CJ142">
        <f t="shared" si="13"/>
        <v>979139.44940185582</v>
      </c>
      <c r="CK142">
        <f t="shared" si="14"/>
        <v>365.07809448242199</v>
      </c>
    </row>
    <row r="143" spans="1:89">
      <c r="A143">
        <v>71011</v>
      </c>
      <c r="B143" t="s">
        <v>1770</v>
      </c>
      <c r="C143">
        <v>136.90428161621099</v>
      </c>
      <c r="D143" t="s">
        <v>1822</v>
      </c>
      <c r="E143">
        <v>1935</v>
      </c>
      <c r="F143" t="s">
        <v>1788</v>
      </c>
      <c r="G143" t="s">
        <v>169</v>
      </c>
      <c r="H143">
        <v>98122</v>
      </c>
      <c r="I143" t="s">
        <v>1789</v>
      </c>
      <c r="K143" t="s">
        <v>1774</v>
      </c>
      <c r="L143">
        <v>8</v>
      </c>
      <c r="M143">
        <v>4</v>
      </c>
      <c r="N143">
        <v>0</v>
      </c>
      <c r="O143">
        <v>3</v>
      </c>
      <c r="P143">
        <v>0</v>
      </c>
      <c r="Q143">
        <v>7343</v>
      </c>
      <c r="R143">
        <v>7343</v>
      </c>
      <c r="S143">
        <v>680</v>
      </c>
      <c r="T143">
        <v>0</v>
      </c>
      <c r="U143">
        <v>0</v>
      </c>
      <c r="V143">
        <v>2</v>
      </c>
      <c r="W143">
        <v>5</v>
      </c>
      <c r="X143">
        <v>1</v>
      </c>
      <c r="Y143">
        <v>0</v>
      </c>
      <c r="Z143" t="b">
        <v>0</v>
      </c>
      <c r="AA143" t="b">
        <v>1</v>
      </c>
      <c r="AB143">
        <v>8</v>
      </c>
      <c r="AC143">
        <v>28963.060546875</v>
      </c>
      <c r="AD143">
        <v>52889.86328125</v>
      </c>
      <c r="AE143">
        <v>81852.921875</v>
      </c>
      <c r="AI143">
        <v>279282.15625</v>
      </c>
      <c r="AJ143" t="s">
        <v>273</v>
      </c>
      <c r="AK143">
        <v>0</v>
      </c>
      <c r="AL143">
        <v>33</v>
      </c>
      <c r="AM143">
        <v>0</v>
      </c>
      <c r="AN143">
        <v>31</v>
      </c>
      <c r="AO143">
        <v>0</v>
      </c>
      <c r="AP143">
        <v>12</v>
      </c>
      <c r="AQ143">
        <v>0</v>
      </c>
      <c r="AR143">
        <v>0</v>
      </c>
      <c r="AS143">
        <v>24</v>
      </c>
      <c r="AT143" t="b">
        <v>0</v>
      </c>
      <c r="AU143">
        <v>2</v>
      </c>
      <c r="AV143">
        <v>2</v>
      </c>
      <c r="AW143">
        <v>0</v>
      </c>
      <c r="AX143" t="b">
        <v>0</v>
      </c>
      <c r="AY143" t="b">
        <v>0</v>
      </c>
      <c r="AZ143" t="b">
        <v>0</v>
      </c>
      <c r="BA143" t="b">
        <v>0</v>
      </c>
      <c r="BB143" t="s">
        <v>270</v>
      </c>
      <c r="BC143" t="s">
        <v>270</v>
      </c>
      <c r="BD143" t="s">
        <v>270</v>
      </c>
      <c r="BE143" t="s">
        <v>1775</v>
      </c>
      <c r="BF143" t="s">
        <v>1776</v>
      </c>
      <c r="BG143" t="s">
        <v>1777</v>
      </c>
      <c r="BH143" t="s">
        <v>1778</v>
      </c>
      <c r="BI143" t="s">
        <v>1790</v>
      </c>
      <c r="BJ143" t="b">
        <v>0</v>
      </c>
      <c r="BK143" t="b">
        <v>1</v>
      </c>
      <c r="BL143" t="b">
        <v>0</v>
      </c>
      <c r="BM143" t="b">
        <v>0</v>
      </c>
      <c r="BN143" t="b">
        <v>0</v>
      </c>
      <c r="BO143" t="b">
        <v>0</v>
      </c>
      <c r="BP143">
        <v>1</v>
      </c>
      <c r="BQ143">
        <v>9</v>
      </c>
      <c r="BR143">
        <v>0</v>
      </c>
      <c r="BS143">
        <v>0</v>
      </c>
      <c r="BT143" t="b">
        <v>0</v>
      </c>
      <c r="BV143">
        <v>0</v>
      </c>
      <c r="BW143">
        <v>0</v>
      </c>
      <c r="BX143">
        <v>0</v>
      </c>
      <c r="BY143" t="s">
        <v>270</v>
      </c>
      <c r="BZ143" t="s">
        <v>270</v>
      </c>
      <c r="CA143" t="s">
        <v>270</v>
      </c>
      <c r="CB143" t="s">
        <v>270</v>
      </c>
      <c r="CC143" t="s">
        <v>1780</v>
      </c>
      <c r="CD143" t="s">
        <v>1781</v>
      </c>
      <c r="CE143" t="s">
        <v>1815</v>
      </c>
      <c r="CF143" t="s">
        <v>1783</v>
      </c>
      <c r="CG143">
        <f t="shared" si="10"/>
        <v>136.90428161621099</v>
      </c>
      <c r="CH143">
        <f t="shared" si="11"/>
        <v>7343</v>
      </c>
      <c r="CI143">
        <f t="shared" si="12"/>
        <v>4</v>
      </c>
      <c r="CJ143">
        <f t="shared" si="13"/>
        <v>1005288.1399078374</v>
      </c>
      <c r="CK143">
        <f t="shared" si="14"/>
        <v>547.61712646484398</v>
      </c>
    </row>
    <row r="144" spans="1:89">
      <c r="A144">
        <v>71012</v>
      </c>
      <c r="B144" t="s">
        <v>1770</v>
      </c>
      <c r="C144">
        <v>182.53904724121099</v>
      </c>
      <c r="D144" t="s">
        <v>1792</v>
      </c>
      <c r="E144">
        <v>1969</v>
      </c>
      <c r="F144" t="s">
        <v>1788</v>
      </c>
      <c r="G144" t="s">
        <v>169</v>
      </c>
      <c r="H144">
        <v>98109</v>
      </c>
      <c r="I144" t="s">
        <v>1789</v>
      </c>
      <c r="K144" t="s">
        <v>1774</v>
      </c>
      <c r="L144">
        <v>6</v>
      </c>
      <c r="M144">
        <v>3</v>
      </c>
      <c r="N144">
        <v>0</v>
      </c>
      <c r="O144">
        <v>2</v>
      </c>
      <c r="P144">
        <v>0</v>
      </c>
      <c r="Q144">
        <v>4320</v>
      </c>
      <c r="R144">
        <v>4320</v>
      </c>
      <c r="S144">
        <v>200</v>
      </c>
      <c r="T144">
        <v>0</v>
      </c>
      <c r="U144">
        <v>0</v>
      </c>
      <c r="V144">
        <v>1</v>
      </c>
      <c r="W144">
        <v>3</v>
      </c>
      <c r="X144">
        <v>2</v>
      </c>
      <c r="Y144">
        <v>0</v>
      </c>
      <c r="Z144" t="b">
        <v>0</v>
      </c>
      <c r="AA144" t="b">
        <v>1</v>
      </c>
      <c r="AB144">
        <v>8</v>
      </c>
      <c r="AC144">
        <v>2387.94067382813</v>
      </c>
      <c r="AD144">
        <v>32980.55859375</v>
      </c>
      <c r="AE144">
        <v>35368.5</v>
      </c>
      <c r="AI144">
        <v>120677.3203125</v>
      </c>
      <c r="AJ144" t="s">
        <v>270</v>
      </c>
      <c r="AK144">
        <v>0</v>
      </c>
      <c r="AL144">
        <v>33</v>
      </c>
      <c r="AM144">
        <v>0</v>
      </c>
      <c r="AN144">
        <v>10</v>
      </c>
      <c r="AO144">
        <v>0</v>
      </c>
      <c r="AP144">
        <v>57</v>
      </c>
      <c r="AQ144">
        <v>0</v>
      </c>
      <c r="AR144">
        <v>0</v>
      </c>
      <c r="AS144">
        <v>0</v>
      </c>
      <c r="AT144" t="b">
        <v>0</v>
      </c>
      <c r="AU144">
        <v>2</v>
      </c>
      <c r="AV144">
        <v>2</v>
      </c>
      <c r="AW144">
        <v>0</v>
      </c>
      <c r="AX144" t="b">
        <v>0</v>
      </c>
      <c r="AY144" t="b">
        <v>0</v>
      </c>
      <c r="AZ144" t="b">
        <v>0</v>
      </c>
      <c r="BA144" t="b">
        <v>0</v>
      </c>
      <c r="BB144" t="s">
        <v>270</v>
      </c>
      <c r="BC144" t="s">
        <v>270</v>
      </c>
      <c r="BD144" t="s">
        <v>270</v>
      </c>
      <c r="BE144" t="s">
        <v>1775</v>
      </c>
      <c r="BF144" t="s">
        <v>1776</v>
      </c>
      <c r="BG144" t="s">
        <v>1777</v>
      </c>
      <c r="BH144" t="s">
        <v>1778</v>
      </c>
      <c r="BI144" t="s">
        <v>1790</v>
      </c>
      <c r="BJ144" t="b">
        <v>0</v>
      </c>
      <c r="BK144" t="b">
        <v>1</v>
      </c>
      <c r="BL144" t="b">
        <v>0</v>
      </c>
      <c r="BM144" t="b">
        <v>0</v>
      </c>
      <c r="BN144" t="b">
        <v>0</v>
      </c>
      <c r="BO144" t="b">
        <v>0</v>
      </c>
      <c r="BP144">
        <v>1</v>
      </c>
      <c r="BQ144">
        <v>8</v>
      </c>
      <c r="BR144">
        <v>0</v>
      </c>
      <c r="BS144">
        <v>0</v>
      </c>
      <c r="BT144" t="b">
        <v>1</v>
      </c>
      <c r="BU144">
        <v>0</v>
      </c>
      <c r="BV144">
        <v>5</v>
      </c>
      <c r="BW144">
        <v>1975</v>
      </c>
      <c r="BX144">
        <v>0</v>
      </c>
      <c r="BY144" t="s">
        <v>270</v>
      </c>
      <c r="BZ144" t="s">
        <v>270</v>
      </c>
      <c r="CA144" t="s">
        <v>273</v>
      </c>
      <c r="CB144" t="s">
        <v>273</v>
      </c>
      <c r="CC144" t="s">
        <v>1787</v>
      </c>
      <c r="CD144" t="s">
        <v>1781</v>
      </c>
      <c r="CE144" t="s">
        <v>1824</v>
      </c>
      <c r="CF144" t="s">
        <v>1783</v>
      </c>
      <c r="CG144">
        <f t="shared" si="10"/>
        <v>182.53904724121099</v>
      </c>
      <c r="CH144">
        <f t="shared" si="11"/>
        <v>4320</v>
      </c>
      <c r="CI144">
        <f t="shared" si="12"/>
        <v>3</v>
      </c>
      <c r="CJ144">
        <f t="shared" si="13"/>
        <v>788568.68408203148</v>
      </c>
      <c r="CK144">
        <f t="shared" si="14"/>
        <v>547.61714172363304</v>
      </c>
    </row>
    <row r="145" spans="1:89">
      <c r="A145">
        <v>71013</v>
      </c>
      <c r="B145" t="s">
        <v>1770</v>
      </c>
      <c r="C145">
        <v>136.90428161621099</v>
      </c>
      <c r="D145" t="s">
        <v>1792</v>
      </c>
      <c r="E145">
        <v>1965</v>
      </c>
      <c r="F145" t="s">
        <v>1788</v>
      </c>
      <c r="G145" t="s">
        <v>169</v>
      </c>
      <c r="H145">
        <v>98105</v>
      </c>
      <c r="I145" t="s">
        <v>1789</v>
      </c>
      <c r="J145" t="s">
        <v>1785</v>
      </c>
      <c r="K145" t="s">
        <v>1774</v>
      </c>
      <c r="L145">
        <v>8</v>
      </c>
      <c r="M145">
        <v>3</v>
      </c>
      <c r="N145">
        <v>0</v>
      </c>
      <c r="O145">
        <v>3</v>
      </c>
      <c r="P145">
        <v>0</v>
      </c>
      <c r="Q145">
        <v>6663</v>
      </c>
      <c r="R145">
        <v>6663</v>
      </c>
      <c r="S145">
        <v>1289</v>
      </c>
      <c r="T145">
        <v>0</v>
      </c>
      <c r="U145">
        <v>0</v>
      </c>
      <c r="V145">
        <v>4</v>
      </c>
      <c r="W145">
        <v>3</v>
      </c>
      <c r="X145">
        <v>1</v>
      </c>
      <c r="Y145">
        <v>12</v>
      </c>
      <c r="Z145" t="b">
        <v>0</v>
      </c>
      <c r="AA145" t="b">
        <v>1</v>
      </c>
      <c r="AB145">
        <v>8</v>
      </c>
      <c r="AC145">
        <v>4325.66748046875</v>
      </c>
      <c r="AD145">
        <v>30495.52734375</v>
      </c>
      <c r="AE145">
        <v>34821.1953125</v>
      </c>
      <c r="AH145">
        <v>3870.19458007813</v>
      </c>
      <c r="AI145">
        <v>505829.375</v>
      </c>
      <c r="AJ145" t="s">
        <v>270</v>
      </c>
      <c r="AK145">
        <v>0</v>
      </c>
      <c r="AL145">
        <v>6</v>
      </c>
      <c r="AM145">
        <v>0</v>
      </c>
      <c r="AN145">
        <v>38</v>
      </c>
      <c r="AO145">
        <v>0</v>
      </c>
      <c r="AP145">
        <v>46</v>
      </c>
      <c r="AQ145">
        <v>0</v>
      </c>
      <c r="AR145">
        <v>0</v>
      </c>
      <c r="AS145">
        <v>10</v>
      </c>
      <c r="AT145" t="b">
        <v>0</v>
      </c>
      <c r="AU145">
        <v>1</v>
      </c>
      <c r="AV145">
        <v>1</v>
      </c>
      <c r="AW145">
        <v>0</v>
      </c>
      <c r="AX145" t="b">
        <v>1</v>
      </c>
      <c r="AY145" t="b">
        <v>0</v>
      </c>
      <c r="AZ145" t="b">
        <v>0</v>
      </c>
      <c r="BA145" t="b">
        <v>0</v>
      </c>
      <c r="BB145" t="s">
        <v>270</v>
      </c>
      <c r="BC145" t="s">
        <v>270</v>
      </c>
      <c r="BD145" t="s">
        <v>270</v>
      </c>
      <c r="BE145" t="s">
        <v>1813</v>
      </c>
      <c r="BF145" t="s">
        <v>1810</v>
      </c>
      <c r="BG145" t="s">
        <v>1814</v>
      </c>
      <c r="BH145" t="s">
        <v>1778</v>
      </c>
      <c r="BI145" t="s">
        <v>1790</v>
      </c>
      <c r="BJ145" t="b">
        <v>1</v>
      </c>
      <c r="BK145" t="b">
        <v>1</v>
      </c>
      <c r="BL145" t="b">
        <v>1</v>
      </c>
      <c r="BM145" t="b">
        <v>0</v>
      </c>
      <c r="BN145" t="b">
        <v>0</v>
      </c>
      <c r="BO145" t="b">
        <v>0</v>
      </c>
      <c r="BP145">
        <v>1</v>
      </c>
      <c r="BQ145">
        <v>9</v>
      </c>
      <c r="BR145">
        <v>1</v>
      </c>
      <c r="BS145">
        <v>1</v>
      </c>
      <c r="BT145" t="b">
        <v>1</v>
      </c>
      <c r="BV145">
        <v>6</v>
      </c>
      <c r="BW145">
        <v>2550</v>
      </c>
      <c r="BX145">
        <v>0</v>
      </c>
      <c r="BY145" t="s">
        <v>270</v>
      </c>
      <c r="BZ145" t="s">
        <v>270</v>
      </c>
      <c r="CA145" t="s">
        <v>270</v>
      </c>
      <c r="CB145" t="s">
        <v>273</v>
      </c>
      <c r="CC145" t="s">
        <v>1780</v>
      </c>
      <c r="CD145" t="s">
        <v>1781</v>
      </c>
      <c r="CE145" t="s">
        <v>1782</v>
      </c>
      <c r="CF145" t="s">
        <v>1783</v>
      </c>
      <c r="CG145" t="str">
        <f t="shared" si="10"/>
        <v/>
      </c>
      <c r="CH145" t="str">
        <f t="shared" si="11"/>
        <v/>
      </c>
      <c r="CI145" t="str">
        <f t="shared" si="12"/>
        <v/>
      </c>
      <c r="CJ145" t="str">
        <f t="shared" si="13"/>
        <v/>
      </c>
      <c r="CK145" t="str">
        <f t="shared" si="14"/>
        <v/>
      </c>
    </row>
    <row r="146" spans="1:89">
      <c r="A146">
        <v>71014</v>
      </c>
      <c r="B146" t="s">
        <v>1770</v>
      </c>
      <c r="C146">
        <v>136.90428161621099</v>
      </c>
      <c r="D146" t="s">
        <v>1792</v>
      </c>
      <c r="E146">
        <v>1964</v>
      </c>
      <c r="F146" t="s">
        <v>1788</v>
      </c>
      <c r="G146" t="s">
        <v>169</v>
      </c>
      <c r="H146">
        <v>98125</v>
      </c>
      <c r="I146" t="s">
        <v>1789</v>
      </c>
      <c r="K146" t="s">
        <v>1774</v>
      </c>
      <c r="L146">
        <v>8</v>
      </c>
      <c r="M146">
        <v>2</v>
      </c>
      <c r="N146">
        <v>0</v>
      </c>
      <c r="O146">
        <v>2</v>
      </c>
      <c r="P146">
        <v>0</v>
      </c>
      <c r="Q146">
        <v>5980</v>
      </c>
      <c r="R146">
        <v>5980</v>
      </c>
      <c r="S146">
        <v>60</v>
      </c>
      <c r="T146">
        <v>0</v>
      </c>
      <c r="U146">
        <v>0</v>
      </c>
      <c r="V146">
        <v>4</v>
      </c>
      <c r="W146">
        <v>4</v>
      </c>
      <c r="X146">
        <v>0</v>
      </c>
      <c r="Y146">
        <v>0</v>
      </c>
      <c r="Z146" t="b">
        <v>0</v>
      </c>
      <c r="AA146" t="b">
        <v>1</v>
      </c>
      <c r="AB146">
        <v>7.75</v>
      </c>
      <c r="AC146">
        <v>2280.20922851563</v>
      </c>
      <c r="AD146">
        <v>46829.8984375</v>
      </c>
      <c r="AE146">
        <v>49110.109375</v>
      </c>
      <c r="AI146">
        <v>167563.6875</v>
      </c>
      <c r="AJ146" t="s">
        <v>270</v>
      </c>
      <c r="AL146">
        <v>5</v>
      </c>
      <c r="AM146">
        <v>0</v>
      </c>
      <c r="AN146">
        <v>31</v>
      </c>
      <c r="AO146">
        <v>0</v>
      </c>
      <c r="AP146">
        <v>47</v>
      </c>
      <c r="AQ146">
        <v>0</v>
      </c>
      <c r="AR146">
        <v>0</v>
      </c>
      <c r="AS146">
        <v>17</v>
      </c>
      <c r="AT146" t="b">
        <v>0</v>
      </c>
      <c r="AU146">
        <v>1</v>
      </c>
      <c r="AV146">
        <v>2</v>
      </c>
      <c r="AW146">
        <v>0</v>
      </c>
      <c r="AX146" t="b">
        <v>0</v>
      </c>
      <c r="AY146" t="b">
        <v>0</v>
      </c>
      <c r="AZ146" t="b">
        <v>0</v>
      </c>
      <c r="BA146" t="b">
        <v>0</v>
      </c>
      <c r="BB146" t="s">
        <v>270</v>
      </c>
      <c r="BC146" t="s">
        <v>270</v>
      </c>
      <c r="BD146" t="s">
        <v>270</v>
      </c>
      <c r="BE146" t="s">
        <v>1775</v>
      </c>
      <c r="BF146" t="s">
        <v>1776</v>
      </c>
      <c r="BG146" t="s">
        <v>1777</v>
      </c>
      <c r="BH146" t="s">
        <v>1778</v>
      </c>
      <c r="BI146" t="s">
        <v>1790</v>
      </c>
      <c r="BJ146" t="b">
        <v>0</v>
      </c>
      <c r="BK146" t="b">
        <v>1</v>
      </c>
      <c r="BL146" t="b">
        <v>0</v>
      </c>
      <c r="BM146" t="b">
        <v>0</v>
      </c>
      <c r="BN146" t="b">
        <v>0</v>
      </c>
      <c r="BO146" t="b">
        <v>0</v>
      </c>
      <c r="BP146">
        <v>1</v>
      </c>
      <c r="BQ146">
        <v>9</v>
      </c>
      <c r="BR146">
        <v>0</v>
      </c>
      <c r="BS146">
        <v>0</v>
      </c>
      <c r="BT146" t="b">
        <v>1</v>
      </c>
      <c r="BV146">
        <v>15</v>
      </c>
      <c r="BW146">
        <v>6375</v>
      </c>
      <c r="BX146">
        <v>0</v>
      </c>
      <c r="BY146" t="s">
        <v>270</v>
      </c>
      <c r="BZ146" t="s">
        <v>270</v>
      </c>
      <c r="CA146" t="s">
        <v>270</v>
      </c>
      <c r="CB146" t="s">
        <v>273</v>
      </c>
      <c r="CC146" t="s">
        <v>1787</v>
      </c>
      <c r="CD146" t="s">
        <v>1781</v>
      </c>
      <c r="CE146" t="s">
        <v>1795</v>
      </c>
      <c r="CF146" t="s">
        <v>1783</v>
      </c>
      <c r="CG146">
        <f t="shared" si="10"/>
        <v>136.90428161621099</v>
      </c>
      <c r="CH146">
        <f t="shared" si="11"/>
        <v>5980</v>
      </c>
      <c r="CI146">
        <f t="shared" si="12"/>
        <v>2</v>
      </c>
      <c r="CJ146">
        <f t="shared" si="13"/>
        <v>818687.60406494176</v>
      </c>
      <c r="CK146">
        <f t="shared" si="14"/>
        <v>273.80856323242199</v>
      </c>
    </row>
    <row r="147" spans="1:89">
      <c r="A147">
        <v>72001</v>
      </c>
      <c r="B147" t="s">
        <v>1770</v>
      </c>
      <c r="C147">
        <v>78.231018066406307</v>
      </c>
      <c r="D147" t="s">
        <v>1802</v>
      </c>
      <c r="E147">
        <v>1979</v>
      </c>
      <c r="F147" t="s">
        <v>1788</v>
      </c>
      <c r="G147" t="s">
        <v>169</v>
      </c>
      <c r="H147">
        <v>98133</v>
      </c>
      <c r="I147" t="s">
        <v>1789</v>
      </c>
      <c r="K147" t="s">
        <v>1774</v>
      </c>
      <c r="L147">
        <v>14</v>
      </c>
      <c r="M147">
        <v>3</v>
      </c>
      <c r="N147">
        <v>0</v>
      </c>
      <c r="O147">
        <v>3</v>
      </c>
      <c r="P147">
        <v>1</v>
      </c>
      <c r="Q147">
        <v>13566</v>
      </c>
      <c r="R147">
        <v>13566</v>
      </c>
      <c r="S147">
        <v>1511</v>
      </c>
      <c r="T147">
        <v>0</v>
      </c>
      <c r="U147">
        <v>0</v>
      </c>
      <c r="V147">
        <v>3</v>
      </c>
      <c r="W147">
        <v>11</v>
      </c>
      <c r="X147">
        <v>0</v>
      </c>
      <c r="Y147">
        <v>0</v>
      </c>
      <c r="Z147" t="b">
        <v>0</v>
      </c>
      <c r="AA147" t="b">
        <v>1</v>
      </c>
      <c r="AB147">
        <v>7.75</v>
      </c>
      <c r="AC147">
        <v>11995.4560546875</v>
      </c>
      <c r="AD147">
        <v>98852.03125</v>
      </c>
      <c r="AE147">
        <v>110847.484375</v>
      </c>
      <c r="AI147">
        <v>378211.625</v>
      </c>
      <c r="AJ147" t="s">
        <v>270</v>
      </c>
      <c r="AK147">
        <v>0</v>
      </c>
      <c r="AL147">
        <v>6</v>
      </c>
      <c r="AM147">
        <v>0</v>
      </c>
      <c r="AN147">
        <v>29</v>
      </c>
      <c r="AO147">
        <v>0</v>
      </c>
      <c r="AP147">
        <v>46</v>
      </c>
      <c r="AQ147">
        <v>0</v>
      </c>
      <c r="AR147">
        <v>0</v>
      </c>
      <c r="AS147">
        <v>19</v>
      </c>
      <c r="AT147" t="b">
        <v>1</v>
      </c>
      <c r="AU147">
        <v>1</v>
      </c>
      <c r="AV147">
        <v>1</v>
      </c>
      <c r="AW147">
        <v>0</v>
      </c>
      <c r="AX147" t="b">
        <v>0</v>
      </c>
      <c r="AY147" t="b">
        <v>0</v>
      </c>
      <c r="AZ147" t="b">
        <v>0</v>
      </c>
      <c r="BA147" t="b">
        <v>0</v>
      </c>
      <c r="BB147" t="s">
        <v>270</v>
      </c>
      <c r="BC147" t="s">
        <v>270</v>
      </c>
      <c r="BD147" t="s">
        <v>270</v>
      </c>
      <c r="BE147" t="s">
        <v>1775</v>
      </c>
      <c r="BF147" t="s">
        <v>1776</v>
      </c>
      <c r="BG147" t="s">
        <v>1777</v>
      </c>
      <c r="BH147" t="s">
        <v>1778</v>
      </c>
      <c r="BI147" t="s">
        <v>1790</v>
      </c>
      <c r="BJ147" t="b">
        <v>0</v>
      </c>
      <c r="BK147" t="b">
        <v>1</v>
      </c>
      <c r="BL147" t="b">
        <v>0</v>
      </c>
      <c r="BM147" t="b">
        <v>0</v>
      </c>
      <c r="BN147" t="b">
        <v>0</v>
      </c>
      <c r="BO147" t="b">
        <v>0</v>
      </c>
      <c r="BP147">
        <v>1</v>
      </c>
      <c r="BQ147">
        <v>15</v>
      </c>
      <c r="BR147">
        <v>0</v>
      </c>
      <c r="BS147">
        <v>0</v>
      </c>
      <c r="BT147" t="b">
        <v>1</v>
      </c>
      <c r="BV147">
        <v>13</v>
      </c>
      <c r="BW147">
        <v>5525</v>
      </c>
      <c r="BX147">
        <v>0</v>
      </c>
      <c r="BY147" t="s">
        <v>270</v>
      </c>
      <c r="BZ147" t="s">
        <v>270</v>
      </c>
      <c r="CA147" t="s">
        <v>270</v>
      </c>
      <c r="CB147" t="s">
        <v>273</v>
      </c>
      <c r="CC147" t="s">
        <v>1787</v>
      </c>
      <c r="CD147" t="s">
        <v>1781</v>
      </c>
      <c r="CE147" t="s">
        <v>1795</v>
      </c>
      <c r="CF147" t="s">
        <v>1783</v>
      </c>
      <c r="CG147">
        <f t="shared" si="10"/>
        <v>78.231018066406307</v>
      </c>
      <c r="CH147">
        <f t="shared" si="11"/>
        <v>13566</v>
      </c>
      <c r="CI147">
        <f t="shared" si="12"/>
        <v>3</v>
      </c>
      <c r="CJ147">
        <f t="shared" si="13"/>
        <v>1061281.9910888679</v>
      </c>
      <c r="CK147">
        <f t="shared" si="14"/>
        <v>234.69305419921892</v>
      </c>
    </row>
    <row r="148" spans="1:89">
      <c r="A148">
        <v>72002</v>
      </c>
      <c r="B148" t="s">
        <v>1799</v>
      </c>
      <c r="C148">
        <v>99.566741943359403</v>
      </c>
      <c r="D148" t="s">
        <v>1808</v>
      </c>
      <c r="E148">
        <v>1994</v>
      </c>
      <c r="F148" t="s">
        <v>1788</v>
      </c>
      <c r="G148" t="s">
        <v>169</v>
      </c>
      <c r="H148">
        <v>98107</v>
      </c>
      <c r="I148" t="s">
        <v>1789</v>
      </c>
      <c r="J148" t="s">
        <v>1785</v>
      </c>
      <c r="K148" t="s">
        <v>1774</v>
      </c>
      <c r="L148">
        <v>11</v>
      </c>
      <c r="M148">
        <v>4</v>
      </c>
      <c r="N148">
        <v>0</v>
      </c>
      <c r="O148">
        <v>4</v>
      </c>
      <c r="P148">
        <v>0</v>
      </c>
      <c r="Q148">
        <v>12600</v>
      </c>
      <c r="R148">
        <v>12600</v>
      </c>
      <c r="S148">
        <v>2090</v>
      </c>
      <c r="T148">
        <v>0</v>
      </c>
      <c r="U148">
        <v>0</v>
      </c>
      <c r="V148">
        <v>11</v>
      </c>
      <c r="W148">
        <v>0</v>
      </c>
      <c r="X148">
        <v>0</v>
      </c>
      <c r="Y148">
        <v>0</v>
      </c>
      <c r="Z148" t="b">
        <v>0</v>
      </c>
      <c r="AA148" t="b">
        <v>1</v>
      </c>
      <c r="AB148">
        <v>7.6999998092651403</v>
      </c>
      <c r="AC148">
        <v>22214.388671875</v>
      </c>
      <c r="AD148">
        <v>62244.73828125</v>
      </c>
      <c r="AE148">
        <v>84459.125</v>
      </c>
      <c r="AH148">
        <v>1392.66442871094</v>
      </c>
      <c r="AI148">
        <v>427440.96875</v>
      </c>
      <c r="AJ148" t="s">
        <v>270</v>
      </c>
      <c r="AK148">
        <v>0</v>
      </c>
      <c r="AL148">
        <v>15</v>
      </c>
      <c r="AM148">
        <v>0</v>
      </c>
      <c r="AN148">
        <v>15</v>
      </c>
      <c r="AO148">
        <v>0</v>
      </c>
      <c r="AP148">
        <v>37</v>
      </c>
      <c r="AQ148">
        <v>0</v>
      </c>
      <c r="AR148">
        <v>0</v>
      </c>
      <c r="AS148">
        <v>31</v>
      </c>
      <c r="AT148" t="b">
        <v>1</v>
      </c>
      <c r="AU148">
        <v>0</v>
      </c>
      <c r="AV148">
        <v>0</v>
      </c>
      <c r="AW148">
        <v>1</v>
      </c>
      <c r="AX148" t="b">
        <v>0</v>
      </c>
      <c r="AY148" t="b">
        <v>0</v>
      </c>
      <c r="AZ148" t="b">
        <v>1</v>
      </c>
      <c r="BA148" t="b">
        <v>0</v>
      </c>
      <c r="BB148" t="s">
        <v>270</v>
      </c>
      <c r="BC148" t="s">
        <v>270</v>
      </c>
      <c r="BD148" t="s">
        <v>270</v>
      </c>
      <c r="BE148" t="s">
        <v>1775</v>
      </c>
      <c r="BF148" t="s">
        <v>1776</v>
      </c>
      <c r="BG148" t="s">
        <v>1777</v>
      </c>
      <c r="BH148" t="s">
        <v>1778</v>
      </c>
      <c r="BI148" t="s">
        <v>1779</v>
      </c>
      <c r="BJ148" t="b">
        <v>1</v>
      </c>
      <c r="BK148" t="b">
        <v>1</v>
      </c>
      <c r="BL148" t="b">
        <v>1</v>
      </c>
      <c r="BM148" t="b">
        <v>0</v>
      </c>
      <c r="BN148" t="b">
        <v>0</v>
      </c>
      <c r="BO148" t="b">
        <v>0</v>
      </c>
      <c r="BP148">
        <v>1</v>
      </c>
      <c r="BQ148">
        <v>13</v>
      </c>
      <c r="BR148">
        <v>1</v>
      </c>
      <c r="BS148">
        <v>1</v>
      </c>
      <c r="BT148" t="b">
        <v>1</v>
      </c>
      <c r="BU148">
        <v>0</v>
      </c>
      <c r="BV148">
        <v>14</v>
      </c>
      <c r="BW148">
        <v>3253</v>
      </c>
      <c r="BX148">
        <v>1</v>
      </c>
      <c r="BY148" t="s">
        <v>273</v>
      </c>
      <c r="BZ148" t="s">
        <v>273</v>
      </c>
      <c r="CA148" t="s">
        <v>270</v>
      </c>
      <c r="CB148" t="s">
        <v>270</v>
      </c>
      <c r="CC148" t="s">
        <v>1780</v>
      </c>
      <c r="CD148" t="s">
        <v>1781</v>
      </c>
      <c r="CE148" t="s">
        <v>1801</v>
      </c>
      <c r="CF148" t="s">
        <v>1783</v>
      </c>
      <c r="CG148" t="str">
        <f t="shared" si="10"/>
        <v/>
      </c>
      <c r="CH148" t="str">
        <f t="shared" si="11"/>
        <v/>
      </c>
      <c r="CI148" t="str">
        <f t="shared" si="12"/>
        <v/>
      </c>
      <c r="CJ148" t="str">
        <f t="shared" si="13"/>
        <v/>
      </c>
      <c r="CK148" t="str">
        <f t="shared" si="14"/>
        <v/>
      </c>
    </row>
    <row r="149" spans="1:89">
      <c r="A149">
        <v>72003</v>
      </c>
      <c r="B149" t="s">
        <v>1799</v>
      </c>
      <c r="C149">
        <v>109.523429870605</v>
      </c>
      <c r="D149" t="s">
        <v>1771</v>
      </c>
      <c r="E149">
        <v>1986</v>
      </c>
      <c r="F149" t="s">
        <v>1788</v>
      </c>
      <c r="G149" t="s">
        <v>169</v>
      </c>
      <c r="H149">
        <v>98125</v>
      </c>
      <c r="I149" t="s">
        <v>1789</v>
      </c>
      <c r="K149" t="s">
        <v>1774</v>
      </c>
      <c r="L149">
        <v>10</v>
      </c>
      <c r="M149">
        <v>4</v>
      </c>
      <c r="N149">
        <v>0</v>
      </c>
      <c r="O149">
        <v>4</v>
      </c>
      <c r="P149">
        <v>0</v>
      </c>
      <c r="Q149">
        <v>10340</v>
      </c>
      <c r="R149">
        <v>10340</v>
      </c>
      <c r="S149">
        <v>2150</v>
      </c>
      <c r="T149">
        <v>0</v>
      </c>
      <c r="U149">
        <v>0</v>
      </c>
      <c r="V149">
        <v>3</v>
      </c>
      <c r="W149">
        <v>7</v>
      </c>
      <c r="X149">
        <v>0</v>
      </c>
      <c r="Y149">
        <v>20</v>
      </c>
      <c r="Z149" t="b">
        <v>0</v>
      </c>
      <c r="AA149" t="b">
        <v>1</v>
      </c>
      <c r="AB149">
        <v>8</v>
      </c>
      <c r="AC149">
        <v>8485.9404296875</v>
      </c>
      <c r="AD149">
        <v>72694.2109375</v>
      </c>
      <c r="AE149">
        <v>81180.1484375</v>
      </c>
      <c r="AI149">
        <v>276986.65625</v>
      </c>
      <c r="AJ149" t="s">
        <v>270</v>
      </c>
      <c r="AK149">
        <v>0</v>
      </c>
      <c r="AL149">
        <v>23</v>
      </c>
      <c r="AM149">
        <v>0</v>
      </c>
      <c r="AN149">
        <v>15</v>
      </c>
      <c r="AO149">
        <v>0</v>
      </c>
      <c r="AP149">
        <v>52</v>
      </c>
      <c r="AQ149">
        <v>0</v>
      </c>
      <c r="AR149">
        <v>0</v>
      </c>
      <c r="AS149">
        <v>10</v>
      </c>
      <c r="AT149" t="b">
        <v>1</v>
      </c>
      <c r="AU149">
        <v>0</v>
      </c>
      <c r="AV149">
        <v>0</v>
      </c>
      <c r="AW149">
        <v>1</v>
      </c>
      <c r="AX149" t="b">
        <v>0</v>
      </c>
      <c r="AY149" t="b">
        <v>0</v>
      </c>
      <c r="AZ149" t="b">
        <v>1</v>
      </c>
      <c r="BA149" t="b">
        <v>0</v>
      </c>
      <c r="BB149" t="s">
        <v>270</v>
      </c>
      <c r="BC149" t="s">
        <v>270</v>
      </c>
      <c r="BD149" t="s">
        <v>270</v>
      </c>
      <c r="BE149" t="s">
        <v>1775</v>
      </c>
      <c r="BF149" t="s">
        <v>1776</v>
      </c>
      <c r="BG149" t="s">
        <v>1777</v>
      </c>
      <c r="BH149" t="s">
        <v>1778</v>
      </c>
      <c r="BI149" t="s">
        <v>1790</v>
      </c>
      <c r="BJ149" t="b">
        <v>0</v>
      </c>
      <c r="BK149" t="b">
        <v>1</v>
      </c>
      <c r="BL149" t="b">
        <v>0</v>
      </c>
      <c r="BM149" t="b">
        <v>0</v>
      </c>
      <c r="BN149" t="b">
        <v>0</v>
      </c>
      <c r="BO149" t="b">
        <v>0</v>
      </c>
      <c r="BP149">
        <v>1</v>
      </c>
      <c r="BQ149">
        <v>12</v>
      </c>
      <c r="BR149">
        <v>0</v>
      </c>
      <c r="BS149">
        <v>0</v>
      </c>
      <c r="BT149" t="b">
        <v>1</v>
      </c>
      <c r="BU149">
        <v>0</v>
      </c>
      <c r="BV149">
        <v>10</v>
      </c>
      <c r="BW149">
        <v>3675</v>
      </c>
      <c r="BX149">
        <v>0</v>
      </c>
      <c r="BY149" t="s">
        <v>270</v>
      </c>
      <c r="BZ149" t="s">
        <v>270</v>
      </c>
      <c r="CA149" t="s">
        <v>273</v>
      </c>
      <c r="CB149" t="s">
        <v>273</v>
      </c>
      <c r="CC149" t="s">
        <v>1780</v>
      </c>
      <c r="CD149" t="s">
        <v>1781</v>
      </c>
      <c r="CE149" t="s">
        <v>1782</v>
      </c>
      <c r="CF149" t="s">
        <v>1783</v>
      </c>
      <c r="CG149" t="str">
        <f t="shared" si="10"/>
        <v/>
      </c>
      <c r="CH149" t="str">
        <f t="shared" si="11"/>
        <v/>
      </c>
      <c r="CI149" t="str">
        <f t="shared" si="12"/>
        <v/>
      </c>
      <c r="CJ149" t="str">
        <f t="shared" si="13"/>
        <v/>
      </c>
      <c r="CK149" t="str">
        <f t="shared" si="14"/>
        <v/>
      </c>
    </row>
    <row r="150" spans="1:89">
      <c r="A150">
        <v>72004</v>
      </c>
      <c r="B150" t="s">
        <v>1799</v>
      </c>
      <c r="C150">
        <v>84.248786926269503</v>
      </c>
      <c r="D150" t="s">
        <v>1822</v>
      </c>
      <c r="E150">
        <v>1948</v>
      </c>
      <c r="F150" t="s">
        <v>1788</v>
      </c>
      <c r="G150" t="s">
        <v>169</v>
      </c>
      <c r="H150">
        <v>98107</v>
      </c>
      <c r="I150" t="s">
        <v>1789</v>
      </c>
      <c r="K150" t="s">
        <v>1774</v>
      </c>
      <c r="L150">
        <v>13</v>
      </c>
      <c r="M150">
        <v>4</v>
      </c>
      <c r="N150">
        <v>0</v>
      </c>
      <c r="O150">
        <v>4</v>
      </c>
      <c r="P150">
        <v>1</v>
      </c>
      <c r="Q150">
        <v>12200</v>
      </c>
      <c r="R150">
        <v>12200</v>
      </c>
      <c r="S150">
        <v>2416</v>
      </c>
      <c r="T150">
        <v>0</v>
      </c>
      <c r="U150">
        <v>0</v>
      </c>
      <c r="V150">
        <v>0</v>
      </c>
      <c r="W150">
        <v>13</v>
      </c>
      <c r="X150">
        <v>0</v>
      </c>
      <c r="Y150">
        <v>0</v>
      </c>
      <c r="Z150" t="b">
        <v>0</v>
      </c>
      <c r="AA150" t="b">
        <v>1</v>
      </c>
      <c r="AB150">
        <v>8</v>
      </c>
      <c r="AJ150" t="s">
        <v>270</v>
      </c>
      <c r="AK150">
        <v>0</v>
      </c>
      <c r="AL150">
        <v>12</v>
      </c>
      <c r="AM150">
        <v>0</v>
      </c>
      <c r="AN150">
        <v>38</v>
      </c>
      <c r="AO150">
        <v>0</v>
      </c>
      <c r="AP150">
        <v>12</v>
      </c>
      <c r="AQ150">
        <v>0</v>
      </c>
      <c r="AR150">
        <v>0</v>
      </c>
      <c r="AS150">
        <v>38</v>
      </c>
      <c r="AT150" t="b">
        <v>0</v>
      </c>
      <c r="AU150">
        <v>2</v>
      </c>
      <c r="AV150">
        <v>2</v>
      </c>
      <c r="AW150">
        <v>0</v>
      </c>
      <c r="AX150" t="b">
        <v>0</v>
      </c>
      <c r="AY150" t="b">
        <v>0</v>
      </c>
      <c r="AZ150" t="b">
        <v>1</v>
      </c>
      <c r="BA150" t="b">
        <v>0</v>
      </c>
      <c r="BB150" t="s">
        <v>270</v>
      </c>
      <c r="BC150" t="s">
        <v>270</v>
      </c>
      <c r="BD150" t="s">
        <v>270</v>
      </c>
      <c r="BE150" t="s">
        <v>1775</v>
      </c>
      <c r="BF150" t="s">
        <v>1776</v>
      </c>
      <c r="BG150" t="s">
        <v>1777</v>
      </c>
      <c r="BH150" t="s">
        <v>1778</v>
      </c>
      <c r="BI150" t="s">
        <v>1790</v>
      </c>
      <c r="BJ150" t="b">
        <v>0</v>
      </c>
      <c r="BK150" t="b">
        <v>1</v>
      </c>
      <c r="BL150" t="b">
        <v>0</v>
      </c>
      <c r="BM150" t="b">
        <v>0</v>
      </c>
      <c r="BN150" t="b">
        <v>0</v>
      </c>
      <c r="BO150" t="b">
        <v>0</v>
      </c>
      <c r="BP150">
        <v>1</v>
      </c>
      <c r="BQ150">
        <v>14</v>
      </c>
      <c r="BR150">
        <v>0</v>
      </c>
      <c r="BS150">
        <v>0</v>
      </c>
      <c r="BT150" t="b">
        <v>1</v>
      </c>
      <c r="BU150">
        <v>0</v>
      </c>
      <c r="BV150">
        <v>6</v>
      </c>
      <c r="BW150">
        <v>2550</v>
      </c>
      <c r="BX150">
        <v>0</v>
      </c>
      <c r="BY150" t="s">
        <v>270</v>
      </c>
      <c r="BZ150" t="s">
        <v>270</v>
      </c>
      <c r="CA150" t="s">
        <v>270</v>
      </c>
      <c r="CB150" t="s">
        <v>273</v>
      </c>
      <c r="CC150" t="s">
        <v>1787</v>
      </c>
      <c r="CD150" t="s">
        <v>1781</v>
      </c>
      <c r="CE150" t="s">
        <v>1824</v>
      </c>
      <c r="CF150" t="s">
        <v>1783</v>
      </c>
      <c r="CG150" t="str">
        <f t="shared" si="10"/>
        <v/>
      </c>
      <c r="CH150" t="str">
        <f t="shared" si="11"/>
        <v/>
      </c>
      <c r="CI150" t="str">
        <f t="shared" si="12"/>
        <v/>
      </c>
      <c r="CJ150" t="str">
        <f t="shared" si="13"/>
        <v/>
      </c>
      <c r="CK150" t="str">
        <f t="shared" si="14"/>
        <v/>
      </c>
    </row>
    <row r="151" spans="1:89">
      <c r="A151">
        <v>72005</v>
      </c>
      <c r="B151" t="s">
        <v>1770</v>
      </c>
      <c r="C151">
        <v>91.269523620605497</v>
      </c>
      <c r="D151" t="s">
        <v>1771</v>
      </c>
      <c r="E151">
        <v>1988</v>
      </c>
      <c r="F151" t="s">
        <v>1837</v>
      </c>
      <c r="G151" t="s">
        <v>169</v>
      </c>
      <c r="H151">
        <v>98148</v>
      </c>
      <c r="I151" t="s">
        <v>1789</v>
      </c>
      <c r="K151" t="s">
        <v>1774</v>
      </c>
      <c r="L151">
        <v>12</v>
      </c>
      <c r="M151">
        <v>3</v>
      </c>
      <c r="N151">
        <v>0</v>
      </c>
      <c r="O151">
        <v>3</v>
      </c>
      <c r="P151">
        <v>0</v>
      </c>
      <c r="Q151">
        <v>13860</v>
      </c>
      <c r="R151">
        <v>13860</v>
      </c>
      <c r="S151">
        <v>0</v>
      </c>
      <c r="T151">
        <v>0</v>
      </c>
      <c r="U151">
        <v>6</v>
      </c>
      <c r="V151">
        <v>6</v>
      </c>
      <c r="W151">
        <v>0</v>
      </c>
      <c r="X151">
        <v>0</v>
      </c>
      <c r="Y151">
        <v>0</v>
      </c>
      <c r="Z151" t="b">
        <v>0</v>
      </c>
      <c r="AA151" t="b">
        <v>0</v>
      </c>
      <c r="AB151">
        <v>8</v>
      </c>
      <c r="AD151">
        <v>134033.125</v>
      </c>
      <c r="AE151">
        <v>134033.125</v>
      </c>
      <c r="AI151">
        <v>457321.03125</v>
      </c>
      <c r="AJ151" t="s">
        <v>270</v>
      </c>
      <c r="AK151">
        <v>0</v>
      </c>
      <c r="AL151">
        <v>0</v>
      </c>
      <c r="AM151">
        <v>0</v>
      </c>
      <c r="AN151">
        <v>42</v>
      </c>
      <c r="AO151">
        <v>0</v>
      </c>
      <c r="AP151">
        <v>58</v>
      </c>
      <c r="AQ151">
        <v>0</v>
      </c>
      <c r="AR151">
        <v>0</v>
      </c>
      <c r="AS151">
        <v>0</v>
      </c>
      <c r="AT151" t="b">
        <v>1</v>
      </c>
      <c r="AU151">
        <v>0</v>
      </c>
      <c r="AV151">
        <v>0</v>
      </c>
      <c r="AW151">
        <v>0</v>
      </c>
      <c r="AX151" t="b">
        <v>0</v>
      </c>
      <c r="AY151" t="b">
        <v>0</v>
      </c>
      <c r="AZ151" t="b">
        <v>0</v>
      </c>
      <c r="BA151" t="b">
        <v>0</v>
      </c>
      <c r="BB151" t="s">
        <v>270</v>
      </c>
      <c r="BC151" t="s">
        <v>270</v>
      </c>
      <c r="BD151" t="s">
        <v>270</v>
      </c>
      <c r="BE151" t="s">
        <v>1775</v>
      </c>
      <c r="BF151" t="s">
        <v>1776</v>
      </c>
      <c r="BG151" t="s">
        <v>1777</v>
      </c>
      <c r="BH151" t="s">
        <v>1778</v>
      </c>
      <c r="BI151" t="s">
        <v>1779</v>
      </c>
      <c r="BJ151" t="b">
        <v>0</v>
      </c>
      <c r="BK151" t="b">
        <v>1</v>
      </c>
      <c r="BL151" t="b">
        <v>0</v>
      </c>
      <c r="BM151" t="b">
        <v>0</v>
      </c>
      <c r="BN151" t="b">
        <v>0</v>
      </c>
      <c r="BO151" t="b">
        <v>0</v>
      </c>
      <c r="BP151">
        <v>2</v>
      </c>
      <c r="BQ151">
        <v>13</v>
      </c>
      <c r="BR151">
        <v>0</v>
      </c>
      <c r="BS151">
        <v>0</v>
      </c>
      <c r="BT151" t="b">
        <v>1</v>
      </c>
      <c r="BU151">
        <v>5</v>
      </c>
      <c r="BV151">
        <v>12</v>
      </c>
      <c r="BW151">
        <v>5100</v>
      </c>
      <c r="BX151">
        <v>0</v>
      </c>
      <c r="BY151" t="s">
        <v>270</v>
      </c>
      <c r="BZ151" t="s">
        <v>270</v>
      </c>
      <c r="CA151" t="s">
        <v>270</v>
      </c>
      <c r="CB151" t="s">
        <v>273</v>
      </c>
      <c r="CC151" t="s">
        <v>1787</v>
      </c>
      <c r="CD151" t="s">
        <v>1781</v>
      </c>
      <c r="CE151" t="s">
        <v>1782</v>
      </c>
      <c r="CF151" t="s">
        <v>1783</v>
      </c>
      <c r="CG151">
        <f t="shared" si="10"/>
        <v>91.269523620605497</v>
      </c>
      <c r="CH151">
        <f t="shared" si="11"/>
        <v>13860</v>
      </c>
      <c r="CI151">
        <f t="shared" si="12"/>
        <v>3</v>
      </c>
      <c r="CJ151">
        <f t="shared" si="13"/>
        <v>1264995.5973815923</v>
      </c>
      <c r="CK151">
        <f t="shared" si="14"/>
        <v>273.80857086181652</v>
      </c>
    </row>
    <row r="152" spans="1:89">
      <c r="A152">
        <v>72006</v>
      </c>
      <c r="B152" t="s">
        <v>1770</v>
      </c>
      <c r="C152">
        <v>91.269523620605497</v>
      </c>
      <c r="D152" t="s">
        <v>1808</v>
      </c>
      <c r="E152">
        <v>1993</v>
      </c>
      <c r="F152" t="s">
        <v>1788</v>
      </c>
      <c r="G152" t="s">
        <v>169</v>
      </c>
      <c r="H152">
        <v>98106</v>
      </c>
      <c r="I152" t="s">
        <v>1789</v>
      </c>
      <c r="K152" t="s">
        <v>1774</v>
      </c>
      <c r="L152">
        <v>12</v>
      </c>
      <c r="M152">
        <v>3</v>
      </c>
      <c r="N152">
        <v>0</v>
      </c>
      <c r="O152">
        <v>3</v>
      </c>
      <c r="P152">
        <v>0</v>
      </c>
      <c r="Q152">
        <v>10420</v>
      </c>
      <c r="R152">
        <v>10420</v>
      </c>
      <c r="S152">
        <v>820</v>
      </c>
      <c r="T152">
        <v>0</v>
      </c>
      <c r="U152">
        <v>0</v>
      </c>
      <c r="V152">
        <v>6</v>
      </c>
      <c r="W152">
        <v>6</v>
      </c>
      <c r="X152">
        <v>0</v>
      </c>
      <c r="Y152">
        <v>0</v>
      </c>
      <c r="Z152" t="b">
        <v>0</v>
      </c>
      <c r="AA152" t="b">
        <v>1</v>
      </c>
      <c r="AB152">
        <v>7.6199998855590803</v>
      </c>
      <c r="AC152">
        <v>39473.828125</v>
      </c>
      <c r="AD152">
        <v>85898.59375</v>
      </c>
      <c r="AE152">
        <v>125372.421875</v>
      </c>
      <c r="AI152">
        <v>427770.71875</v>
      </c>
      <c r="AJ152" t="s">
        <v>270</v>
      </c>
      <c r="AK152">
        <v>0</v>
      </c>
      <c r="AL152">
        <v>37</v>
      </c>
      <c r="AM152">
        <v>0</v>
      </c>
      <c r="AN152">
        <v>0</v>
      </c>
      <c r="AO152">
        <v>0</v>
      </c>
      <c r="AP152">
        <v>0</v>
      </c>
      <c r="AQ152">
        <v>0</v>
      </c>
      <c r="AR152">
        <v>0</v>
      </c>
      <c r="AS152">
        <v>63</v>
      </c>
      <c r="AT152" t="b">
        <v>1</v>
      </c>
      <c r="AU152">
        <v>0</v>
      </c>
      <c r="AV152">
        <v>0</v>
      </c>
      <c r="AW152">
        <v>0</v>
      </c>
      <c r="AX152" t="b">
        <v>0</v>
      </c>
      <c r="AY152" t="b">
        <v>0</v>
      </c>
      <c r="AZ152" t="b">
        <v>0</v>
      </c>
      <c r="BA152" t="b">
        <v>0</v>
      </c>
      <c r="BB152" t="s">
        <v>270</v>
      </c>
      <c r="BC152" t="s">
        <v>270</v>
      </c>
      <c r="BD152" t="s">
        <v>270</v>
      </c>
      <c r="BE152" t="s">
        <v>1775</v>
      </c>
      <c r="BF152" t="s">
        <v>1776</v>
      </c>
      <c r="BG152" t="s">
        <v>1777</v>
      </c>
      <c r="BH152" t="s">
        <v>1778</v>
      </c>
      <c r="BI152" t="s">
        <v>1779</v>
      </c>
      <c r="BJ152" t="b">
        <v>0</v>
      </c>
      <c r="BK152" t="b">
        <v>1</v>
      </c>
      <c r="BL152" t="b">
        <v>0</v>
      </c>
      <c r="BM152" t="b">
        <v>0</v>
      </c>
      <c r="BN152" t="b">
        <v>0</v>
      </c>
      <c r="BO152" t="b">
        <v>0</v>
      </c>
      <c r="BP152">
        <v>2</v>
      </c>
      <c r="BQ152">
        <v>16</v>
      </c>
      <c r="BR152">
        <v>0</v>
      </c>
      <c r="BS152">
        <v>0</v>
      </c>
      <c r="BT152" t="b">
        <v>1</v>
      </c>
      <c r="BU152">
        <v>0</v>
      </c>
      <c r="BV152">
        <v>13</v>
      </c>
      <c r="BW152">
        <v>3970</v>
      </c>
      <c r="BX152">
        <v>1</v>
      </c>
      <c r="BY152" t="s">
        <v>273</v>
      </c>
      <c r="BZ152" t="s">
        <v>270</v>
      </c>
      <c r="CA152" t="s">
        <v>273</v>
      </c>
      <c r="CB152" t="s">
        <v>273</v>
      </c>
      <c r="CC152" t="s">
        <v>1780</v>
      </c>
      <c r="CD152" t="s">
        <v>1781</v>
      </c>
      <c r="CE152" t="s">
        <v>1782</v>
      </c>
      <c r="CF152" t="s">
        <v>1783</v>
      </c>
      <c r="CG152">
        <f t="shared" si="10"/>
        <v>91.269523620605497</v>
      </c>
      <c r="CH152">
        <f t="shared" si="11"/>
        <v>10420</v>
      </c>
      <c r="CI152">
        <f t="shared" si="12"/>
        <v>3</v>
      </c>
      <c r="CJ152">
        <f t="shared" si="13"/>
        <v>951028.43612670933</v>
      </c>
      <c r="CK152">
        <f t="shared" si="14"/>
        <v>273.80857086181652</v>
      </c>
    </row>
    <row r="153" spans="1:89">
      <c r="A153">
        <v>72007</v>
      </c>
      <c r="B153" t="s">
        <v>1770</v>
      </c>
      <c r="C153">
        <v>91.269523620605497</v>
      </c>
      <c r="D153" t="s">
        <v>1792</v>
      </c>
      <c r="E153">
        <v>1970</v>
      </c>
      <c r="F153" t="s">
        <v>1788</v>
      </c>
      <c r="G153" t="s">
        <v>169</v>
      </c>
      <c r="H153">
        <v>98188</v>
      </c>
      <c r="I153" t="s">
        <v>1789</v>
      </c>
      <c r="J153" t="s">
        <v>1785</v>
      </c>
      <c r="K153" t="s">
        <v>1774</v>
      </c>
      <c r="L153">
        <v>12</v>
      </c>
      <c r="M153">
        <v>2</v>
      </c>
      <c r="N153">
        <v>0</v>
      </c>
      <c r="O153">
        <v>2</v>
      </c>
      <c r="P153">
        <v>0</v>
      </c>
      <c r="Q153">
        <v>9672</v>
      </c>
      <c r="R153">
        <v>9672</v>
      </c>
      <c r="S153">
        <v>0</v>
      </c>
      <c r="T153">
        <v>0</v>
      </c>
      <c r="U153">
        <v>0</v>
      </c>
      <c r="V153">
        <v>12</v>
      </c>
      <c r="W153">
        <v>0</v>
      </c>
      <c r="X153">
        <v>0</v>
      </c>
      <c r="Y153">
        <v>8</v>
      </c>
      <c r="Z153" t="b">
        <v>0</v>
      </c>
      <c r="AA153" t="b">
        <v>0</v>
      </c>
      <c r="AB153">
        <v>7.75</v>
      </c>
      <c r="AC153">
        <v>126881.5390625</v>
      </c>
      <c r="AD153">
        <v>93031.6796875</v>
      </c>
      <c r="AE153">
        <v>219913.21875</v>
      </c>
      <c r="AH153">
        <v>2574.89526367188</v>
      </c>
      <c r="AI153">
        <v>1007833.4375</v>
      </c>
      <c r="AJ153" t="s">
        <v>270</v>
      </c>
      <c r="AK153">
        <v>0</v>
      </c>
      <c r="AL153">
        <v>56</v>
      </c>
      <c r="AM153">
        <v>0</v>
      </c>
      <c r="AN153">
        <v>0</v>
      </c>
      <c r="AO153">
        <v>0</v>
      </c>
      <c r="AP153">
        <v>0</v>
      </c>
      <c r="AQ153">
        <v>0</v>
      </c>
      <c r="AR153">
        <v>0</v>
      </c>
      <c r="AS153">
        <v>44</v>
      </c>
      <c r="AT153" t="b">
        <v>1</v>
      </c>
      <c r="AU153">
        <v>6</v>
      </c>
      <c r="AV153">
        <v>6</v>
      </c>
      <c r="AW153">
        <v>0</v>
      </c>
      <c r="AX153" t="b">
        <v>0</v>
      </c>
      <c r="AY153" t="b">
        <v>0</v>
      </c>
      <c r="AZ153" t="b">
        <v>0</v>
      </c>
      <c r="BA153" t="b">
        <v>0</v>
      </c>
      <c r="BB153" t="s">
        <v>270</v>
      </c>
      <c r="BC153" t="s">
        <v>270</v>
      </c>
      <c r="BD153" t="s">
        <v>273</v>
      </c>
      <c r="BE153" t="s">
        <v>1775</v>
      </c>
      <c r="BF153" t="s">
        <v>1776</v>
      </c>
      <c r="BG153" t="s">
        <v>1777</v>
      </c>
      <c r="BH153" t="s">
        <v>1778</v>
      </c>
      <c r="BI153" t="s">
        <v>1779</v>
      </c>
      <c r="BJ153" t="b">
        <v>1</v>
      </c>
      <c r="BK153" t="b">
        <v>1</v>
      </c>
      <c r="BL153" t="b">
        <v>1</v>
      </c>
      <c r="BM153" t="b">
        <v>0</v>
      </c>
      <c r="BN153" t="b">
        <v>0</v>
      </c>
      <c r="BO153" t="b">
        <v>0</v>
      </c>
      <c r="BP153">
        <v>1</v>
      </c>
      <c r="BQ153">
        <v>14</v>
      </c>
      <c r="BR153">
        <v>1</v>
      </c>
      <c r="BS153">
        <v>1</v>
      </c>
      <c r="BT153" t="b">
        <v>1</v>
      </c>
      <c r="BU153">
        <v>0</v>
      </c>
      <c r="BV153">
        <v>20</v>
      </c>
      <c r="BW153">
        <v>8500</v>
      </c>
      <c r="BX153">
        <v>0</v>
      </c>
      <c r="BY153" t="s">
        <v>270</v>
      </c>
      <c r="BZ153" t="s">
        <v>270</v>
      </c>
      <c r="CA153" t="s">
        <v>270</v>
      </c>
      <c r="CB153" t="s">
        <v>273</v>
      </c>
      <c r="CC153" t="s">
        <v>1787</v>
      </c>
      <c r="CD153" t="s">
        <v>1781</v>
      </c>
      <c r="CE153" t="s">
        <v>1795</v>
      </c>
      <c r="CF153" t="s">
        <v>1783</v>
      </c>
      <c r="CG153">
        <f t="shared" si="10"/>
        <v>91.269523620605497</v>
      </c>
      <c r="CH153">
        <f t="shared" si="11"/>
        <v>9672</v>
      </c>
      <c r="CI153">
        <f t="shared" si="12"/>
        <v>2</v>
      </c>
      <c r="CJ153">
        <f t="shared" si="13"/>
        <v>882758.83245849633</v>
      </c>
      <c r="CK153">
        <f t="shared" si="14"/>
        <v>182.53904724121099</v>
      </c>
    </row>
    <row r="154" spans="1:89">
      <c r="A154">
        <v>72008</v>
      </c>
      <c r="B154" t="s">
        <v>1770</v>
      </c>
      <c r="C154">
        <v>99.566741943359403</v>
      </c>
      <c r="D154" t="s">
        <v>1792</v>
      </c>
      <c r="E154">
        <v>1966</v>
      </c>
      <c r="F154" t="s">
        <v>1788</v>
      </c>
      <c r="G154" t="s">
        <v>169</v>
      </c>
      <c r="H154">
        <v>98103</v>
      </c>
      <c r="I154" t="s">
        <v>1789</v>
      </c>
      <c r="J154" t="s">
        <v>1785</v>
      </c>
      <c r="K154" t="s">
        <v>1774</v>
      </c>
      <c r="L154">
        <v>11</v>
      </c>
      <c r="M154">
        <v>3</v>
      </c>
      <c r="N154">
        <v>0</v>
      </c>
      <c r="O154">
        <v>2</v>
      </c>
      <c r="P154">
        <v>0</v>
      </c>
      <c r="Q154">
        <v>10890</v>
      </c>
      <c r="R154">
        <v>10890</v>
      </c>
      <c r="S154">
        <v>794</v>
      </c>
      <c r="T154">
        <v>0</v>
      </c>
      <c r="U154">
        <v>0</v>
      </c>
      <c r="V154">
        <v>7</v>
      </c>
      <c r="W154">
        <v>4</v>
      </c>
      <c r="X154">
        <v>0</v>
      </c>
      <c r="Y154">
        <v>0</v>
      </c>
      <c r="Z154" t="b">
        <v>0</v>
      </c>
      <c r="AA154" t="b">
        <v>1</v>
      </c>
      <c r="AB154">
        <v>7.75</v>
      </c>
      <c r="AC154">
        <v>8503.2822265625</v>
      </c>
      <c r="AD154">
        <v>79551</v>
      </c>
      <c r="AE154">
        <v>88054.28125</v>
      </c>
      <c r="AH154">
        <v>315.8076171875</v>
      </c>
      <c r="AI154">
        <v>332021.96875</v>
      </c>
      <c r="AJ154" t="s">
        <v>270</v>
      </c>
      <c r="AK154">
        <v>0</v>
      </c>
      <c r="AL154">
        <v>38</v>
      </c>
      <c r="AM154">
        <v>0</v>
      </c>
      <c r="AN154">
        <v>20</v>
      </c>
      <c r="AO154">
        <v>0</v>
      </c>
      <c r="AP154">
        <v>18</v>
      </c>
      <c r="AQ154">
        <v>0</v>
      </c>
      <c r="AR154">
        <v>0</v>
      </c>
      <c r="AS154">
        <v>24</v>
      </c>
      <c r="AT154" t="b">
        <v>1</v>
      </c>
      <c r="AU154">
        <v>1</v>
      </c>
      <c r="AV154">
        <v>1</v>
      </c>
      <c r="AW154">
        <v>1</v>
      </c>
      <c r="AX154" t="b">
        <v>0</v>
      </c>
      <c r="AY154" t="b">
        <v>0</v>
      </c>
      <c r="AZ154" t="b">
        <v>0</v>
      </c>
      <c r="BA154" t="b">
        <v>0</v>
      </c>
      <c r="BB154" t="s">
        <v>270</v>
      </c>
      <c r="BC154" t="s">
        <v>270</v>
      </c>
      <c r="BD154" t="s">
        <v>270</v>
      </c>
      <c r="BE154" t="s">
        <v>1775</v>
      </c>
      <c r="BF154" t="s">
        <v>1776</v>
      </c>
      <c r="BG154" t="s">
        <v>1777</v>
      </c>
      <c r="BH154" t="s">
        <v>1804</v>
      </c>
      <c r="BI154" t="s">
        <v>1790</v>
      </c>
      <c r="BJ154" t="b">
        <v>1</v>
      </c>
      <c r="BK154" t="b">
        <v>1</v>
      </c>
      <c r="BL154" t="b">
        <v>1</v>
      </c>
      <c r="BM154" t="b">
        <v>0</v>
      </c>
      <c r="BN154" t="b">
        <v>0</v>
      </c>
      <c r="BO154" t="b">
        <v>0</v>
      </c>
      <c r="BP154">
        <v>1</v>
      </c>
      <c r="BQ154">
        <v>12</v>
      </c>
      <c r="BR154">
        <v>1</v>
      </c>
      <c r="BS154">
        <v>1</v>
      </c>
      <c r="BT154" t="b">
        <v>1</v>
      </c>
      <c r="BU154">
        <v>0</v>
      </c>
      <c r="BV154">
        <v>9</v>
      </c>
      <c r="BW154">
        <v>3353</v>
      </c>
      <c r="BX154">
        <v>1</v>
      </c>
      <c r="BY154" t="s">
        <v>273</v>
      </c>
      <c r="BZ154" t="s">
        <v>270</v>
      </c>
      <c r="CA154" t="s">
        <v>273</v>
      </c>
      <c r="CB154" t="s">
        <v>273</v>
      </c>
      <c r="CC154" t="s">
        <v>1780</v>
      </c>
      <c r="CD154" t="s">
        <v>1781</v>
      </c>
      <c r="CE154" t="s">
        <v>1782</v>
      </c>
      <c r="CF154" t="s">
        <v>1783</v>
      </c>
      <c r="CG154">
        <f t="shared" si="10"/>
        <v>99.566741943359403</v>
      </c>
      <c r="CH154">
        <f t="shared" si="11"/>
        <v>10890</v>
      </c>
      <c r="CI154">
        <f t="shared" si="12"/>
        <v>3</v>
      </c>
      <c r="CJ154">
        <f t="shared" si="13"/>
        <v>1084281.8197631838</v>
      </c>
      <c r="CK154">
        <f t="shared" si="14"/>
        <v>298.70022583007824</v>
      </c>
    </row>
    <row r="155" spans="1:89">
      <c r="A155">
        <v>72009</v>
      </c>
      <c r="B155" t="s">
        <v>1770</v>
      </c>
      <c r="C155">
        <v>91.269523620605497</v>
      </c>
      <c r="D155" t="s">
        <v>1792</v>
      </c>
      <c r="E155">
        <v>1958</v>
      </c>
      <c r="F155" t="s">
        <v>1788</v>
      </c>
      <c r="G155" t="s">
        <v>169</v>
      </c>
      <c r="H155">
        <v>98102</v>
      </c>
      <c r="I155" t="s">
        <v>1789</v>
      </c>
      <c r="J155" t="s">
        <v>1785</v>
      </c>
      <c r="K155" t="s">
        <v>1774</v>
      </c>
      <c r="L155">
        <v>12</v>
      </c>
      <c r="M155">
        <v>3</v>
      </c>
      <c r="N155">
        <v>0</v>
      </c>
      <c r="O155">
        <v>3</v>
      </c>
      <c r="P155">
        <v>0</v>
      </c>
      <c r="Q155">
        <v>9770</v>
      </c>
      <c r="R155">
        <v>9770</v>
      </c>
      <c r="S155">
        <v>1984</v>
      </c>
      <c r="T155">
        <v>0</v>
      </c>
      <c r="U155">
        <v>0</v>
      </c>
      <c r="V155">
        <v>3</v>
      </c>
      <c r="W155">
        <v>9</v>
      </c>
      <c r="X155">
        <v>0</v>
      </c>
      <c r="Y155">
        <v>0</v>
      </c>
      <c r="Z155" t="b">
        <v>0</v>
      </c>
      <c r="AA155" t="b">
        <v>1</v>
      </c>
      <c r="AB155">
        <v>8</v>
      </c>
      <c r="AC155">
        <v>8413.892578125</v>
      </c>
      <c r="AD155">
        <v>52239.5078125</v>
      </c>
      <c r="AE155">
        <v>60653.3984375</v>
      </c>
      <c r="AH155">
        <v>2661.70825195313</v>
      </c>
      <c r="AI155">
        <v>473120.21875</v>
      </c>
      <c r="AJ155" t="s">
        <v>270</v>
      </c>
      <c r="AK155">
        <v>0</v>
      </c>
      <c r="AL155">
        <v>45</v>
      </c>
      <c r="AM155">
        <v>0</v>
      </c>
      <c r="AN155">
        <v>12</v>
      </c>
      <c r="AO155">
        <v>0</v>
      </c>
      <c r="AP155">
        <v>25</v>
      </c>
      <c r="AQ155">
        <v>0</v>
      </c>
      <c r="AR155">
        <v>0</v>
      </c>
      <c r="AS155">
        <v>18</v>
      </c>
      <c r="AT155" t="b">
        <v>0</v>
      </c>
      <c r="AU155">
        <v>1</v>
      </c>
      <c r="AV155">
        <v>1</v>
      </c>
      <c r="AW155">
        <v>0</v>
      </c>
      <c r="AX155" t="b">
        <v>1</v>
      </c>
      <c r="AY155" t="b">
        <v>0</v>
      </c>
      <c r="AZ155" t="b">
        <v>0</v>
      </c>
      <c r="BA155" t="b">
        <v>0</v>
      </c>
      <c r="BB155" t="s">
        <v>270</v>
      </c>
      <c r="BC155" t="s">
        <v>270</v>
      </c>
      <c r="BD155" t="s">
        <v>270</v>
      </c>
      <c r="BE155" t="s">
        <v>1813</v>
      </c>
      <c r="BF155" t="s">
        <v>1810</v>
      </c>
      <c r="BG155" t="s">
        <v>1814</v>
      </c>
      <c r="BH155" t="s">
        <v>1778</v>
      </c>
      <c r="BI155" t="s">
        <v>1790</v>
      </c>
      <c r="BJ155" t="b">
        <v>1</v>
      </c>
      <c r="BK155" t="b">
        <v>1</v>
      </c>
      <c r="BL155" t="b">
        <v>1</v>
      </c>
      <c r="BM155" t="b">
        <v>0</v>
      </c>
      <c r="BN155" t="b">
        <v>0</v>
      </c>
      <c r="BO155" t="b">
        <v>0</v>
      </c>
      <c r="BP155">
        <v>1</v>
      </c>
      <c r="BQ155">
        <v>14</v>
      </c>
      <c r="BR155">
        <v>1</v>
      </c>
      <c r="BS155">
        <v>1</v>
      </c>
      <c r="BT155" t="b">
        <v>1</v>
      </c>
      <c r="BU155">
        <v>0</v>
      </c>
      <c r="BV155">
        <v>3</v>
      </c>
      <c r="BW155">
        <v>785</v>
      </c>
      <c r="BX155">
        <v>1</v>
      </c>
      <c r="BY155" t="s">
        <v>270</v>
      </c>
      <c r="BZ155" t="s">
        <v>273</v>
      </c>
      <c r="CA155" t="s">
        <v>270</v>
      </c>
      <c r="CB155" t="s">
        <v>273</v>
      </c>
      <c r="CC155" t="s">
        <v>1780</v>
      </c>
      <c r="CD155" t="s">
        <v>1781</v>
      </c>
      <c r="CE155" t="s">
        <v>1825</v>
      </c>
      <c r="CF155" t="s">
        <v>1783</v>
      </c>
      <c r="CG155" t="str">
        <f t="shared" si="10"/>
        <v/>
      </c>
      <c r="CH155" t="str">
        <f t="shared" si="11"/>
        <v/>
      </c>
      <c r="CI155" t="str">
        <f t="shared" si="12"/>
        <v/>
      </c>
      <c r="CJ155" t="str">
        <f t="shared" si="13"/>
        <v/>
      </c>
      <c r="CK155" t="str">
        <f t="shared" si="14"/>
        <v/>
      </c>
    </row>
    <row r="156" spans="1:89">
      <c r="A156">
        <v>72010</v>
      </c>
      <c r="B156" t="s">
        <v>1799</v>
      </c>
      <c r="C156">
        <v>91.269523620605497</v>
      </c>
      <c r="D156" t="s">
        <v>1792</v>
      </c>
      <c r="E156">
        <v>1958</v>
      </c>
      <c r="F156" t="s">
        <v>1788</v>
      </c>
      <c r="G156" t="s">
        <v>169</v>
      </c>
      <c r="H156">
        <v>98126</v>
      </c>
      <c r="I156" t="s">
        <v>1789</v>
      </c>
      <c r="K156" t="s">
        <v>1774</v>
      </c>
      <c r="L156">
        <v>12</v>
      </c>
      <c r="M156">
        <v>4</v>
      </c>
      <c r="N156">
        <v>0</v>
      </c>
      <c r="O156">
        <v>4</v>
      </c>
      <c r="P156">
        <v>0</v>
      </c>
      <c r="Q156">
        <v>10115</v>
      </c>
      <c r="R156">
        <v>10115</v>
      </c>
      <c r="S156">
        <v>650</v>
      </c>
      <c r="T156">
        <v>0</v>
      </c>
      <c r="U156">
        <v>0</v>
      </c>
      <c r="V156">
        <v>7</v>
      </c>
      <c r="W156">
        <v>5</v>
      </c>
      <c r="X156">
        <v>0</v>
      </c>
      <c r="Y156">
        <v>0</v>
      </c>
      <c r="Z156" t="b">
        <v>0</v>
      </c>
      <c r="AA156" t="b">
        <v>1</v>
      </c>
      <c r="AB156">
        <v>8</v>
      </c>
      <c r="AC156">
        <v>13852.595703125</v>
      </c>
      <c r="AD156">
        <v>118037.4453125</v>
      </c>
      <c r="AE156">
        <v>131890.046875</v>
      </c>
      <c r="AI156">
        <v>450008.84375</v>
      </c>
      <c r="AJ156" t="s">
        <v>270</v>
      </c>
      <c r="AK156">
        <v>0</v>
      </c>
      <c r="AL156">
        <v>31</v>
      </c>
      <c r="AM156">
        <v>0</v>
      </c>
      <c r="AN156">
        <v>41</v>
      </c>
      <c r="AO156">
        <v>4</v>
      </c>
      <c r="AP156">
        <v>11</v>
      </c>
      <c r="AQ156">
        <v>12</v>
      </c>
      <c r="AR156">
        <v>1</v>
      </c>
      <c r="AS156">
        <v>0</v>
      </c>
      <c r="AT156" t="b">
        <v>0</v>
      </c>
      <c r="AU156">
        <v>2</v>
      </c>
      <c r="AV156">
        <v>2</v>
      </c>
      <c r="AW156">
        <v>0</v>
      </c>
      <c r="AX156" t="b">
        <v>0</v>
      </c>
      <c r="AY156" t="b">
        <v>0</v>
      </c>
      <c r="AZ156" t="b">
        <v>1</v>
      </c>
      <c r="BA156" t="b">
        <v>0</v>
      </c>
      <c r="BB156" t="s">
        <v>270</v>
      </c>
      <c r="BC156" t="s">
        <v>270</v>
      </c>
      <c r="BD156" t="s">
        <v>270</v>
      </c>
      <c r="BE156" t="s">
        <v>1775</v>
      </c>
      <c r="BF156" t="s">
        <v>1776</v>
      </c>
      <c r="BG156" t="s">
        <v>1777</v>
      </c>
      <c r="BH156" t="s">
        <v>1778</v>
      </c>
      <c r="BI156" t="s">
        <v>1790</v>
      </c>
      <c r="BJ156" t="b">
        <v>0</v>
      </c>
      <c r="BK156" t="b">
        <v>1</v>
      </c>
      <c r="BL156" t="b">
        <v>0</v>
      </c>
      <c r="BM156" t="b">
        <v>0</v>
      </c>
      <c r="BN156" t="b">
        <v>0</v>
      </c>
      <c r="BO156" t="b">
        <v>0</v>
      </c>
      <c r="BP156">
        <v>1</v>
      </c>
      <c r="BQ156">
        <v>15</v>
      </c>
      <c r="BR156">
        <v>0</v>
      </c>
      <c r="BS156">
        <v>0</v>
      </c>
      <c r="BT156" t="b">
        <v>1</v>
      </c>
      <c r="BU156">
        <v>0</v>
      </c>
      <c r="BV156">
        <v>6</v>
      </c>
      <c r="BW156">
        <v>2550</v>
      </c>
      <c r="BX156">
        <v>0</v>
      </c>
      <c r="BY156" t="s">
        <v>270</v>
      </c>
      <c r="BZ156" t="s">
        <v>270</v>
      </c>
      <c r="CA156" t="s">
        <v>270</v>
      </c>
      <c r="CB156" t="s">
        <v>273</v>
      </c>
      <c r="CC156" t="s">
        <v>1787</v>
      </c>
      <c r="CD156" t="s">
        <v>1781</v>
      </c>
      <c r="CE156" t="s">
        <v>1798</v>
      </c>
      <c r="CF156" t="s">
        <v>1783</v>
      </c>
      <c r="CG156" t="str">
        <f t="shared" si="10"/>
        <v/>
      </c>
      <c r="CH156" t="str">
        <f t="shared" si="11"/>
        <v/>
      </c>
      <c r="CI156" t="str">
        <f t="shared" si="12"/>
        <v/>
      </c>
      <c r="CJ156" t="str">
        <f t="shared" si="13"/>
        <v/>
      </c>
      <c r="CK156" t="str">
        <f t="shared" si="14"/>
        <v/>
      </c>
    </row>
    <row r="157" spans="1:89">
      <c r="A157">
        <v>73001</v>
      </c>
      <c r="B157" t="s">
        <v>1799</v>
      </c>
      <c r="C157">
        <v>60.846343994140597</v>
      </c>
      <c r="D157" t="s">
        <v>1792</v>
      </c>
      <c r="E157">
        <v>1967</v>
      </c>
      <c r="F157" t="s">
        <v>1788</v>
      </c>
      <c r="G157" t="s">
        <v>169</v>
      </c>
      <c r="H157">
        <v>98177</v>
      </c>
      <c r="I157" t="s">
        <v>1789</v>
      </c>
      <c r="K157" t="s">
        <v>1774</v>
      </c>
      <c r="L157">
        <v>18</v>
      </c>
      <c r="M157">
        <v>4</v>
      </c>
      <c r="N157">
        <v>0</v>
      </c>
      <c r="O157">
        <v>4</v>
      </c>
      <c r="P157">
        <v>0</v>
      </c>
      <c r="Q157">
        <v>14637</v>
      </c>
      <c r="R157">
        <v>14637</v>
      </c>
      <c r="S157">
        <v>519</v>
      </c>
      <c r="T157">
        <v>0</v>
      </c>
      <c r="U157">
        <v>1</v>
      </c>
      <c r="V157">
        <v>13</v>
      </c>
      <c r="W157">
        <v>4</v>
      </c>
      <c r="X157">
        <v>0</v>
      </c>
      <c r="Y157">
        <v>2.2000000476837198</v>
      </c>
      <c r="Z157" t="b">
        <v>0</v>
      </c>
      <c r="AA157" t="b">
        <v>1</v>
      </c>
      <c r="AB157">
        <v>9</v>
      </c>
      <c r="AC157">
        <v>20348.470703125</v>
      </c>
      <c r="AD157">
        <v>169830.46875</v>
      </c>
      <c r="AE157">
        <v>190178.9375</v>
      </c>
      <c r="AI157">
        <v>648890.5625</v>
      </c>
      <c r="AJ157" t="s">
        <v>270</v>
      </c>
      <c r="AL157">
        <v>12</v>
      </c>
      <c r="AM157">
        <v>0</v>
      </c>
      <c r="AN157">
        <v>30</v>
      </c>
      <c r="AO157">
        <v>0</v>
      </c>
      <c r="AP157">
        <v>25</v>
      </c>
      <c r="AQ157">
        <v>0</v>
      </c>
      <c r="AR157">
        <v>0</v>
      </c>
      <c r="AS157">
        <v>33</v>
      </c>
      <c r="AT157" t="b">
        <v>1</v>
      </c>
      <c r="AU157">
        <v>3</v>
      </c>
      <c r="AV157">
        <v>3</v>
      </c>
      <c r="AW157">
        <v>0</v>
      </c>
      <c r="AX157" t="b">
        <v>0</v>
      </c>
      <c r="AY157" t="b">
        <v>0</v>
      </c>
      <c r="AZ157" t="b">
        <v>0</v>
      </c>
      <c r="BA157" t="b">
        <v>0</v>
      </c>
      <c r="BB157" t="s">
        <v>270</v>
      </c>
      <c r="BC157" t="s">
        <v>270</v>
      </c>
      <c r="BD157" t="s">
        <v>273</v>
      </c>
      <c r="BE157" t="s">
        <v>1775</v>
      </c>
      <c r="BF157" t="s">
        <v>1776</v>
      </c>
      <c r="BG157" t="s">
        <v>1777</v>
      </c>
      <c r="BH157" t="s">
        <v>1778</v>
      </c>
      <c r="BI157" t="s">
        <v>1790</v>
      </c>
      <c r="BJ157" t="b">
        <v>0</v>
      </c>
      <c r="BK157" t="b">
        <v>1</v>
      </c>
      <c r="BL157" t="b">
        <v>0</v>
      </c>
      <c r="BM157" t="b">
        <v>0</v>
      </c>
      <c r="BN157" t="b">
        <v>0</v>
      </c>
      <c r="BO157" t="b">
        <v>0</v>
      </c>
      <c r="BP157">
        <v>7</v>
      </c>
      <c r="BQ157">
        <v>20</v>
      </c>
      <c r="BR157">
        <v>0</v>
      </c>
      <c r="BS157">
        <v>0</v>
      </c>
      <c r="BT157" t="b">
        <v>1</v>
      </c>
      <c r="BV157">
        <v>23</v>
      </c>
      <c r="BW157">
        <v>6921</v>
      </c>
      <c r="BX157">
        <v>0</v>
      </c>
      <c r="BY157" t="s">
        <v>270</v>
      </c>
      <c r="BZ157" t="s">
        <v>270</v>
      </c>
      <c r="CA157" t="s">
        <v>273</v>
      </c>
      <c r="CB157" t="s">
        <v>273</v>
      </c>
      <c r="CC157" t="s">
        <v>1787</v>
      </c>
      <c r="CD157" t="s">
        <v>1781</v>
      </c>
      <c r="CE157" t="s">
        <v>1795</v>
      </c>
      <c r="CF157" t="s">
        <v>1783</v>
      </c>
      <c r="CG157" t="str">
        <f t="shared" si="10"/>
        <v/>
      </c>
      <c r="CH157" t="str">
        <f t="shared" si="11"/>
        <v/>
      </c>
      <c r="CI157" t="str">
        <f t="shared" si="12"/>
        <v/>
      </c>
      <c r="CJ157" t="str">
        <f t="shared" si="13"/>
        <v/>
      </c>
      <c r="CK157" t="str">
        <f t="shared" si="14"/>
        <v/>
      </c>
    </row>
    <row r="158" spans="1:89">
      <c r="A158">
        <v>73002</v>
      </c>
      <c r="B158" t="s">
        <v>1799</v>
      </c>
      <c r="C158">
        <v>49.783370971679702</v>
      </c>
      <c r="D158" t="s">
        <v>1792</v>
      </c>
      <c r="E158">
        <v>1960</v>
      </c>
      <c r="F158" t="s">
        <v>1788</v>
      </c>
      <c r="G158" t="s">
        <v>169</v>
      </c>
      <c r="H158">
        <v>98178</v>
      </c>
      <c r="I158" t="s">
        <v>1789</v>
      </c>
      <c r="K158" t="s">
        <v>1774</v>
      </c>
      <c r="L158">
        <v>22</v>
      </c>
      <c r="M158">
        <v>4</v>
      </c>
      <c r="N158">
        <v>0.5</v>
      </c>
      <c r="O158">
        <v>4</v>
      </c>
      <c r="P158">
        <v>0</v>
      </c>
      <c r="Q158">
        <v>18620</v>
      </c>
      <c r="R158">
        <v>16796</v>
      </c>
      <c r="S158">
        <v>2087</v>
      </c>
      <c r="T158">
        <v>0</v>
      </c>
      <c r="U158">
        <v>0</v>
      </c>
      <c r="V158">
        <v>6</v>
      </c>
      <c r="W158">
        <v>16</v>
      </c>
      <c r="X158">
        <v>0</v>
      </c>
      <c r="Y158">
        <v>5</v>
      </c>
      <c r="Z158" t="b">
        <v>1</v>
      </c>
      <c r="AA158" t="b">
        <v>1</v>
      </c>
      <c r="AB158">
        <v>8</v>
      </c>
      <c r="AC158">
        <v>14749.3642578125</v>
      </c>
      <c r="AD158">
        <v>146786.265625</v>
      </c>
      <c r="AE158">
        <v>161535.625</v>
      </c>
      <c r="AI158">
        <v>551159.5625</v>
      </c>
      <c r="AJ158" t="s">
        <v>270</v>
      </c>
      <c r="AK158">
        <v>1824</v>
      </c>
      <c r="AL158">
        <v>48</v>
      </c>
      <c r="AM158">
        <v>0</v>
      </c>
      <c r="AN158">
        <v>32</v>
      </c>
      <c r="AO158">
        <v>0</v>
      </c>
      <c r="AP158">
        <v>0</v>
      </c>
      <c r="AQ158">
        <v>0</v>
      </c>
      <c r="AR158">
        <v>0</v>
      </c>
      <c r="AS158">
        <v>20</v>
      </c>
      <c r="AT158" t="b">
        <v>1</v>
      </c>
      <c r="AU158">
        <v>2</v>
      </c>
      <c r="AV158">
        <v>2</v>
      </c>
      <c r="AW158">
        <v>0</v>
      </c>
      <c r="AX158" t="b">
        <v>0</v>
      </c>
      <c r="AY158" t="b">
        <v>0</v>
      </c>
      <c r="AZ158" t="b">
        <v>0</v>
      </c>
      <c r="BA158" t="b">
        <v>0</v>
      </c>
      <c r="BB158" t="s">
        <v>270</v>
      </c>
      <c r="BC158" t="s">
        <v>270</v>
      </c>
      <c r="BD158" t="s">
        <v>270</v>
      </c>
      <c r="BE158" t="s">
        <v>1775</v>
      </c>
      <c r="BF158" t="s">
        <v>1776</v>
      </c>
      <c r="BG158" t="s">
        <v>1777</v>
      </c>
      <c r="BH158" t="s">
        <v>1778</v>
      </c>
      <c r="BI158" t="s">
        <v>1790</v>
      </c>
      <c r="BJ158" t="b">
        <v>0</v>
      </c>
      <c r="BK158" t="b">
        <v>1</v>
      </c>
      <c r="BL158" t="b">
        <v>0</v>
      </c>
      <c r="BM158" t="b">
        <v>0</v>
      </c>
      <c r="BN158" t="b">
        <v>0</v>
      </c>
      <c r="BO158" t="b">
        <v>0</v>
      </c>
      <c r="BP158">
        <v>1</v>
      </c>
      <c r="BQ158">
        <v>28</v>
      </c>
      <c r="BR158">
        <v>0</v>
      </c>
      <c r="BS158">
        <v>0</v>
      </c>
      <c r="BT158" t="b">
        <v>1</v>
      </c>
      <c r="BV158">
        <v>34</v>
      </c>
      <c r="BW158">
        <v>14450</v>
      </c>
      <c r="BX158">
        <v>0</v>
      </c>
      <c r="BY158" t="s">
        <v>270</v>
      </c>
      <c r="BZ158" t="s">
        <v>270</v>
      </c>
      <c r="CA158" t="s">
        <v>270</v>
      </c>
      <c r="CB158" t="s">
        <v>273</v>
      </c>
      <c r="CC158" t="s">
        <v>1787</v>
      </c>
      <c r="CD158" t="s">
        <v>1781</v>
      </c>
      <c r="CE158" t="s">
        <v>1798</v>
      </c>
      <c r="CF158" t="s">
        <v>1783</v>
      </c>
      <c r="CG158" t="str">
        <f t="shared" si="10"/>
        <v/>
      </c>
      <c r="CH158" t="str">
        <f t="shared" si="11"/>
        <v/>
      </c>
      <c r="CI158" t="str">
        <f t="shared" si="12"/>
        <v/>
      </c>
      <c r="CJ158" t="str">
        <f t="shared" si="13"/>
        <v/>
      </c>
      <c r="CK158" t="str">
        <f t="shared" si="14"/>
        <v/>
      </c>
    </row>
    <row r="159" spans="1:89">
      <c r="A159">
        <v>73003</v>
      </c>
      <c r="B159" t="s">
        <v>1770</v>
      </c>
      <c r="C159">
        <v>60.846343994140597</v>
      </c>
      <c r="D159" t="s">
        <v>1771</v>
      </c>
      <c r="E159">
        <v>1989</v>
      </c>
      <c r="F159" t="s">
        <v>1788</v>
      </c>
      <c r="G159" t="s">
        <v>169</v>
      </c>
      <c r="H159">
        <v>98146</v>
      </c>
      <c r="I159" t="s">
        <v>1789</v>
      </c>
      <c r="J159" t="s">
        <v>1785</v>
      </c>
      <c r="K159" t="s">
        <v>1774</v>
      </c>
      <c r="L159">
        <v>18</v>
      </c>
      <c r="M159">
        <v>3</v>
      </c>
      <c r="N159">
        <v>0</v>
      </c>
      <c r="O159">
        <v>3</v>
      </c>
      <c r="P159">
        <v>0</v>
      </c>
      <c r="Q159">
        <v>15390</v>
      </c>
      <c r="R159">
        <v>15390</v>
      </c>
      <c r="S159">
        <v>0</v>
      </c>
      <c r="T159">
        <v>0</v>
      </c>
      <c r="U159">
        <v>0</v>
      </c>
      <c r="V159">
        <v>12</v>
      </c>
      <c r="W159">
        <v>6</v>
      </c>
      <c r="X159">
        <v>0</v>
      </c>
      <c r="Y159">
        <v>0</v>
      </c>
      <c r="Z159" t="b">
        <v>0</v>
      </c>
      <c r="AA159" t="b">
        <v>0</v>
      </c>
      <c r="AB159">
        <v>8</v>
      </c>
      <c r="AC159">
        <v>1.2211445569992101</v>
      </c>
      <c r="AD159">
        <v>158106.859375</v>
      </c>
      <c r="AE159">
        <v>158108.078125</v>
      </c>
      <c r="AI159">
        <v>539464.75</v>
      </c>
      <c r="AJ159" t="s">
        <v>270</v>
      </c>
      <c r="AK159">
        <v>0</v>
      </c>
      <c r="AL159">
        <v>30</v>
      </c>
      <c r="AM159">
        <v>0</v>
      </c>
      <c r="AN159">
        <v>3</v>
      </c>
      <c r="AO159">
        <v>0</v>
      </c>
      <c r="AP159">
        <v>3</v>
      </c>
      <c r="AQ159">
        <v>0</v>
      </c>
      <c r="AR159">
        <v>0</v>
      </c>
      <c r="AS159">
        <v>64</v>
      </c>
      <c r="AT159" t="b">
        <v>1</v>
      </c>
      <c r="AU159">
        <v>0</v>
      </c>
      <c r="AV159">
        <v>0</v>
      </c>
      <c r="AW159">
        <v>0</v>
      </c>
      <c r="AX159" t="b">
        <v>0</v>
      </c>
      <c r="AY159" t="b">
        <v>0</v>
      </c>
      <c r="AZ159" t="b">
        <v>0</v>
      </c>
      <c r="BA159" t="b">
        <v>0</v>
      </c>
      <c r="BB159" t="s">
        <v>270</v>
      </c>
      <c r="BC159" t="s">
        <v>270</v>
      </c>
      <c r="BD159" t="s">
        <v>270</v>
      </c>
      <c r="BE159" t="s">
        <v>1775</v>
      </c>
      <c r="BF159" t="s">
        <v>1776</v>
      </c>
      <c r="BG159" t="s">
        <v>1777</v>
      </c>
      <c r="BH159" t="s">
        <v>1778</v>
      </c>
      <c r="BI159" t="s">
        <v>1779</v>
      </c>
      <c r="BJ159" t="b">
        <v>0</v>
      </c>
      <c r="BK159" t="b">
        <v>1</v>
      </c>
      <c r="BL159" t="b">
        <v>0</v>
      </c>
      <c r="BM159" t="b">
        <v>0</v>
      </c>
      <c r="BN159" t="b">
        <v>0</v>
      </c>
      <c r="BO159" t="b">
        <v>0</v>
      </c>
      <c r="BP159">
        <v>1</v>
      </c>
      <c r="BQ159">
        <v>19</v>
      </c>
      <c r="BR159">
        <v>0</v>
      </c>
      <c r="BS159">
        <v>0</v>
      </c>
      <c r="BT159" t="b">
        <v>1</v>
      </c>
      <c r="BU159">
        <v>0</v>
      </c>
      <c r="BV159">
        <v>24</v>
      </c>
      <c r="BW159">
        <v>17175</v>
      </c>
      <c r="BX159">
        <v>1</v>
      </c>
      <c r="BY159" t="s">
        <v>273</v>
      </c>
      <c r="BZ159" t="s">
        <v>270</v>
      </c>
      <c r="CA159" t="s">
        <v>273</v>
      </c>
      <c r="CB159" t="s">
        <v>273</v>
      </c>
      <c r="CC159" t="s">
        <v>1780</v>
      </c>
      <c r="CD159" t="s">
        <v>1781</v>
      </c>
      <c r="CE159" t="s">
        <v>1782</v>
      </c>
      <c r="CF159" t="s">
        <v>1783</v>
      </c>
      <c r="CG159">
        <f t="shared" si="10"/>
        <v>60.846343994140597</v>
      </c>
      <c r="CH159">
        <f t="shared" si="11"/>
        <v>15390</v>
      </c>
      <c r="CI159">
        <f t="shared" si="12"/>
        <v>3</v>
      </c>
      <c r="CJ159">
        <f t="shared" si="13"/>
        <v>936425.23406982375</v>
      </c>
      <c r="CK159">
        <f t="shared" si="14"/>
        <v>182.53903198242179</v>
      </c>
    </row>
    <row r="160" spans="1:89">
      <c r="A160">
        <v>73004</v>
      </c>
      <c r="B160" t="s">
        <v>1770</v>
      </c>
      <c r="C160">
        <v>57.643905639648402</v>
      </c>
      <c r="D160" t="s">
        <v>1792</v>
      </c>
      <c r="E160">
        <v>1964</v>
      </c>
      <c r="F160" t="s">
        <v>1909</v>
      </c>
      <c r="G160" t="s">
        <v>169</v>
      </c>
      <c r="H160">
        <v>98168</v>
      </c>
      <c r="I160" t="s">
        <v>1789</v>
      </c>
      <c r="K160" t="s">
        <v>1774</v>
      </c>
      <c r="L160">
        <v>19</v>
      </c>
      <c r="M160">
        <v>2</v>
      </c>
      <c r="N160">
        <v>0</v>
      </c>
      <c r="O160">
        <v>2</v>
      </c>
      <c r="P160">
        <v>0</v>
      </c>
      <c r="Q160">
        <v>12834</v>
      </c>
      <c r="R160">
        <v>12834</v>
      </c>
      <c r="S160">
        <v>484</v>
      </c>
      <c r="T160">
        <v>0</v>
      </c>
      <c r="U160">
        <v>0</v>
      </c>
      <c r="V160">
        <v>6</v>
      </c>
      <c r="W160">
        <v>13</v>
      </c>
      <c r="X160">
        <v>0</v>
      </c>
      <c r="Y160">
        <v>0</v>
      </c>
      <c r="Z160" t="b">
        <v>0</v>
      </c>
      <c r="AA160" t="b">
        <v>1</v>
      </c>
      <c r="AB160">
        <v>8</v>
      </c>
      <c r="AC160">
        <v>32952.2265625</v>
      </c>
      <c r="AD160">
        <v>125035.0546875</v>
      </c>
      <c r="AE160">
        <v>157987.28125</v>
      </c>
      <c r="AI160">
        <v>539052.625</v>
      </c>
      <c r="AJ160" t="s">
        <v>270</v>
      </c>
      <c r="AK160">
        <v>0</v>
      </c>
      <c r="AL160">
        <v>0</v>
      </c>
      <c r="AM160">
        <v>0</v>
      </c>
      <c r="AN160">
        <v>76</v>
      </c>
      <c r="AO160">
        <v>0</v>
      </c>
      <c r="AP160">
        <v>24</v>
      </c>
      <c r="AQ160">
        <v>0</v>
      </c>
      <c r="AR160">
        <v>0</v>
      </c>
      <c r="AS160">
        <v>0</v>
      </c>
      <c r="AT160" t="b">
        <v>0</v>
      </c>
      <c r="AU160">
        <v>4</v>
      </c>
      <c r="AV160">
        <v>4</v>
      </c>
      <c r="AW160">
        <v>0</v>
      </c>
      <c r="AX160" t="b">
        <v>0</v>
      </c>
      <c r="AY160" t="b">
        <v>0</v>
      </c>
      <c r="AZ160" t="b">
        <v>1</v>
      </c>
      <c r="BA160" t="b">
        <v>0</v>
      </c>
      <c r="BB160" t="s">
        <v>270</v>
      </c>
      <c r="BC160" t="s">
        <v>270</v>
      </c>
      <c r="BD160" t="s">
        <v>270</v>
      </c>
      <c r="BE160" t="s">
        <v>1775</v>
      </c>
      <c r="BF160" t="s">
        <v>1776</v>
      </c>
      <c r="BG160" t="s">
        <v>1777</v>
      </c>
      <c r="BH160" t="s">
        <v>1778</v>
      </c>
      <c r="BI160" t="s">
        <v>1790</v>
      </c>
      <c r="BJ160" t="b">
        <v>0</v>
      </c>
      <c r="BK160" t="b">
        <v>1</v>
      </c>
      <c r="BL160" t="b">
        <v>0</v>
      </c>
      <c r="BM160" t="b">
        <v>0</v>
      </c>
      <c r="BN160" t="b">
        <v>0</v>
      </c>
      <c r="BO160" t="b">
        <v>0</v>
      </c>
      <c r="BP160">
        <v>1</v>
      </c>
      <c r="BQ160">
        <v>21</v>
      </c>
      <c r="BR160">
        <v>0</v>
      </c>
      <c r="BS160">
        <v>0</v>
      </c>
      <c r="BT160" t="b">
        <v>1</v>
      </c>
      <c r="BU160">
        <v>0</v>
      </c>
      <c r="BV160">
        <v>20</v>
      </c>
      <c r="BW160">
        <v>8500</v>
      </c>
      <c r="BX160">
        <v>0</v>
      </c>
      <c r="BY160" t="s">
        <v>270</v>
      </c>
      <c r="BZ160" t="s">
        <v>270</v>
      </c>
      <c r="CA160" t="s">
        <v>270</v>
      </c>
      <c r="CB160" t="s">
        <v>273</v>
      </c>
      <c r="CC160" t="s">
        <v>1780</v>
      </c>
      <c r="CD160" t="s">
        <v>1781</v>
      </c>
      <c r="CE160" t="s">
        <v>1782</v>
      </c>
      <c r="CF160" t="s">
        <v>1783</v>
      </c>
      <c r="CG160">
        <f t="shared" si="10"/>
        <v>57.643905639648402</v>
      </c>
      <c r="CH160">
        <f t="shared" si="11"/>
        <v>12834</v>
      </c>
      <c r="CI160">
        <f t="shared" si="12"/>
        <v>2</v>
      </c>
      <c r="CJ160">
        <f t="shared" si="13"/>
        <v>739801.88497924758</v>
      </c>
      <c r="CK160">
        <f t="shared" si="14"/>
        <v>115.2878112792968</v>
      </c>
    </row>
    <row r="161" spans="1:89">
      <c r="A161">
        <v>73005</v>
      </c>
      <c r="B161" t="s">
        <v>1770</v>
      </c>
      <c r="C161">
        <v>54.761714935302699</v>
      </c>
      <c r="D161" t="s">
        <v>1771</v>
      </c>
      <c r="E161">
        <v>1982</v>
      </c>
      <c r="F161" t="s">
        <v>1788</v>
      </c>
      <c r="G161" t="s">
        <v>169</v>
      </c>
      <c r="H161">
        <v>98125</v>
      </c>
      <c r="I161" t="s">
        <v>1789</v>
      </c>
      <c r="K161" t="s">
        <v>1774</v>
      </c>
      <c r="L161">
        <v>20</v>
      </c>
      <c r="M161">
        <v>3</v>
      </c>
      <c r="N161">
        <v>0</v>
      </c>
      <c r="O161">
        <v>3</v>
      </c>
      <c r="P161">
        <v>0</v>
      </c>
      <c r="Q161">
        <v>20844</v>
      </c>
      <c r="R161">
        <v>20844</v>
      </c>
      <c r="S161">
        <v>2494</v>
      </c>
      <c r="T161">
        <v>0</v>
      </c>
      <c r="U161">
        <v>0</v>
      </c>
      <c r="V161">
        <v>11</v>
      </c>
      <c r="W161">
        <v>9</v>
      </c>
      <c r="X161">
        <v>0</v>
      </c>
      <c r="Y161">
        <v>5</v>
      </c>
      <c r="Z161" t="b">
        <v>0</v>
      </c>
      <c r="AA161" t="b">
        <v>1</v>
      </c>
      <c r="AB161">
        <v>8</v>
      </c>
      <c r="AC161">
        <v>115146.359375</v>
      </c>
      <c r="AD161">
        <v>130797.4765625</v>
      </c>
      <c r="AE161">
        <v>245943.84375</v>
      </c>
      <c r="AI161">
        <v>839160.375</v>
      </c>
      <c r="AJ161" t="s">
        <v>270</v>
      </c>
      <c r="AK161">
        <v>0</v>
      </c>
      <c r="AL161">
        <v>4</v>
      </c>
      <c r="AM161">
        <v>0</v>
      </c>
      <c r="AN161">
        <v>36</v>
      </c>
      <c r="AO161">
        <v>0</v>
      </c>
      <c r="AP161">
        <v>43</v>
      </c>
      <c r="AQ161">
        <v>0</v>
      </c>
      <c r="AR161">
        <v>0</v>
      </c>
      <c r="AS161">
        <v>17</v>
      </c>
      <c r="AT161" t="b">
        <v>1</v>
      </c>
      <c r="AU161">
        <v>0</v>
      </c>
      <c r="AV161">
        <v>0</v>
      </c>
      <c r="AW161">
        <v>0</v>
      </c>
      <c r="AX161" t="b">
        <v>0</v>
      </c>
      <c r="AY161" t="b">
        <v>0</v>
      </c>
      <c r="AZ161" t="b">
        <v>0</v>
      </c>
      <c r="BA161" t="b">
        <v>0</v>
      </c>
      <c r="BB161" t="s">
        <v>270</v>
      </c>
      <c r="BC161" t="s">
        <v>270</v>
      </c>
      <c r="BD161" t="s">
        <v>270</v>
      </c>
      <c r="BE161" t="s">
        <v>1775</v>
      </c>
      <c r="BF161" t="s">
        <v>1776</v>
      </c>
      <c r="BG161" t="s">
        <v>1777</v>
      </c>
      <c r="BH161" t="s">
        <v>1778</v>
      </c>
      <c r="BI161" t="s">
        <v>1779</v>
      </c>
      <c r="BJ161" t="b">
        <v>0</v>
      </c>
      <c r="BK161" t="b">
        <v>1</v>
      </c>
      <c r="BL161" t="b">
        <v>0</v>
      </c>
      <c r="BM161" t="b">
        <v>0</v>
      </c>
      <c r="BN161" t="b">
        <v>0</v>
      </c>
      <c r="BO161" t="b">
        <v>0</v>
      </c>
      <c r="BP161">
        <v>1</v>
      </c>
      <c r="BQ161">
        <v>21</v>
      </c>
      <c r="BR161">
        <v>0</v>
      </c>
      <c r="BS161">
        <v>0</v>
      </c>
      <c r="BT161" t="b">
        <v>1</v>
      </c>
      <c r="BU161">
        <v>0</v>
      </c>
      <c r="BV161">
        <v>20</v>
      </c>
      <c r="BW161">
        <v>5850</v>
      </c>
      <c r="BX161">
        <v>1</v>
      </c>
      <c r="BY161" t="s">
        <v>270</v>
      </c>
      <c r="BZ161" t="s">
        <v>273</v>
      </c>
      <c r="CA161" t="s">
        <v>270</v>
      </c>
      <c r="CB161" t="s">
        <v>273</v>
      </c>
      <c r="CC161" t="s">
        <v>1780</v>
      </c>
      <c r="CD161" t="s">
        <v>1781</v>
      </c>
      <c r="CE161" t="s">
        <v>1782</v>
      </c>
      <c r="CF161" t="s">
        <v>1783</v>
      </c>
      <c r="CG161">
        <f t="shared" si="10"/>
        <v>54.761714935302699</v>
      </c>
      <c r="CH161">
        <f t="shared" si="11"/>
        <v>20844</v>
      </c>
      <c r="CI161">
        <f t="shared" si="12"/>
        <v>3</v>
      </c>
      <c r="CJ161">
        <f t="shared" si="13"/>
        <v>1141453.1861114495</v>
      </c>
      <c r="CK161">
        <f t="shared" si="14"/>
        <v>164.28514480590809</v>
      </c>
    </row>
    <row r="162" spans="1:89">
      <c r="A162">
        <v>73006</v>
      </c>
      <c r="B162" t="s">
        <v>1770</v>
      </c>
      <c r="C162">
        <v>73.015617370605497</v>
      </c>
      <c r="D162" t="s">
        <v>1792</v>
      </c>
      <c r="E162">
        <v>1962</v>
      </c>
      <c r="F162" t="s">
        <v>1788</v>
      </c>
      <c r="G162" t="s">
        <v>169</v>
      </c>
      <c r="H162">
        <v>98125</v>
      </c>
      <c r="I162" t="s">
        <v>1789</v>
      </c>
      <c r="K162" t="s">
        <v>1774</v>
      </c>
      <c r="L162">
        <v>15</v>
      </c>
      <c r="M162">
        <v>2</v>
      </c>
      <c r="N162">
        <v>0</v>
      </c>
      <c r="O162">
        <v>2</v>
      </c>
      <c r="P162">
        <v>1</v>
      </c>
      <c r="Q162">
        <v>11800</v>
      </c>
      <c r="R162">
        <v>11800</v>
      </c>
      <c r="S162">
        <v>550</v>
      </c>
      <c r="T162">
        <v>0</v>
      </c>
      <c r="U162">
        <v>0</v>
      </c>
      <c r="V162">
        <v>8</v>
      </c>
      <c r="W162">
        <v>7</v>
      </c>
      <c r="X162">
        <v>0</v>
      </c>
      <c r="Y162">
        <v>0</v>
      </c>
      <c r="Z162" t="b">
        <v>0</v>
      </c>
      <c r="AA162" t="b">
        <v>1</v>
      </c>
      <c r="AB162">
        <v>8</v>
      </c>
      <c r="AC162">
        <v>11260.216796875</v>
      </c>
      <c r="AD162">
        <v>129995.90625</v>
      </c>
      <c r="AE162">
        <v>141256.125</v>
      </c>
      <c r="AI162">
        <v>481965.90625</v>
      </c>
      <c r="AJ162" t="s">
        <v>270</v>
      </c>
      <c r="AK162">
        <v>0</v>
      </c>
      <c r="AL162">
        <v>27</v>
      </c>
      <c r="AM162">
        <v>0</v>
      </c>
      <c r="AN162">
        <v>27</v>
      </c>
      <c r="AO162">
        <v>0</v>
      </c>
      <c r="AP162">
        <v>27</v>
      </c>
      <c r="AQ162">
        <v>0</v>
      </c>
      <c r="AR162">
        <v>0</v>
      </c>
      <c r="AS162">
        <v>19</v>
      </c>
      <c r="AT162" t="b">
        <v>0</v>
      </c>
      <c r="AU162">
        <v>2</v>
      </c>
      <c r="AV162">
        <v>2</v>
      </c>
      <c r="AW162">
        <v>0</v>
      </c>
      <c r="AX162" t="b">
        <v>0</v>
      </c>
      <c r="AY162" t="b">
        <v>0</v>
      </c>
      <c r="AZ162" t="b">
        <v>1</v>
      </c>
      <c r="BA162" t="b">
        <v>0</v>
      </c>
      <c r="BB162" t="s">
        <v>270</v>
      </c>
      <c r="BC162" t="s">
        <v>270</v>
      </c>
      <c r="BD162" t="s">
        <v>270</v>
      </c>
      <c r="BE162" t="s">
        <v>1775</v>
      </c>
      <c r="BF162" t="s">
        <v>1776</v>
      </c>
      <c r="BG162" t="s">
        <v>1777</v>
      </c>
      <c r="BH162" t="s">
        <v>1778</v>
      </c>
      <c r="BI162" t="s">
        <v>1790</v>
      </c>
      <c r="BJ162" t="b">
        <v>0</v>
      </c>
      <c r="BK162" t="b">
        <v>1</v>
      </c>
      <c r="BL162" t="b">
        <v>0</v>
      </c>
      <c r="BM162" t="b">
        <v>0</v>
      </c>
      <c r="BN162" t="b">
        <v>0</v>
      </c>
      <c r="BO162" t="b">
        <v>0</v>
      </c>
      <c r="BP162">
        <v>1</v>
      </c>
      <c r="BQ162">
        <v>17</v>
      </c>
      <c r="BR162">
        <v>0</v>
      </c>
      <c r="BS162">
        <v>0</v>
      </c>
      <c r="BT162" t="b">
        <v>1</v>
      </c>
      <c r="BV162">
        <v>16</v>
      </c>
      <c r="BW162">
        <v>6800</v>
      </c>
      <c r="BX162">
        <v>0</v>
      </c>
      <c r="BY162" t="s">
        <v>270</v>
      </c>
      <c r="BZ162" t="s">
        <v>270</v>
      </c>
      <c r="CA162" t="s">
        <v>270</v>
      </c>
      <c r="CB162" t="s">
        <v>273</v>
      </c>
      <c r="CC162" t="s">
        <v>1787</v>
      </c>
      <c r="CD162" t="s">
        <v>1781</v>
      </c>
      <c r="CE162" t="s">
        <v>1795</v>
      </c>
      <c r="CF162" t="s">
        <v>1783</v>
      </c>
      <c r="CG162">
        <f t="shared" si="10"/>
        <v>73.015617370605497</v>
      </c>
      <c r="CH162">
        <f t="shared" si="11"/>
        <v>11800</v>
      </c>
      <c r="CI162">
        <f t="shared" si="12"/>
        <v>2</v>
      </c>
      <c r="CJ162">
        <f t="shared" si="13"/>
        <v>861584.28497314488</v>
      </c>
      <c r="CK162">
        <f t="shared" si="14"/>
        <v>146.03123474121099</v>
      </c>
    </row>
    <row r="163" spans="1:89">
      <c r="A163">
        <v>73007</v>
      </c>
      <c r="B163" t="s">
        <v>1770</v>
      </c>
      <c r="C163">
        <v>64.425544738769503</v>
      </c>
      <c r="D163" t="s">
        <v>1792</v>
      </c>
      <c r="E163">
        <v>1968</v>
      </c>
      <c r="F163" t="s">
        <v>1788</v>
      </c>
      <c r="G163" t="s">
        <v>169</v>
      </c>
      <c r="H163">
        <v>98118</v>
      </c>
      <c r="I163" t="s">
        <v>1789</v>
      </c>
      <c r="K163" t="s">
        <v>1774</v>
      </c>
      <c r="L163">
        <v>17</v>
      </c>
      <c r="M163">
        <v>3</v>
      </c>
      <c r="N163">
        <v>0</v>
      </c>
      <c r="O163">
        <v>3</v>
      </c>
      <c r="P163">
        <v>0</v>
      </c>
      <c r="Q163">
        <v>10522</v>
      </c>
      <c r="R163">
        <v>10522</v>
      </c>
      <c r="S163">
        <v>0</v>
      </c>
      <c r="T163">
        <v>0</v>
      </c>
      <c r="U163">
        <v>0</v>
      </c>
      <c r="V163">
        <v>2</v>
      </c>
      <c r="W163">
        <v>15</v>
      </c>
      <c r="X163">
        <v>0</v>
      </c>
      <c r="Y163">
        <v>0</v>
      </c>
      <c r="Z163" t="b">
        <v>0</v>
      </c>
      <c r="AA163" t="b">
        <v>0</v>
      </c>
      <c r="AB163">
        <v>8</v>
      </c>
      <c r="AC163">
        <v>5331.86181640625</v>
      </c>
      <c r="AD163">
        <v>102739.328125</v>
      </c>
      <c r="AE163">
        <v>108071.1875</v>
      </c>
      <c r="AI163">
        <v>368738.90625</v>
      </c>
      <c r="AJ163" t="s">
        <v>270</v>
      </c>
      <c r="AK163">
        <v>0</v>
      </c>
      <c r="AL163">
        <v>14</v>
      </c>
      <c r="AM163">
        <v>0</v>
      </c>
      <c r="AN163">
        <v>10</v>
      </c>
      <c r="AO163">
        <v>0</v>
      </c>
      <c r="AP163">
        <v>65</v>
      </c>
      <c r="AQ163">
        <v>0</v>
      </c>
      <c r="AR163">
        <v>0</v>
      </c>
      <c r="AS163">
        <v>11</v>
      </c>
      <c r="AT163" t="b">
        <v>1</v>
      </c>
      <c r="AU163">
        <v>0</v>
      </c>
      <c r="AV163">
        <v>0</v>
      </c>
      <c r="AW163">
        <v>0</v>
      </c>
      <c r="AX163" t="b">
        <v>0</v>
      </c>
      <c r="AY163" t="b">
        <v>0</v>
      </c>
      <c r="AZ163" t="b">
        <v>0</v>
      </c>
      <c r="BA163" t="b">
        <v>0</v>
      </c>
      <c r="BB163" t="s">
        <v>270</v>
      </c>
      <c r="BC163" t="s">
        <v>270</v>
      </c>
      <c r="BD163" t="s">
        <v>270</v>
      </c>
      <c r="BE163" t="s">
        <v>1775</v>
      </c>
      <c r="BF163" t="s">
        <v>1776</v>
      </c>
      <c r="BG163" t="s">
        <v>1777</v>
      </c>
      <c r="BH163" t="s">
        <v>1778</v>
      </c>
      <c r="BI163" t="s">
        <v>1779</v>
      </c>
      <c r="BJ163" t="b">
        <v>0</v>
      </c>
      <c r="BK163" t="b">
        <v>1</v>
      </c>
      <c r="BL163" t="b">
        <v>0</v>
      </c>
      <c r="BM163" t="b">
        <v>0</v>
      </c>
      <c r="BN163" t="b">
        <v>0</v>
      </c>
      <c r="BO163" t="b">
        <v>0</v>
      </c>
      <c r="BP163">
        <v>1</v>
      </c>
      <c r="BQ163">
        <v>18</v>
      </c>
      <c r="BR163">
        <v>0</v>
      </c>
      <c r="BS163">
        <v>0</v>
      </c>
      <c r="BT163" t="b">
        <v>1</v>
      </c>
      <c r="BU163">
        <v>0</v>
      </c>
      <c r="BV163">
        <v>20</v>
      </c>
      <c r="BW163">
        <v>8178</v>
      </c>
      <c r="BX163">
        <v>0</v>
      </c>
      <c r="BY163" t="s">
        <v>270</v>
      </c>
      <c r="BZ163" t="s">
        <v>270</v>
      </c>
      <c r="CA163" t="s">
        <v>273</v>
      </c>
      <c r="CB163" t="s">
        <v>273</v>
      </c>
      <c r="CC163" t="s">
        <v>1780</v>
      </c>
      <c r="CD163" t="s">
        <v>1781</v>
      </c>
      <c r="CE163" t="s">
        <v>1782</v>
      </c>
      <c r="CF163" t="s">
        <v>1783</v>
      </c>
      <c r="CG163">
        <f t="shared" si="10"/>
        <v>64.425544738769503</v>
      </c>
      <c r="CH163">
        <f t="shared" si="11"/>
        <v>10522</v>
      </c>
      <c r="CI163">
        <f t="shared" si="12"/>
        <v>3</v>
      </c>
      <c r="CJ163">
        <f t="shared" si="13"/>
        <v>677885.58174133266</v>
      </c>
      <c r="CK163">
        <f t="shared" si="14"/>
        <v>193.27663421630851</v>
      </c>
    </row>
    <row r="164" spans="1:89">
      <c r="A164">
        <v>73008</v>
      </c>
      <c r="B164" t="s">
        <v>1770</v>
      </c>
      <c r="C164">
        <v>52.154014587402301</v>
      </c>
      <c r="D164" t="s">
        <v>1792</v>
      </c>
      <c r="E164">
        <v>1958</v>
      </c>
      <c r="F164" t="s">
        <v>1788</v>
      </c>
      <c r="G164" t="s">
        <v>169</v>
      </c>
      <c r="H164">
        <v>98105</v>
      </c>
      <c r="I164" t="s">
        <v>1789</v>
      </c>
      <c r="K164" t="s">
        <v>1774</v>
      </c>
      <c r="L164">
        <v>21</v>
      </c>
      <c r="M164">
        <v>4</v>
      </c>
      <c r="N164">
        <v>0</v>
      </c>
      <c r="O164">
        <v>3</v>
      </c>
      <c r="P164">
        <v>0</v>
      </c>
      <c r="Q164">
        <v>10440</v>
      </c>
      <c r="R164">
        <v>10440</v>
      </c>
      <c r="S164">
        <v>378</v>
      </c>
      <c r="T164">
        <v>0</v>
      </c>
      <c r="U164">
        <v>0</v>
      </c>
      <c r="V164">
        <v>0</v>
      </c>
      <c r="W164">
        <v>21</v>
      </c>
      <c r="X164">
        <v>0</v>
      </c>
      <c r="Y164">
        <v>0</v>
      </c>
      <c r="Z164" t="b">
        <v>0</v>
      </c>
      <c r="AA164" t="b">
        <v>1</v>
      </c>
      <c r="AB164">
        <v>8</v>
      </c>
      <c r="AC164">
        <v>10996.69921875</v>
      </c>
      <c r="AD164">
        <v>94040.2578125</v>
      </c>
      <c r="AE164">
        <v>105036.953125</v>
      </c>
      <c r="AI164">
        <v>358386.09375</v>
      </c>
      <c r="AJ164" t="s">
        <v>270</v>
      </c>
      <c r="AK164">
        <v>0</v>
      </c>
      <c r="AL164">
        <v>9</v>
      </c>
      <c r="AM164">
        <v>0</v>
      </c>
      <c r="AN164">
        <v>46</v>
      </c>
      <c r="AO164">
        <v>0</v>
      </c>
      <c r="AP164">
        <v>34</v>
      </c>
      <c r="AQ164">
        <v>0</v>
      </c>
      <c r="AR164">
        <v>0</v>
      </c>
      <c r="AS164">
        <v>11</v>
      </c>
      <c r="AT164" t="b">
        <v>0</v>
      </c>
      <c r="AU164">
        <v>2</v>
      </c>
      <c r="AV164">
        <v>2</v>
      </c>
      <c r="AW164">
        <v>0</v>
      </c>
      <c r="AX164" t="b">
        <v>0</v>
      </c>
      <c r="AY164" t="b">
        <v>0</v>
      </c>
      <c r="AZ164" t="b">
        <v>0</v>
      </c>
      <c r="BA164" t="b">
        <v>0</v>
      </c>
      <c r="BB164" t="s">
        <v>270</v>
      </c>
      <c r="BC164" t="s">
        <v>270</v>
      </c>
      <c r="BD164" t="s">
        <v>270</v>
      </c>
      <c r="BE164" t="s">
        <v>1775</v>
      </c>
      <c r="BF164" t="s">
        <v>1776</v>
      </c>
      <c r="BG164" t="s">
        <v>1777</v>
      </c>
      <c r="BH164" t="s">
        <v>1778</v>
      </c>
      <c r="BI164" t="s">
        <v>1790</v>
      </c>
      <c r="BJ164" t="b">
        <v>0</v>
      </c>
      <c r="BK164" t="b">
        <v>1</v>
      </c>
      <c r="BL164" t="b">
        <v>0</v>
      </c>
      <c r="BM164" t="b">
        <v>0</v>
      </c>
      <c r="BN164" t="b">
        <v>0</v>
      </c>
      <c r="BO164" t="b">
        <v>0</v>
      </c>
      <c r="BP164">
        <v>1</v>
      </c>
      <c r="BQ164">
        <v>23</v>
      </c>
      <c r="BR164">
        <v>0</v>
      </c>
      <c r="BS164">
        <v>0</v>
      </c>
      <c r="BT164" t="b">
        <v>0</v>
      </c>
      <c r="BV164">
        <v>0</v>
      </c>
      <c r="BW164">
        <v>0</v>
      </c>
      <c r="BX164">
        <v>0</v>
      </c>
      <c r="BY164" t="s">
        <v>270</v>
      </c>
      <c r="BZ164" t="s">
        <v>270</v>
      </c>
      <c r="CA164" t="s">
        <v>270</v>
      </c>
      <c r="CB164" t="s">
        <v>270</v>
      </c>
      <c r="CC164" t="s">
        <v>1780</v>
      </c>
      <c r="CD164" t="s">
        <v>1781</v>
      </c>
      <c r="CE164" t="s">
        <v>1825</v>
      </c>
      <c r="CF164" t="s">
        <v>1783</v>
      </c>
      <c r="CG164">
        <f t="shared" si="10"/>
        <v>52.154014587402301</v>
      </c>
      <c r="CH164">
        <f t="shared" si="11"/>
        <v>10440</v>
      </c>
      <c r="CI164">
        <f t="shared" si="12"/>
        <v>4</v>
      </c>
      <c r="CJ164">
        <f t="shared" si="13"/>
        <v>544487.91229248</v>
      </c>
      <c r="CK164">
        <f t="shared" si="14"/>
        <v>208.6160583496092</v>
      </c>
    </row>
    <row r="165" spans="1:89">
      <c r="A165">
        <v>73009</v>
      </c>
      <c r="B165" t="s">
        <v>1799</v>
      </c>
      <c r="C165">
        <v>60.846343994140597</v>
      </c>
      <c r="D165" t="s">
        <v>1792</v>
      </c>
      <c r="E165">
        <v>1969</v>
      </c>
      <c r="F165" t="s">
        <v>1788</v>
      </c>
      <c r="G165" t="s">
        <v>169</v>
      </c>
      <c r="H165">
        <v>98144</v>
      </c>
      <c r="I165" t="s">
        <v>1789</v>
      </c>
      <c r="K165" t="s">
        <v>1774</v>
      </c>
      <c r="L165">
        <v>18</v>
      </c>
      <c r="M165">
        <v>3</v>
      </c>
      <c r="N165">
        <v>1</v>
      </c>
      <c r="O165">
        <v>4</v>
      </c>
      <c r="P165">
        <v>0</v>
      </c>
      <c r="Q165">
        <v>14616</v>
      </c>
      <c r="R165">
        <v>10962</v>
      </c>
      <c r="S165">
        <v>70</v>
      </c>
      <c r="T165">
        <v>0</v>
      </c>
      <c r="U165">
        <v>6</v>
      </c>
      <c r="V165">
        <v>6</v>
      </c>
      <c r="W165">
        <v>6</v>
      </c>
      <c r="X165">
        <v>0</v>
      </c>
      <c r="Y165">
        <v>0</v>
      </c>
      <c r="Z165" t="b">
        <v>1</v>
      </c>
      <c r="AA165" t="b">
        <v>1</v>
      </c>
      <c r="AB165">
        <v>8</v>
      </c>
      <c r="AC165">
        <v>10379.984375</v>
      </c>
      <c r="AD165">
        <v>131040.1328125</v>
      </c>
      <c r="AE165">
        <v>141420.125</v>
      </c>
      <c r="AI165">
        <v>482525.46875</v>
      </c>
      <c r="AJ165" t="s">
        <v>270</v>
      </c>
      <c r="AK165">
        <v>3006</v>
      </c>
      <c r="AL165">
        <v>10</v>
      </c>
      <c r="AM165">
        <v>0</v>
      </c>
      <c r="AN165">
        <v>7</v>
      </c>
      <c r="AO165">
        <v>0</v>
      </c>
      <c r="AP165">
        <v>17</v>
      </c>
      <c r="AQ165">
        <v>0</v>
      </c>
      <c r="AR165">
        <v>0</v>
      </c>
      <c r="AS165">
        <v>66</v>
      </c>
      <c r="AT165" t="b">
        <v>1</v>
      </c>
      <c r="AU165">
        <v>2</v>
      </c>
      <c r="AV165">
        <v>2</v>
      </c>
      <c r="AW165">
        <v>0</v>
      </c>
      <c r="AX165" t="b">
        <v>0</v>
      </c>
      <c r="AY165" t="b">
        <v>0</v>
      </c>
      <c r="AZ165" t="b">
        <v>0</v>
      </c>
      <c r="BA165" t="b">
        <v>0</v>
      </c>
      <c r="BB165" t="s">
        <v>270</v>
      </c>
      <c r="BC165" t="s">
        <v>270</v>
      </c>
      <c r="BD165" t="s">
        <v>270</v>
      </c>
      <c r="BE165" t="s">
        <v>1775</v>
      </c>
      <c r="BF165" t="s">
        <v>1776</v>
      </c>
      <c r="BG165" t="s">
        <v>1777</v>
      </c>
      <c r="BH165" t="s">
        <v>1804</v>
      </c>
      <c r="BI165" t="s">
        <v>1790</v>
      </c>
      <c r="BJ165" t="b">
        <v>0</v>
      </c>
      <c r="BK165" t="b">
        <v>1</v>
      </c>
      <c r="BL165" t="b">
        <v>0</v>
      </c>
      <c r="BM165" t="b">
        <v>0</v>
      </c>
      <c r="BN165" t="b">
        <v>0</v>
      </c>
      <c r="BO165" t="b">
        <v>0</v>
      </c>
      <c r="BP165">
        <v>1</v>
      </c>
      <c r="BQ165">
        <v>20</v>
      </c>
      <c r="BR165">
        <v>0</v>
      </c>
      <c r="BS165">
        <v>0</v>
      </c>
      <c r="BT165" t="b">
        <v>1</v>
      </c>
      <c r="BV165">
        <v>18</v>
      </c>
      <c r="BW165">
        <v>7650</v>
      </c>
      <c r="BX165">
        <v>0</v>
      </c>
      <c r="BY165" t="s">
        <v>270</v>
      </c>
      <c r="BZ165" t="s">
        <v>270</v>
      </c>
      <c r="CA165" t="s">
        <v>270</v>
      </c>
      <c r="CB165" t="s">
        <v>273</v>
      </c>
      <c r="CC165" t="s">
        <v>1780</v>
      </c>
      <c r="CD165" t="s">
        <v>1781</v>
      </c>
      <c r="CE165" t="s">
        <v>1782</v>
      </c>
      <c r="CF165" t="s">
        <v>1783</v>
      </c>
      <c r="CG165" t="str">
        <f t="shared" si="10"/>
        <v/>
      </c>
      <c r="CH165" t="str">
        <f t="shared" si="11"/>
        <v/>
      </c>
      <c r="CI165" t="str">
        <f t="shared" si="12"/>
        <v/>
      </c>
      <c r="CJ165" t="str">
        <f t="shared" si="13"/>
        <v/>
      </c>
      <c r="CK165" t="str">
        <f t="shared" si="14"/>
        <v/>
      </c>
    </row>
    <row r="166" spans="1:89">
      <c r="A166">
        <v>73010</v>
      </c>
      <c r="B166" t="s">
        <v>1770</v>
      </c>
      <c r="C166">
        <v>52.154014587402301</v>
      </c>
      <c r="D166" t="s">
        <v>1822</v>
      </c>
      <c r="E166">
        <v>1926</v>
      </c>
      <c r="F166" t="s">
        <v>1788</v>
      </c>
      <c r="G166" t="s">
        <v>169</v>
      </c>
      <c r="H166">
        <v>98103</v>
      </c>
      <c r="I166" t="s">
        <v>1789</v>
      </c>
      <c r="J166" t="s">
        <v>1785</v>
      </c>
      <c r="K166" t="s">
        <v>1774</v>
      </c>
      <c r="L166">
        <v>21</v>
      </c>
      <c r="M166">
        <v>4</v>
      </c>
      <c r="N166">
        <v>0</v>
      </c>
      <c r="O166">
        <v>3</v>
      </c>
      <c r="P166">
        <v>1</v>
      </c>
      <c r="Q166">
        <v>18160</v>
      </c>
      <c r="R166">
        <v>18160</v>
      </c>
      <c r="S166">
        <v>3427</v>
      </c>
      <c r="T166">
        <v>0</v>
      </c>
      <c r="U166">
        <v>0</v>
      </c>
      <c r="V166">
        <v>0</v>
      </c>
      <c r="W166">
        <v>7</v>
      </c>
      <c r="X166">
        <v>14</v>
      </c>
      <c r="Y166">
        <v>0</v>
      </c>
      <c r="Z166" t="b">
        <v>0</v>
      </c>
      <c r="AA166" t="b">
        <v>1</v>
      </c>
      <c r="AB166">
        <v>8.5</v>
      </c>
      <c r="AC166">
        <v>13635.607421875</v>
      </c>
      <c r="AD166">
        <v>31745.435546875</v>
      </c>
      <c r="AE166">
        <v>45381.04296875</v>
      </c>
      <c r="AH166">
        <v>7881.14599609375</v>
      </c>
      <c r="AI166">
        <v>942954.6875</v>
      </c>
      <c r="AJ166" t="s">
        <v>270</v>
      </c>
      <c r="AL166">
        <v>30</v>
      </c>
      <c r="AM166">
        <v>0</v>
      </c>
      <c r="AN166">
        <v>13</v>
      </c>
      <c r="AO166">
        <v>0</v>
      </c>
      <c r="AP166">
        <v>15</v>
      </c>
      <c r="AQ166">
        <v>0</v>
      </c>
      <c r="AR166">
        <v>0</v>
      </c>
      <c r="AS166">
        <v>42</v>
      </c>
      <c r="AT166" t="b">
        <v>0</v>
      </c>
      <c r="AU166">
        <v>2</v>
      </c>
      <c r="AV166">
        <v>2</v>
      </c>
      <c r="AW166">
        <v>0</v>
      </c>
      <c r="AX166" t="b">
        <v>1</v>
      </c>
      <c r="AY166" t="b">
        <v>0</v>
      </c>
      <c r="AZ166" t="b">
        <v>0</v>
      </c>
      <c r="BA166" t="b">
        <v>0</v>
      </c>
      <c r="BB166" t="s">
        <v>270</v>
      </c>
      <c r="BC166" t="s">
        <v>270</v>
      </c>
      <c r="BD166" t="s">
        <v>270</v>
      </c>
      <c r="BE166" t="s">
        <v>1813</v>
      </c>
      <c r="BF166" t="s">
        <v>1810</v>
      </c>
      <c r="BG166" t="s">
        <v>1814</v>
      </c>
      <c r="BH166" t="s">
        <v>1778</v>
      </c>
      <c r="BI166" t="s">
        <v>1812</v>
      </c>
      <c r="BJ166" t="b">
        <v>1</v>
      </c>
      <c r="BK166" t="b">
        <v>1</v>
      </c>
      <c r="BL166" t="b">
        <v>1</v>
      </c>
      <c r="BM166" t="b">
        <v>0</v>
      </c>
      <c r="BN166" t="b">
        <v>0</v>
      </c>
      <c r="BO166" t="b">
        <v>0</v>
      </c>
      <c r="BP166">
        <v>1</v>
      </c>
      <c r="BQ166">
        <v>23</v>
      </c>
      <c r="BR166">
        <v>1</v>
      </c>
      <c r="BS166">
        <v>1</v>
      </c>
      <c r="BT166" t="b">
        <v>1</v>
      </c>
      <c r="BU166">
        <v>0</v>
      </c>
      <c r="BV166">
        <v>6</v>
      </c>
      <c r="BW166">
        <v>1155</v>
      </c>
      <c r="BX166">
        <v>1</v>
      </c>
      <c r="BY166" t="s">
        <v>273</v>
      </c>
      <c r="BZ166" t="s">
        <v>270</v>
      </c>
      <c r="CA166" t="s">
        <v>270</v>
      </c>
      <c r="CB166" t="s">
        <v>270</v>
      </c>
      <c r="CC166" t="s">
        <v>1780</v>
      </c>
      <c r="CD166" t="s">
        <v>1781</v>
      </c>
      <c r="CE166" t="s">
        <v>1782</v>
      </c>
      <c r="CF166" t="s">
        <v>1783</v>
      </c>
      <c r="CG166" t="str">
        <f t="shared" si="10"/>
        <v/>
      </c>
      <c r="CH166" t="str">
        <f t="shared" si="11"/>
        <v/>
      </c>
      <c r="CI166" t="str">
        <f t="shared" si="12"/>
        <v/>
      </c>
      <c r="CJ166" t="str">
        <f t="shared" si="13"/>
        <v/>
      </c>
      <c r="CK166" t="str">
        <f t="shared" si="14"/>
        <v/>
      </c>
    </row>
    <row r="167" spans="1:89">
      <c r="A167">
        <v>74001</v>
      </c>
      <c r="B167" t="s">
        <v>1799</v>
      </c>
      <c r="C167">
        <v>34.226070404052699</v>
      </c>
      <c r="D167" t="s">
        <v>1822</v>
      </c>
      <c r="E167">
        <v>1904</v>
      </c>
      <c r="F167" t="s">
        <v>1788</v>
      </c>
      <c r="G167" t="s">
        <v>169</v>
      </c>
      <c r="H167">
        <v>98104</v>
      </c>
      <c r="I167" t="s">
        <v>1789</v>
      </c>
      <c r="J167" t="s">
        <v>1785</v>
      </c>
      <c r="K167" t="s">
        <v>1774</v>
      </c>
      <c r="L167">
        <v>32</v>
      </c>
      <c r="M167">
        <v>4</v>
      </c>
      <c r="N167">
        <v>0</v>
      </c>
      <c r="O167">
        <v>4</v>
      </c>
      <c r="P167">
        <v>1</v>
      </c>
      <c r="Q167">
        <v>43436</v>
      </c>
      <c r="R167">
        <v>43436</v>
      </c>
      <c r="S167">
        <v>7468</v>
      </c>
      <c r="T167">
        <v>0</v>
      </c>
      <c r="U167">
        <v>0</v>
      </c>
      <c r="V167">
        <v>18</v>
      </c>
      <c r="W167">
        <v>13</v>
      </c>
      <c r="X167">
        <v>1</v>
      </c>
      <c r="Y167">
        <v>0</v>
      </c>
      <c r="Z167" t="b">
        <v>0</v>
      </c>
      <c r="AA167" t="b">
        <v>1</v>
      </c>
      <c r="AB167">
        <v>9.25</v>
      </c>
      <c r="AC167">
        <v>20173.375</v>
      </c>
      <c r="AD167">
        <v>322232.53125</v>
      </c>
      <c r="AE167">
        <v>342405.90625</v>
      </c>
      <c r="AJ167" t="s">
        <v>270</v>
      </c>
      <c r="AK167">
        <v>0</v>
      </c>
      <c r="AL167">
        <v>31</v>
      </c>
      <c r="AM167">
        <v>0</v>
      </c>
      <c r="AN167">
        <v>22</v>
      </c>
      <c r="AO167">
        <v>0</v>
      </c>
      <c r="AP167">
        <v>18</v>
      </c>
      <c r="AQ167">
        <v>0</v>
      </c>
      <c r="AR167">
        <v>0</v>
      </c>
      <c r="AS167">
        <v>29</v>
      </c>
      <c r="AT167" t="b">
        <v>0</v>
      </c>
      <c r="AU167">
        <v>4</v>
      </c>
      <c r="AV167">
        <v>4</v>
      </c>
      <c r="AW167">
        <v>0</v>
      </c>
      <c r="AX167" t="b">
        <v>0</v>
      </c>
      <c r="AY167" t="b">
        <v>0</v>
      </c>
      <c r="AZ167" t="b">
        <v>0</v>
      </c>
      <c r="BA167" t="b">
        <v>0</v>
      </c>
      <c r="BB167" t="s">
        <v>270</v>
      </c>
      <c r="BC167" t="s">
        <v>270</v>
      </c>
      <c r="BD167" t="s">
        <v>270</v>
      </c>
      <c r="BE167" t="s">
        <v>1775</v>
      </c>
      <c r="BF167" t="s">
        <v>1776</v>
      </c>
      <c r="BG167" t="s">
        <v>1777</v>
      </c>
      <c r="BH167" t="s">
        <v>1778</v>
      </c>
      <c r="BI167" t="s">
        <v>1790</v>
      </c>
      <c r="BJ167" t="b">
        <v>1</v>
      </c>
      <c r="BK167" t="b">
        <v>1</v>
      </c>
      <c r="BL167" t="b">
        <v>1</v>
      </c>
      <c r="BM167" t="b">
        <v>0</v>
      </c>
      <c r="BN167" t="b">
        <v>0</v>
      </c>
      <c r="BO167" t="b">
        <v>0</v>
      </c>
      <c r="BP167">
        <v>1</v>
      </c>
      <c r="BQ167">
        <v>33</v>
      </c>
      <c r="BR167">
        <v>2</v>
      </c>
      <c r="BS167">
        <v>32</v>
      </c>
      <c r="BT167" t="b">
        <v>0</v>
      </c>
      <c r="BV167">
        <v>0</v>
      </c>
      <c r="BW167">
        <v>0</v>
      </c>
      <c r="BX167">
        <v>0</v>
      </c>
      <c r="BY167" t="s">
        <v>270</v>
      </c>
      <c r="BZ167" t="s">
        <v>270</v>
      </c>
      <c r="CA167" t="s">
        <v>270</v>
      </c>
      <c r="CB167" t="s">
        <v>270</v>
      </c>
      <c r="CC167" t="s">
        <v>1780</v>
      </c>
      <c r="CD167" t="s">
        <v>1781</v>
      </c>
      <c r="CE167" t="s">
        <v>1782</v>
      </c>
      <c r="CF167" t="s">
        <v>1783</v>
      </c>
      <c r="CG167" t="str">
        <f t="shared" si="10"/>
        <v/>
      </c>
      <c r="CH167" t="str">
        <f t="shared" si="11"/>
        <v/>
      </c>
      <c r="CI167" t="str">
        <f t="shared" si="12"/>
        <v/>
      </c>
      <c r="CJ167" t="str">
        <f t="shared" si="13"/>
        <v/>
      </c>
      <c r="CK167" t="str">
        <f t="shared" si="14"/>
        <v/>
      </c>
    </row>
    <row r="168" spans="1:89">
      <c r="A168">
        <v>74002</v>
      </c>
      <c r="B168" t="s">
        <v>1799</v>
      </c>
      <c r="C168">
        <v>43.809371948242202</v>
      </c>
      <c r="D168" t="s">
        <v>1806</v>
      </c>
      <c r="E168">
        <v>2001</v>
      </c>
      <c r="F168" t="s">
        <v>1788</v>
      </c>
      <c r="G168" t="s">
        <v>169</v>
      </c>
      <c r="H168">
        <v>98109</v>
      </c>
      <c r="I168" t="s">
        <v>1789</v>
      </c>
      <c r="J168" t="s">
        <v>1785</v>
      </c>
      <c r="K168" t="s">
        <v>1774</v>
      </c>
      <c r="L168">
        <v>25</v>
      </c>
      <c r="M168">
        <v>5</v>
      </c>
      <c r="N168">
        <v>1</v>
      </c>
      <c r="O168">
        <v>6</v>
      </c>
      <c r="P168">
        <v>0</v>
      </c>
      <c r="Q168">
        <v>25025</v>
      </c>
      <c r="R168">
        <v>24116</v>
      </c>
      <c r="S168">
        <v>3017</v>
      </c>
      <c r="T168">
        <v>0</v>
      </c>
      <c r="U168">
        <v>0</v>
      </c>
      <c r="V168">
        <v>10</v>
      </c>
      <c r="W168">
        <v>10</v>
      </c>
      <c r="X168">
        <v>5</v>
      </c>
      <c r="Y168">
        <v>0</v>
      </c>
      <c r="Z168" t="b">
        <v>1</v>
      </c>
      <c r="AA168" t="b">
        <v>1</v>
      </c>
      <c r="AB168">
        <v>9</v>
      </c>
      <c r="AC168">
        <v>82932.671875</v>
      </c>
      <c r="AD168">
        <v>158345.265625</v>
      </c>
      <c r="AE168">
        <v>241277.9375</v>
      </c>
      <c r="AJ168" t="s">
        <v>270</v>
      </c>
      <c r="AK168">
        <v>909</v>
      </c>
      <c r="AL168">
        <v>10</v>
      </c>
      <c r="AM168">
        <v>0</v>
      </c>
      <c r="AN168">
        <v>18</v>
      </c>
      <c r="AO168">
        <v>0</v>
      </c>
      <c r="AP168">
        <v>58</v>
      </c>
      <c r="AQ168">
        <v>0</v>
      </c>
      <c r="AR168">
        <v>0</v>
      </c>
      <c r="AS168">
        <v>14</v>
      </c>
      <c r="AT168" t="b">
        <v>1</v>
      </c>
      <c r="AU168">
        <v>0</v>
      </c>
      <c r="AV168">
        <v>0</v>
      </c>
      <c r="AW168">
        <v>1</v>
      </c>
      <c r="AX168" t="b">
        <v>0</v>
      </c>
      <c r="AY168" t="b">
        <v>0</v>
      </c>
      <c r="AZ168" t="b">
        <v>1</v>
      </c>
      <c r="BA168" t="b">
        <v>0</v>
      </c>
      <c r="BB168" t="s">
        <v>270</v>
      </c>
      <c r="BC168" t="s">
        <v>273</v>
      </c>
      <c r="BD168" t="s">
        <v>270</v>
      </c>
      <c r="BE168" t="s">
        <v>1775</v>
      </c>
      <c r="BF168" t="s">
        <v>1776</v>
      </c>
      <c r="BG168" t="s">
        <v>1777</v>
      </c>
      <c r="BH168" t="s">
        <v>1778</v>
      </c>
      <c r="BI168" t="s">
        <v>1779</v>
      </c>
      <c r="BJ168" t="b">
        <v>1</v>
      </c>
      <c r="BK168" t="b">
        <v>1</v>
      </c>
      <c r="BL168" t="b">
        <v>1</v>
      </c>
      <c r="BM168" t="b">
        <v>0</v>
      </c>
      <c r="BN168" t="b">
        <v>0</v>
      </c>
      <c r="BO168" t="b">
        <v>0</v>
      </c>
      <c r="BP168">
        <v>1</v>
      </c>
      <c r="BQ168">
        <v>27</v>
      </c>
      <c r="BR168">
        <v>1</v>
      </c>
      <c r="BS168">
        <v>11</v>
      </c>
      <c r="BT168" t="b">
        <v>1</v>
      </c>
      <c r="BU168">
        <v>0</v>
      </c>
      <c r="BV168">
        <v>38</v>
      </c>
      <c r="BW168">
        <v>10266</v>
      </c>
      <c r="BX168">
        <v>3</v>
      </c>
      <c r="BY168" t="s">
        <v>273</v>
      </c>
      <c r="BZ168" t="s">
        <v>270</v>
      </c>
      <c r="CA168" t="s">
        <v>270</v>
      </c>
      <c r="CB168" t="s">
        <v>270</v>
      </c>
      <c r="CC168" t="s">
        <v>1780</v>
      </c>
      <c r="CD168" t="s">
        <v>1781</v>
      </c>
      <c r="CE168" t="s">
        <v>1801</v>
      </c>
      <c r="CF168" t="s">
        <v>1783</v>
      </c>
      <c r="CG168" t="str">
        <f t="shared" si="10"/>
        <v/>
      </c>
      <c r="CH168" t="str">
        <f t="shared" si="11"/>
        <v/>
      </c>
      <c r="CI168" t="str">
        <f t="shared" si="12"/>
        <v/>
      </c>
      <c r="CJ168" t="str">
        <f t="shared" si="13"/>
        <v/>
      </c>
      <c r="CK168" t="str">
        <f t="shared" si="14"/>
        <v/>
      </c>
    </row>
    <row r="169" spans="1:89">
      <c r="A169">
        <v>74003</v>
      </c>
      <c r="B169" t="s">
        <v>1770</v>
      </c>
      <c r="C169">
        <v>36.507808685302699</v>
      </c>
      <c r="D169" t="s">
        <v>1771</v>
      </c>
      <c r="E169">
        <v>1987</v>
      </c>
      <c r="F169" t="s">
        <v>1910</v>
      </c>
      <c r="G169" t="s">
        <v>169</v>
      </c>
      <c r="H169">
        <v>98177</v>
      </c>
      <c r="I169" t="s">
        <v>1789</v>
      </c>
      <c r="J169" t="s">
        <v>1785</v>
      </c>
      <c r="K169" t="s">
        <v>1774</v>
      </c>
      <c r="L169">
        <v>30</v>
      </c>
      <c r="M169">
        <v>3</v>
      </c>
      <c r="N169">
        <v>0</v>
      </c>
      <c r="O169">
        <v>3</v>
      </c>
      <c r="P169">
        <v>0</v>
      </c>
      <c r="Q169">
        <v>34606</v>
      </c>
      <c r="R169">
        <v>34606</v>
      </c>
      <c r="S169">
        <v>3780</v>
      </c>
      <c r="T169">
        <v>0</v>
      </c>
      <c r="U169">
        <v>0</v>
      </c>
      <c r="X169">
        <v>0</v>
      </c>
      <c r="Y169">
        <v>0</v>
      </c>
      <c r="Z169" t="b">
        <v>0</v>
      </c>
      <c r="AA169" t="b">
        <v>1</v>
      </c>
      <c r="AB169">
        <v>7.8000001907348597</v>
      </c>
      <c r="AC169">
        <v>49625.25</v>
      </c>
      <c r="AD169">
        <v>244053.234375</v>
      </c>
      <c r="AE169">
        <v>293678.5</v>
      </c>
      <c r="AH169">
        <v>1066.80297851563</v>
      </c>
      <c r="AI169">
        <v>1108711.375</v>
      </c>
      <c r="AJ169" t="s">
        <v>270</v>
      </c>
      <c r="AK169">
        <v>0</v>
      </c>
      <c r="AL169">
        <v>18</v>
      </c>
      <c r="AM169">
        <v>0</v>
      </c>
      <c r="AN169">
        <v>27</v>
      </c>
      <c r="AO169">
        <v>0</v>
      </c>
      <c r="AP169">
        <v>25</v>
      </c>
      <c r="AQ169">
        <v>0</v>
      </c>
      <c r="AR169">
        <v>0</v>
      </c>
      <c r="AS169">
        <v>30</v>
      </c>
      <c r="AT169" t="b">
        <v>1</v>
      </c>
      <c r="AU169">
        <v>6</v>
      </c>
      <c r="AV169">
        <v>6</v>
      </c>
      <c r="AW169">
        <v>1</v>
      </c>
      <c r="AX169" t="b">
        <v>0</v>
      </c>
      <c r="AY169" t="b">
        <v>0</v>
      </c>
      <c r="AZ169" t="b">
        <v>1</v>
      </c>
      <c r="BA169" t="b">
        <v>0</v>
      </c>
      <c r="BB169" t="s">
        <v>270</v>
      </c>
      <c r="BC169" t="s">
        <v>270</v>
      </c>
      <c r="BD169" t="s">
        <v>270</v>
      </c>
      <c r="BE169" t="s">
        <v>1775</v>
      </c>
      <c r="BF169" t="s">
        <v>1776</v>
      </c>
      <c r="BG169" t="s">
        <v>1777</v>
      </c>
      <c r="BH169" t="s">
        <v>1778</v>
      </c>
      <c r="BI169" t="s">
        <v>1790</v>
      </c>
      <c r="BJ169" t="b">
        <v>1</v>
      </c>
      <c r="BK169" t="b">
        <v>1</v>
      </c>
      <c r="BL169" t="b">
        <v>1</v>
      </c>
      <c r="BM169" t="b">
        <v>0</v>
      </c>
      <c r="BN169" t="b">
        <v>0</v>
      </c>
      <c r="BO169" t="b">
        <v>0</v>
      </c>
      <c r="BP169">
        <v>1</v>
      </c>
      <c r="BQ169">
        <v>36</v>
      </c>
      <c r="BR169">
        <v>1</v>
      </c>
      <c r="BS169">
        <v>1</v>
      </c>
      <c r="BT169" t="b">
        <v>1</v>
      </c>
      <c r="BU169">
        <v>0</v>
      </c>
      <c r="BV169">
        <v>10</v>
      </c>
      <c r="BW169">
        <v>3910</v>
      </c>
      <c r="BX169">
        <v>1</v>
      </c>
      <c r="BY169" t="s">
        <v>270</v>
      </c>
      <c r="BZ169" t="s">
        <v>273</v>
      </c>
      <c r="CA169" t="s">
        <v>270</v>
      </c>
      <c r="CB169" t="s">
        <v>273</v>
      </c>
      <c r="CC169" t="s">
        <v>1780</v>
      </c>
      <c r="CD169" t="s">
        <v>1781</v>
      </c>
      <c r="CE169" t="s">
        <v>1782</v>
      </c>
      <c r="CF169" t="s">
        <v>1783</v>
      </c>
      <c r="CG169">
        <f t="shared" si="10"/>
        <v>36.507808685302699</v>
      </c>
      <c r="CH169">
        <f t="shared" si="11"/>
        <v>34606</v>
      </c>
      <c r="CI169">
        <f t="shared" si="12"/>
        <v>3</v>
      </c>
      <c r="CJ169">
        <f t="shared" si="13"/>
        <v>1263389.2273635853</v>
      </c>
      <c r="CK169">
        <f t="shared" si="14"/>
        <v>109.52342605590809</v>
      </c>
    </row>
    <row r="170" spans="1:89">
      <c r="A170">
        <v>74004</v>
      </c>
      <c r="B170" t="s">
        <v>1770</v>
      </c>
      <c r="C170">
        <v>45.634761810302699</v>
      </c>
      <c r="D170" t="s">
        <v>1771</v>
      </c>
      <c r="E170">
        <v>1986</v>
      </c>
      <c r="F170" t="s">
        <v>1788</v>
      </c>
      <c r="G170" t="s">
        <v>169</v>
      </c>
      <c r="H170">
        <v>98125</v>
      </c>
      <c r="I170" t="s">
        <v>1789</v>
      </c>
      <c r="K170" t="s">
        <v>1774</v>
      </c>
      <c r="L170">
        <v>24</v>
      </c>
      <c r="M170">
        <v>3</v>
      </c>
      <c r="N170">
        <v>0</v>
      </c>
      <c r="O170">
        <v>3</v>
      </c>
      <c r="P170">
        <v>1</v>
      </c>
      <c r="Q170">
        <v>16755</v>
      </c>
      <c r="R170">
        <v>16755</v>
      </c>
      <c r="S170">
        <v>1840</v>
      </c>
      <c r="T170">
        <v>0</v>
      </c>
      <c r="U170">
        <v>0</v>
      </c>
      <c r="V170">
        <v>0</v>
      </c>
      <c r="W170">
        <v>24</v>
      </c>
      <c r="X170">
        <v>0</v>
      </c>
      <c r="Y170">
        <v>8</v>
      </c>
      <c r="Z170" t="b">
        <v>0</v>
      </c>
      <c r="AA170" t="b">
        <v>1</v>
      </c>
      <c r="AB170">
        <v>7.6999998092651403</v>
      </c>
      <c r="AC170">
        <v>21182.236328125</v>
      </c>
      <c r="AD170">
        <v>132249.71875</v>
      </c>
      <c r="AE170">
        <v>153431.953125</v>
      </c>
      <c r="AI170">
        <v>523509.8125</v>
      </c>
      <c r="AJ170" t="s">
        <v>273</v>
      </c>
      <c r="AK170">
        <v>0</v>
      </c>
      <c r="AL170">
        <v>44</v>
      </c>
      <c r="AM170">
        <v>0</v>
      </c>
      <c r="AN170">
        <v>1</v>
      </c>
      <c r="AO170">
        <v>0</v>
      </c>
      <c r="AP170">
        <v>14</v>
      </c>
      <c r="AQ170">
        <v>0</v>
      </c>
      <c r="AR170">
        <v>0</v>
      </c>
      <c r="AS170">
        <v>41</v>
      </c>
      <c r="AT170" t="b">
        <v>1</v>
      </c>
      <c r="AU170">
        <v>3</v>
      </c>
      <c r="AV170">
        <v>3</v>
      </c>
      <c r="AW170">
        <v>0</v>
      </c>
      <c r="AX170" t="b">
        <v>0</v>
      </c>
      <c r="AY170" t="b">
        <v>0</v>
      </c>
      <c r="AZ170" t="b">
        <v>0</v>
      </c>
      <c r="BA170" t="b">
        <v>0</v>
      </c>
      <c r="BB170" t="s">
        <v>270</v>
      </c>
      <c r="BC170" t="s">
        <v>273</v>
      </c>
      <c r="BD170" t="s">
        <v>270</v>
      </c>
      <c r="BE170" t="s">
        <v>1775</v>
      </c>
      <c r="BF170" t="s">
        <v>1776</v>
      </c>
      <c r="BG170" t="s">
        <v>1777</v>
      </c>
      <c r="BH170" t="s">
        <v>1804</v>
      </c>
      <c r="BI170" t="s">
        <v>1790</v>
      </c>
      <c r="BJ170" t="b">
        <v>0</v>
      </c>
      <c r="BK170" t="b">
        <v>1</v>
      </c>
      <c r="BL170" t="b">
        <v>0</v>
      </c>
      <c r="BM170" t="b">
        <v>0</v>
      </c>
      <c r="BN170" t="b">
        <v>0</v>
      </c>
      <c r="BO170" t="b">
        <v>0</v>
      </c>
      <c r="BP170">
        <v>3</v>
      </c>
      <c r="BQ170">
        <v>25</v>
      </c>
      <c r="BR170">
        <v>0</v>
      </c>
      <c r="BS170">
        <v>0</v>
      </c>
      <c r="BT170" t="b">
        <v>1</v>
      </c>
      <c r="BU170">
        <v>0</v>
      </c>
      <c r="BV170">
        <v>23</v>
      </c>
      <c r="BW170">
        <v>5870</v>
      </c>
      <c r="BX170">
        <v>1</v>
      </c>
      <c r="BY170" t="s">
        <v>273</v>
      </c>
      <c r="BZ170" t="s">
        <v>270</v>
      </c>
      <c r="CA170" t="s">
        <v>270</v>
      </c>
      <c r="CB170" t="s">
        <v>270</v>
      </c>
      <c r="CC170" t="s">
        <v>1780</v>
      </c>
      <c r="CD170" t="s">
        <v>1781</v>
      </c>
      <c r="CE170" t="s">
        <v>1801</v>
      </c>
      <c r="CF170" t="s">
        <v>1783</v>
      </c>
      <c r="CG170">
        <f t="shared" si="10"/>
        <v>45.634761810302699</v>
      </c>
      <c r="CH170">
        <f t="shared" si="11"/>
        <v>16755</v>
      </c>
      <c r="CI170">
        <f t="shared" si="12"/>
        <v>3</v>
      </c>
      <c r="CJ170">
        <f t="shared" si="13"/>
        <v>764610.43413162173</v>
      </c>
      <c r="CK170">
        <f t="shared" si="14"/>
        <v>136.90428543090809</v>
      </c>
    </row>
    <row r="171" spans="1:89">
      <c r="A171">
        <v>74005</v>
      </c>
      <c r="B171" t="s">
        <v>1770</v>
      </c>
      <c r="C171">
        <v>40.564231872558601</v>
      </c>
      <c r="D171" t="s">
        <v>1792</v>
      </c>
      <c r="E171">
        <v>1963</v>
      </c>
      <c r="F171" t="s">
        <v>1910</v>
      </c>
      <c r="G171" t="s">
        <v>169</v>
      </c>
      <c r="H171">
        <v>98155</v>
      </c>
      <c r="I171" t="s">
        <v>1789</v>
      </c>
      <c r="J171" t="s">
        <v>1785</v>
      </c>
      <c r="K171" t="s">
        <v>1774</v>
      </c>
      <c r="L171">
        <v>27</v>
      </c>
      <c r="M171">
        <v>3</v>
      </c>
      <c r="N171">
        <v>0</v>
      </c>
      <c r="O171">
        <v>3</v>
      </c>
      <c r="P171">
        <v>0</v>
      </c>
      <c r="Q171">
        <v>33800</v>
      </c>
      <c r="R171">
        <v>33800</v>
      </c>
      <c r="S171">
        <v>313</v>
      </c>
      <c r="T171">
        <v>0</v>
      </c>
      <c r="U171">
        <v>0</v>
      </c>
      <c r="V171">
        <v>22</v>
      </c>
      <c r="W171">
        <v>5</v>
      </c>
      <c r="X171">
        <v>0</v>
      </c>
      <c r="Y171">
        <v>0</v>
      </c>
      <c r="Z171" t="b">
        <v>0</v>
      </c>
      <c r="AA171" t="b">
        <v>1</v>
      </c>
      <c r="AB171">
        <v>7.75</v>
      </c>
      <c r="AD171">
        <v>216793.84375</v>
      </c>
      <c r="AE171">
        <v>216793.84375</v>
      </c>
      <c r="AH171">
        <v>45.126453399658203</v>
      </c>
      <c r="AI171">
        <v>744213.25</v>
      </c>
      <c r="AJ171" t="s">
        <v>270</v>
      </c>
      <c r="AK171">
        <v>0</v>
      </c>
      <c r="AL171">
        <v>3</v>
      </c>
      <c r="AM171">
        <v>58</v>
      </c>
      <c r="AN171">
        <v>8</v>
      </c>
      <c r="AO171">
        <v>0</v>
      </c>
      <c r="AP171">
        <v>0</v>
      </c>
      <c r="AQ171">
        <v>0</v>
      </c>
      <c r="AR171">
        <v>31</v>
      </c>
      <c r="AS171">
        <v>0</v>
      </c>
      <c r="AT171" t="b">
        <v>1</v>
      </c>
      <c r="AU171">
        <v>4</v>
      </c>
      <c r="AV171">
        <v>5</v>
      </c>
      <c r="AW171">
        <v>0</v>
      </c>
      <c r="AX171" t="b">
        <v>0</v>
      </c>
      <c r="AY171" t="b">
        <v>0</v>
      </c>
      <c r="AZ171" t="b">
        <v>1</v>
      </c>
      <c r="BA171" t="b">
        <v>0</v>
      </c>
      <c r="BB171" t="s">
        <v>270</v>
      </c>
      <c r="BC171" t="s">
        <v>270</v>
      </c>
      <c r="BD171" t="s">
        <v>270</v>
      </c>
      <c r="BE171" t="s">
        <v>1775</v>
      </c>
      <c r="BF171" t="s">
        <v>1776</v>
      </c>
      <c r="BG171" t="s">
        <v>1777</v>
      </c>
      <c r="BH171" t="s">
        <v>1778</v>
      </c>
      <c r="BI171" t="s">
        <v>1790</v>
      </c>
      <c r="BJ171" t="b">
        <v>1</v>
      </c>
      <c r="BK171" t="b">
        <v>1</v>
      </c>
      <c r="BL171" t="b">
        <v>1</v>
      </c>
      <c r="BM171" t="b">
        <v>0</v>
      </c>
      <c r="BN171" t="b">
        <v>0</v>
      </c>
      <c r="BO171" t="b">
        <v>0</v>
      </c>
      <c r="BP171">
        <v>1</v>
      </c>
      <c r="BQ171">
        <v>28</v>
      </c>
      <c r="BR171">
        <v>1</v>
      </c>
      <c r="BS171">
        <v>1</v>
      </c>
      <c r="BT171" t="b">
        <v>1</v>
      </c>
      <c r="BU171">
        <v>0</v>
      </c>
      <c r="BV171">
        <v>43</v>
      </c>
      <c r="BW171">
        <v>18275</v>
      </c>
      <c r="BX171">
        <v>0</v>
      </c>
      <c r="BY171" t="s">
        <v>270</v>
      </c>
      <c r="BZ171" t="s">
        <v>270</v>
      </c>
      <c r="CA171" t="s">
        <v>270</v>
      </c>
      <c r="CB171" t="s">
        <v>273</v>
      </c>
      <c r="CC171" t="s">
        <v>1780</v>
      </c>
      <c r="CD171" t="s">
        <v>1781</v>
      </c>
      <c r="CE171" t="s">
        <v>1798</v>
      </c>
      <c r="CF171" t="s">
        <v>1783</v>
      </c>
      <c r="CG171">
        <f t="shared" si="10"/>
        <v>40.564231872558601</v>
      </c>
      <c r="CH171">
        <f t="shared" si="11"/>
        <v>33800</v>
      </c>
      <c r="CI171">
        <f t="shared" si="12"/>
        <v>3</v>
      </c>
      <c r="CJ171">
        <f t="shared" si="13"/>
        <v>1371071.0372924807</v>
      </c>
      <c r="CK171">
        <f t="shared" si="14"/>
        <v>121.69269561767581</v>
      </c>
    </row>
    <row r="172" spans="1:89">
      <c r="A172">
        <v>74006</v>
      </c>
      <c r="B172" t="s">
        <v>1770</v>
      </c>
      <c r="C172">
        <v>47.6188774108887</v>
      </c>
      <c r="D172" t="s">
        <v>1792</v>
      </c>
      <c r="E172">
        <v>1968</v>
      </c>
      <c r="F172" t="s">
        <v>1837</v>
      </c>
      <c r="G172" t="s">
        <v>169</v>
      </c>
      <c r="H172">
        <v>98148</v>
      </c>
      <c r="I172" t="s">
        <v>1789</v>
      </c>
      <c r="K172" t="s">
        <v>1774</v>
      </c>
      <c r="L172">
        <v>23</v>
      </c>
      <c r="M172">
        <v>2</v>
      </c>
      <c r="N172">
        <v>0</v>
      </c>
      <c r="O172">
        <v>2</v>
      </c>
      <c r="P172">
        <v>0</v>
      </c>
      <c r="Q172">
        <v>14292</v>
      </c>
      <c r="R172">
        <v>14292</v>
      </c>
      <c r="S172">
        <v>575</v>
      </c>
      <c r="T172">
        <v>0</v>
      </c>
      <c r="U172">
        <v>0</v>
      </c>
      <c r="V172">
        <v>12</v>
      </c>
      <c r="W172">
        <v>11</v>
      </c>
      <c r="X172">
        <v>0</v>
      </c>
      <c r="Y172">
        <v>17</v>
      </c>
      <c r="Z172" t="b">
        <v>0</v>
      </c>
      <c r="AA172" t="b">
        <v>1</v>
      </c>
      <c r="AB172">
        <v>8</v>
      </c>
      <c r="AC172">
        <v>42276.8828125</v>
      </c>
      <c r="AD172">
        <v>159902.71875</v>
      </c>
      <c r="AE172">
        <v>202179.59375</v>
      </c>
      <c r="AI172">
        <v>689836.75</v>
      </c>
      <c r="AJ172" t="s">
        <v>270</v>
      </c>
      <c r="AK172">
        <v>0</v>
      </c>
      <c r="AL172">
        <v>64</v>
      </c>
      <c r="AM172">
        <v>0</v>
      </c>
      <c r="AN172">
        <v>0</v>
      </c>
      <c r="AO172">
        <v>0</v>
      </c>
      <c r="AP172">
        <v>0</v>
      </c>
      <c r="AQ172">
        <v>0</v>
      </c>
      <c r="AR172">
        <v>0</v>
      </c>
      <c r="AS172">
        <v>36</v>
      </c>
      <c r="AT172" t="b">
        <v>1</v>
      </c>
      <c r="AU172">
        <v>5</v>
      </c>
      <c r="AV172">
        <v>4</v>
      </c>
      <c r="AW172">
        <v>0</v>
      </c>
      <c r="AX172" t="b">
        <v>0</v>
      </c>
      <c r="AY172" t="b">
        <v>0</v>
      </c>
      <c r="AZ172" t="b">
        <v>0</v>
      </c>
      <c r="BA172" t="b">
        <v>0</v>
      </c>
      <c r="BB172" t="s">
        <v>270</v>
      </c>
      <c r="BC172" t="s">
        <v>270</v>
      </c>
      <c r="BD172" t="s">
        <v>270</v>
      </c>
      <c r="BE172" t="s">
        <v>1775</v>
      </c>
      <c r="BF172" t="s">
        <v>1776</v>
      </c>
      <c r="BG172" t="s">
        <v>1777</v>
      </c>
      <c r="BH172" t="s">
        <v>1778</v>
      </c>
      <c r="BI172" t="s">
        <v>1790</v>
      </c>
      <c r="BJ172" t="b">
        <v>0</v>
      </c>
      <c r="BK172" t="b">
        <v>1</v>
      </c>
      <c r="BL172" t="b">
        <v>0</v>
      </c>
      <c r="BM172" t="b">
        <v>0</v>
      </c>
      <c r="BN172" t="b">
        <v>0</v>
      </c>
      <c r="BO172" t="b">
        <v>0</v>
      </c>
      <c r="BP172">
        <v>1</v>
      </c>
      <c r="BQ172">
        <v>24</v>
      </c>
      <c r="BR172">
        <v>0</v>
      </c>
      <c r="BS172">
        <v>0</v>
      </c>
      <c r="BT172" t="b">
        <v>1</v>
      </c>
      <c r="BU172">
        <v>0</v>
      </c>
      <c r="BV172">
        <v>41</v>
      </c>
      <c r="BW172">
        <v>17425</v>
      </c>
      <c r="BX172">
        <v>0</v>
      </c>
      <c r="BY172" t="s">
        <v>270</v>
      </c>
      <c r="BZ172" t="s">
        <v>270</v>
      </c>
      <c r="CA172" t="s">
        <v>270</v>
      </c>
      <c r="CB172" t="s">
        <v>273</v>
      </c>
      <c r="CC172" t="s">
        <v>1787</v>
      </c>
      <c r="CD172" t="s">
        <v>1781</v>
      </c>
      <c r="CE172" t="s">
        <v>1795</v>
      </c>
      <c r="CF172" t="s">
        <v>1783</v>
      </c>
      <c r="CG172">
        <f t="shared" si="10"/>
        <v>47.6188774108887</v>
      </c>
      <c r="CH172">
        <f t="shared" si="11"/>
        <v>14292</v>
      </c>
      <c r="CI172">
        <f t="shared" si="12"/>
        <v>2</v>
      </c>
      <c r="CJ172">
        <f t="shared" si="13"/>
        <v>680568.99595642125</v>
      </c>
      <c r="CK172">
        <f t="shared" si="14"/>
        <v>95.237754821777401</v>
      </c>
    </row>
    <row r="173" spans="1:89">
      <c r="A173">
        <v>74007</v>
      </c>
      <c r="B173" t="s">
        <v>1799</v>
      </c>
      <c r="C173">
        <v>45.634761810302699</v>
      </c>
      <c r="D173" t="s">
        <v>1802</v>
      </c>
      <c r="E173">
        <v>1979</v>
      </c>
      <c r="F173" t="s">
        <v>1788</v>
      </c>
      <c r="G173" t="s">
        <v>169</v>
      </c>
      <c r="H173">
        <v>98168</v>
      </c>
      <c r="I173" t="s">
        <v>1789</v>
      </c>
      <c r="J173" t="s">
        <v>1785</v>
      </c>
      <c r="K173" t="s">
        <v>1774</v>
      </c>
      <c r="L173">
        <v>24</v>
      </c>
      <c r="M173">
        <v>4</v>
      </c>
      <c r="N173">
        <v>0</v>
      </c>
      <c r="O173">
        <v>4</v>
      </c>
      <c r="P173">
        <v>1</v>
      </c>
      <c r="Q173">
        <v>38787</v>
      </c>
      <c r="R173">
        <v>38787</v>
      </c>
      <c r="S173">
        <v>1347</v>
      </c>
      <c r="T173">
        <v>0</v>
      </c>
      <c r="U173">
        <v>0</v>
      </c>
      <c r="V173">
        <v>24</v>
      </c>
      <c r="W173">
        <v>0</v>
      </c>
      <c r="X173">
        <v>0</v>
      </c>
      <c r="Y173">
        <v>0</v>
      </c>
      <c r="Z173" t="b">
        <v>0</v>
      </c>
      <c r="AA173" t="b">
        <v>1</v>
      </c>
      <c r="AB173">
        <v>8</v>
      </c>
      <c r="AC173">
        <v>10542.453125</v>
      </c>
      <c r="AD173">
        <v>179524.8125</v>
      </c>
      <c r="AE173">
        <v>190067.265625</v>
      </c>
      <c r="AH173">
        <v>3842.505859375</v>
      </c>
      <c r="AI173">
        <v>1032760.125</v>
      </c>
      <c r="AJ173" t="s">
        <v>270</v>
      </c>
      <c r="AK173">
        <v>0</v>
      </c>
      <c r="AL173">
        <v>67</v>
      </c>
      <c r="AM173">
        <v>0</v>
      </c>
      <c r="AN173">
        <v>9</v>
      </c>
      <c r="AO173">
        <v>0</v>
      </c>
      <c r="AP173">
        <v>6</v>
      </c>
      <c r="AQ173">
        <v>0</v>
      </c>
      <c r="AR173">
        <v>0</v>
      </c>
      <c r="AS173">
        <v>18</v>
      </c>
      <c r="AT173" t="b">
        <v>1</v>
      </c>
      <c r="AU173">
        <v>0</v>
      </c>
      <c r="AV173">
        <v>0</v>
      </c>
      <c r="AW173">
        <v>1</v>
      </c>
      <c r="AX173" t="b">
        <v>0</v>
      </c>
      <c r="AY173" t="b">
        <v>0</v>
      </c>
      <c r="AZ173" t="b">
        <v>0</v>
      </c>
      <c r="BA173" t="b">
        <v>0</v>
      </c>
      <c r="BB173" t="s">
        <v>270</v>
      </c>
      <c r="BC173" t="s">
        <v>270</v>
      </c>
      <c r="BD173" t="s">
        <v>273</v>
      </c>
      <c r="BE173" t="s">
        <v>1900</v>
      </c>
      <c r="BF173" t="s">
        <v>1776</v>
      </c>
      <c r="BG173" t="s">
        <v>1777</v>
      </c>
      <c r="BH173" t="s">
        <v>1811</v>
      </c>
      <c r="BI173" t="s">
        <v>1779</v>
      </c>
      <c r="BJ173" t="b">
        <v>1</v>
      </c>
      <c r="BK173" t="b">
        <v>1</v>
      </c>
      <c r="BL173" t="b">
        <v>1</v>
      </c>
      <c r="BM173" t="b">
        <v>0</v>
      </c>
      <c r="BN173" t="b">
        <v>0</v>
      </c>
      <c r="BO173" t="b">
        <v>0</v>
      </c>
      <c r="BP173">
        <v>1</v>
      </c>
      <c r="BQ173">
        <v>25</v>
      </c>
      <c r="BR173">
        <v>1</v>
      </c>
      <c r="BS173">
        <v>1</v>
      </c>
      <c r="BT173" t="b">
        <v>1</v>
      </c>
      <c r="BU173">
        <v>0</v>
      </c>
      <c r="BV173">
        <v>44</v>
      </c>
      <c r="BW173">
        <v>14150</v>
      </c>
      <c r="BX173">
        <v>0</v>
      </c>
      <c r="BY173" t="s">
        <v>270</v>
      </c>
      <c r="BZ173" t="s">
        <v>270</v>
      </c>
      <c r="CA173" t="s">
        <v>273</v>
      </c>
      <c r="CB173" t="s">
        <v>273</v>
      </c>
      <c r="CC173" t="s">
        <v>1787</v>
      </c>
      <c r="CD173" t="s">
        <v>1781</v>
      </c>
      <c r="CE173" t="s">
        <v>1825</v>
      </c>
      <c r="CF173" t="s">
        <v>1783</v>
      </c>
      <c r="CG173" t="str">
        <f t="shared" si="10"/>
        <v/>
      </c>
      <c r="CH173" t="str">
        <f t="shared" si="11"/>
        <v/>
      </c>
      <c r="CI173" t="str">
        <f t="shared" si="12"/>
        <v/>
      </c>
      <c r="CJ173" t="str">
        <f t="shared" si="13"/>
        <v/>
      </c>
      <c r="CK173" t="str">
        <f t="shared" si="14"/>
        <v/>
      </c>
    </row>
    <row r="174" spans="1:89">
      <c r="A174">
        <v>74008</v>
      </c>
      <c r="B174" t="s">
        <v>1799</v>
      </c>
      <c r="C174">
        <v>33.188915252685497</v>
      </c>
      <c r="D174" t="s">
        <v>1808</v>
      </c>
      <c r="E174">
        <v>1992</v>
      </c>
      <c r="F174" t="s">
        <v>1788</v>
      </c>
      <c r="G174" t="s">
        <v>169</v>
      </c>
      <c r="H174">
        <v>98102</v>
      </c>
      <c r="I174" t="s">
        <v>1789</v>
      </c>
      <c r="K174" t="s">
        <v>1774</v>
      </c>
      <c r="L174">
        <v>33</v>
      </c>
      <c r="M174">
        <v>2.5</v>
      </c>
      <c r="N174">
        <v>1.5</v>
      </c>
      <c r="O174">
        <v>4</v>
      </c>
      <c r="P174">
        <v>0</v>
      </c>
      <c r="Q174">
        <v>28804</v>
      </c>
      <c r="R174">
        <v>25504</v>
      </c>
      <c r="S174">
        <v>3558</v>
      </c>
      <c r="T174">
        <v>0</v>
      </c>
      <c r="U174">
        <v>0</v>
      </c>
      <c r="V174">
        <v>5</v>
      </c>
      <c r="W174">
        <v>14</v>
      </c>
      <c r="X174">
        <v>14</v>
      </c>
      <c r="Y174">
        <v>0</v>
      </c>
      <c r="Z174" t="b">
        <v>1</v>
      </c>
      <c r="AA174" t="b">
        <v>1</v>
      </c>
      <c r="AB174">
        <v>8</v>
      </c>
      <c r="AC174">
        <v>41982.5</v>
      </c>
      <c r="AD174">
        <v>169382</v>
      </c>
      <c r="AE174">
        <v>211364.5</v>
      </c>
      <c r="AI174">
        <v>721175.6875</v>
      </c>
      <c r="AJ174" t="s">
        <v>273</v>
      </c>
      <c r="AK174">
        <v>3300</v>
      </c>
      <c r="AL174">
        <v>25</v>
      </c>
      <c r="AM174">
        <v>0</v>
      </c>
      <c r="AN174">
        <v>15</v>
      </c>
      <c r="AO174">
        <v>0</v>
      </c>
      <c r="AP174">
        <v>12</v>
      </c>
      <c r="AQ174">
        <v>0</v>
      </c>
      <c r="AR174">
        <v>0</v>
      </c>
      <c r="AS174">
        <v>48</v>
      </c>
      <c r="AT174" t="b">
        <v>1</v>
      </c>
      <c r="AU174">
        <v>0</v>
      </c>
      <c r="AV174">
        <v>0</v>
      </c>
      <c r="AW174">
        <v>1</v>
      </c>
      <c r="AX174" t="b">
        <v>0</v>
      </c>
      <c r="AY174" t="b">
        <v>0</v>
      </c>
      <c r="AZ174" t="b">
        <v>0</v>
      </c>
      <c r="BA174" t="b">
        <v>0</v>
      </c>
      <c r="BB174" t="s">
        <v>270</v>
      </c>
      <c r="BC174" t="s">
        <v>273</v>
      </c>
      <c r="BD174" t="s">
        <v>270</v>
      </c>
      <c r="BE174" t="s">
        <v>1775</v>
      </c>
      <c r="BF174" t="s">
        <v>1776</v>
      </c>
      <c r="BG174" t="s">
        <v>1777</v>
      </c>
      <c r="BH174" t="s">
        <v>1778</v>
      </c>
      <c r="BI174" t="s">
        <v>1779</v>
      </c>
      <c r="BJ174" t="b">
        <v>0</v>
      </c>
      <c r="BK174" t="b">
        <v>1</v>
      </c>
      <c r="BL174" t="b">
        <v>0</v>
      </c>
      <c r="BM174" t="b">
        <v>0</v>
      </c>
      <c r="BN174" t="b">
        <v>0</v>
      </c>
      <c r="BO174" t="b">
        <v>0</v>
      </c>
      <c r="BP174">
        <v>1</v>
      </c>
      <c r="BQ174">
        <v>37</v>
      </c>
      <c r="BR174">
        <v>0</v>
      </c>
      <c r="BS174">
        <v>0</v>
      </c>
      <c r="BT174" t="b">
        <v>1</v>
      </c>
      <c r="BU174">
        <v>0</v>
      </c>
      <c r="BV174">
        <v>33</v>
      </c>
      <c r="BW174">
        <v>8297</v>
      </c>
      <c r="BX174">
        <v>2</v>
      </c>
      <c r="BY174" t="s">
        <v>273</v>
      </c>
      <c r="BZ174" t="s">
        <v>270</v>
      </c>
      <c r="CA174" t="s">
        <v>270</v>
      </c>
      <c r="CB174" t="s">
        <v>273</v>
      </c>
      <c r="CC174" t="s">
        <v>1780</v>
      </c>
      <c r="CD174" t="s">
        <v>1781</v>
      </c>
      <c r="CE174" t="s">
        <v>1801</v>
      </c>
      <c r="CF174" t="s">
        <v>1783</v>
      </c>
      <c r="CG174" t="str">
        <f t="shared" si="10"/>
        <v/>
      </c>
      <c r="CH174" t="str">
        <f t="shared" si="11"/>
        <v/>
      </c>
      <c r="CI174" t="str">
        <f t="shared" si="12"/>
        <v/>
      </c>
      <c r="CJ174" t="str">
        <f t="shared" si="13"/>
        <v/>
      </c>
      <c r="CK174" t="str">
        <f t="shared" si="14"/>
        <v/>
      </c>
    </row>
    <row r="175" spans="1:89">
      <c r="A175">
        <v>74009</v>
      </c>
      <c r="B175" t="s">
        <v>1799</v>
      </c>
      <c r="C175">
        <v>34.226070404052699</v>
      </c>
      <c r="D175" t="s">
        <v>1771</v>
      </c>
      <c r="E175">
        <v>1985</v>
      </c>
      <c r="F175" t="s">
        <v>1788</v>
      </c>
      <c r="G175" t="s">
        <v>169</v>
      </c>
      <c r="H175">
        <v>98107</v>
      </c>
      <c r="I175" t="s">
        <v>1789</v>
      </c>
      <c r="K175" t="s">
        <v>1774</v>
      </c>
      <c r="L175">
        <v>32</v>
      </c>
      <c r="M175">
        <v>4</v>
      </c>
      <c r="N175">
        <v>0</v>
      </c>
      <c r="O175">
        <v>4</v>
      </c>
      <c r="P175">
        <v>0</v>
      </c>
      <c r="Q175">
        <v>33178</v>
      </c>
      <c r="R175">
        <v>33178</v>
      </c>
      <c r="S175">
        <v>2682</v>
      </c>
      <c r="T175">
        <v>0</v>
      </c>
      <c r="U175">
        <v>0</v>
      </c>
      <c r="V175">
        <v>23</v>
      </c>
      <c r="W175">
        <v>8</v>
      </c>
      <c r="X175">
        <v>1</v>
      </c>
      <c r="Y175">
        <v>0</v>
      </c>
      <c r="Z175" t="b">
        <v>0</v>
      </c>
      <c r="AA175" t="b">
        <v>1</v>
      </c>
      <c r="AB175">
        <v>8</v>
      </c>
      <c r="AC175">
        <v>38675.58984375</v>
      </c>
      <c r="AD175">
        <v>305762.6875</v>
      </c>
      <c r="AE175">
        <v>344438.28125</v>
      </c>
      <c r="AI175">
        <v>1175223.375</v>
      </c>
      <c r="AJ175" t="s">
        <v>270</v>
      </c>
      <c r="AK175">
        <v>0</v>
      </c>
      <c r="AL175">
        <v>2</v>
      </c>
      <c r="AM175">
        <v>0</v>
      </c>
      <c r="AN175">
        <v>31</v>
      </c>
      <c r="AO175">
        <v>0</v>
      </c>
      <c r="AP175">
        <v>0</v>
      </c>
      <c r="AQ175">
        <v>0</v>
      </c>
      <c r="AR175">
        <v>45</v>
      </c>
      <c r="AS175">
        <v>22</v>
      </c>
      <c r="AT175" t="b">
        <v>1</v>
      </c>
      <c r="AU175">
        <v>0</v>
      </c>
      <c r="AV175">
        <v>0</v>
      </c>
      <c r="AW175">
        <v>1</v>
      </c>
      <c r="AX175" t="b">
        <v>0</v>
      </c>
      <c r="AY175" t="b">
        <v>0</v>
      </c>
      <c r="AZ175" t="b">
        <v>0</v>
      </c>
      <c r="BA175" t="b">
        <v>0</v>
      </c>
      <c r="BB175" t="s">
        <v>270</v>
      </c>
      <c r="BC175" t="s">
        <v>270</v>
      </c>
      <c r="BD175" t="s">
        <v>270</v>
      </c>
      <c r="BE175" t="s">
        <v>1775</v>
      </c>
      <c r="BF175" t="s">
        <v>1776</v>
      </c>
      <c r="BG175" t="s">
        <v>1777</v>
      </c>
      <c r="BH175" t="s">
        <v>1778</v>
      </c>
      <c r="BI175" t="s">
        <v>1779</v>
      </c>
      <c r="BJ175" t="b">
        <v>0</v>
      </c>
      <c r="BK175" t="b">
        <v>1</v>
      </c>
      <c r="BL175" t="b">
        <v>0</v>
      </c>
      <c r="BM175" t="b">
        <v>0</v>
      </c>
      <c r="BN175" t="b">
        <v>0</v>
      </c>
      <c r="BO175" t="b">
        <v>0</v>
      </c>
      <c r="BP175">
        <v>1</v>
      </c>
      <c r="BQ175">
        <v>34</v>
      </c>
      <c r="BR175">
        <v>0</v>
      </c>
      <c r="BS175">
        <v>0</v>
      </c>
      <c r="BT175" t="b">
        <v>1</v>
      </c>
      <c r="BU175">
        <v>0</v>
      </c>
      <c r="BV175">
        <v>33</v>
      </c>
      <c r="BW175">
        <v>8180</v>
      </c>
      <c r="BX175">
        <v>1</v>
      </c>
      <c r="BY175" t="s">
        <v>273</v>
      </c>
      <c r="BZ175" t="s">
        <v>270</v>
      </c>
      <c r="CA175" t="s">
        <v>270</v>
      </c>
      <c r="CB175" t="s">
        <v>270</v>
      </c>
      <c r="CC175" t="s">
        <v>1780</v>
      </c>
      <c r="CD175" t="s">
        <v>1781</v>
      </c>
      <c r="CE175" t="s">
        <v>1801</v>
      </c>
      <c r="CF175" t="s">
        <v>1783</v>
      </c>
      <c r="CG175" t="str">
        <f t="shared" si="10"/>
        <v/>
      </c>
      <c r="CH175" t="str">
        <f t="shared" si="11"/>
        <v/>
      </c>
      <c r="CI175" t="str">
        <f t="shared" si="12"/>
        <v/>
      </c>
      <c r="CJ175" t="str">
        <f t="shared" si="13"/>
        <v/>
      </c>
      <c r="CK175" t="str">
        <f t="shared" si="14"/>
        <v/>
      </c>
    </row>
    <row r="176" spans="1:89">
      <c r="A176">
        <v>74010</v>
      </c>
      <c r="B176" t="s">
        <v>1799</v>
      </c>
      <c r="C176">
        <v>31.292406082153299</v>
      </c>
      <c r="D176" t="s">
        <v>1771</v>
      </c>
      <c r="E176">
        <v>1989</v>
      </c>
      <c r="F176" t="s">
        <v>1788</v>
      </c>
      <c r="G176" t="s">
        <v>169</v>
      </c>
      <c r="H176">
        <v>98106</v>
      </c>
      <c r="I176" t="s">
        <v>1789</v>
      </c>
      <c r="K176" t="s">
        <v>1774</v>
      </c>
      <c r="L176">
        <v>35</v>
      </c>
      <c r="M176">
        <v>4</v>
      </c>
      <c r="N176">
        <v>0</v>
      </c>
      <c r="O176">
        <v>4</v>
      </c>
      <c r="P176">
        <v>0</v>
      </c>
      <c r="Q176">
        <v>34272</v>
      </c>
      <c r="R176">
        <v>34272</v>
      </c>
      <c r="S176">
        <v>4686</v>
      </c>
      <c r="T176">
        <v>0</v>
      </c>
      <c r="U176">
        <v>0</v>
      </c>
      <c r="V176">
        <v>16</v>
      </c>
      <c r="W176">
        <v>19</v>
      </c>
      <c r="X176">
        <v>0</v>
      </c>
      <c r="Y176">
        <v>2</v>
      </c>
      <c r="Z176" t="b">
        <v>0</v>
      </c>
      <c r="AA176" t="b">
        <v>1</v>
      </c>
      <c r="AB176">
        <v>8</v>
      </c>
      <c r="AC176">
        <v>146872.09375</v>
      </c>
      <c r="AD176">
        <v>226888.625</v>
      </c>
      <c r="AE176">
        <v>373760.71875</v>
      </c>
      <c r="AI176">
        <v>1275271.625</v>
      </c>
      <c r="AJ176" t="s">
        <v>270</v>
      </c>
      <c r="AK176">
        <v>0</v>
      </c>
      <c r="AL176">
        <v>13</v>
      </c>
      <c r="AM176">
        <v>0</v>
      </c>
      <c r="AN176">
        <v>42</v>
      </c>
      <c r="AO176">
        <v>0</v>
      </c>
      <c r="AP176">
        <v>33</v>
      </c>
      <c r="AQ176">
        <v>0</v>
      </c>
      <c r="AR176">
        <v>0</v>
      </c>
      <c r="AS176">
        <v>12</v>
      </c>
      <c r="AT176" t="b">
        <v>1</v>
      </c>
      <c r="AU176">
        <v>4</v>
      </c>
      <c r="AV176">
        <v>4</v>
      </c>
      <c r="AW176">
        <v>1</v>
      </c>
      <c r="AX176" t="b">
        <v>0</v>
      </c>
      <c r="AY176" t="b">
        <v>0</v>
      </c>
      <c r="AZ176" t="b">
        <v>0</v>
      </c>
      <c r="BA176" t="b">
        <v>0</v>
      </c>
      <c r="BB176" t="s">
        <v>270</v>
      </c>
      <c r="BC176" t="s">
        <v>270</v>
      </c>
      <c r="BD176" t="s">
        <v>270</v>
      </c>
      <c r="BE176" t="s">
        <v>1775</v>
      </c>
      <c r="BF176" t="s">
        <v>1776</v>
      </c>
      <c r="BG176" t="s">
        <v>1777</v>
      </c>
      <c r="BH176" t="s">
        <v>1778</v>
      </c>
      <c r="BI176" t="s">
        <v>1790</v>
      </c>
      <c r="BJ176" t="b">
        <v>0</v>
      </c>
      <c r="BK176" t="b">
        <v>1</v>
      </c>
      <c r="BL176" t="b">
        <v>0</v>
      </c>
      <c r="BM176" t="b">
        <v>0</v>
      </c>
      <c r="BN176" t="b">
        <v>0</v>
      </c>
      <c r="BO176" t="b">
        <v>0</v>
      </c>
      <c r="BP176">
        <v>3</v>
      </c>
      <c r="BQ176">
        <v>39</v>
      </c>
      <c r="BR176">
        <v>0</v>
      </c>
      <c r="BS176">
        <v>0</v>
      </c>
      <c r="BT176" t="b">
        <v>1</v>
      </c>
      <c r="BU176">
        <v>0</v>
      </c>
      <c r="BV176">
        <v>36</v>
      </c>
      <c r="BW176">
        <v>15300</v>
      </c>
      <c r="BX176">
        <v>0</v>
      </c>
      <c r="BY176" t="s">
        <v>270</v>
      </c>
      <c r="BZ176" t="s">
        <v>270</v>
      </c>
      <c r="CA176" t="s">
        <v>270</v>
      </c>
      <c r="CB176" t="s">
        <v>273</v>
      </c>
      <c r="CC176" t="s">
        <v>1780</v>
      </c>
      <c r="CD176" t="s">
        <v>1781</v>
      </c>
      <c r="CE176" t="s">
        <v>1782</v>
      </c>
      <c r="CF176" t="s">
        <v>1783</v>
      </c>
      <c r="CG176" t="str">
        <f t="shared" si="10"/>
        <v/>
      </c>
      <c r="CH176" t="str">
        <f t="shared" si="11"/>
        <v/>
      </c>
      <c r="CI176" t="str">
        <f t="shared" si="12"/>
        <v/>
      </c>
      <c r="CJ176" t="str">
        <f t="shared" si="13"/>
        <v/>
      </c>
      <c r="CK176" t="str">
        <f t="shared" si="14"/>
        <v/>
      </c>
    </row>
    <row r="177" spans="1:89">
      <c r="A177">
        <v>74011</v>
      </c>
      <c r="B177" t="s">
        <v>1770</v>
      </c>
      <c r="C177">
        <v>31.292406082153299</v>
      </c>
      <c r="D177" t="s">
        <v>1792</v>
      </c>
      <c r="E177">
        <v>1968</v>
      </c>
      <c r="F177" t="s">
        <v>1788</v>
      </c>
      <c r="G177" t="s">
        <v>169</v>
      </c>
      <c r="H177">
        <v>98118</v>
      </c>
      <c r="I177" t="s">
        <v>1789</v>
      </c>
      <c r="J177" t="s">
        <v>1785</v>
      </c>
      <c r="K177" t="s">
        <v>1774</v>
      </c>
      <c r="L177">
        <v>35</v>
      </c>
      <c r="M177">
        <v>3</v>
      </c>
      <c r="N177">
        <v>0</v>
      </c>
      <c r="O177">
        <v>3</v>
      </c>
      <c r="P177">
        <v>0</v>
      </c>
      <c r="Q177">
        <v>19560</v>
      </c>
      <c r="R177">
        <v>19560</v>
      </c>
      <c r="S177">
        <v>3726</v>
      </c>
      <c r="T177">
        <v>0</v>
      </c>
      <c r="U177">
        <v>0</v>
      </c>
      <c r="V177">
        <v>0</v>
      </c>
      <c r="W177">
        <v>35</v>
      </c>
      <c r="X177">
        <v>0</v>
      </c>
      <c r="Y177">
        <v>2</v>
      </c>
      <c r="Z177" t="b">
        <v>0</v>
      </c>
      <c r="AA177" t="b">
        <v>1</v>
      </c>
      <c r="AB177">
        <v>8</v>
      </c>
      <c r="AC177">
        <v>114777.4296875</v>
      </c>
      <c r="AD177">
        <v>115894.640625</v>
      </c>
      <c r="AE177">
        <v>230672.0625</v>
      </c>
      <c r="AJ177" t="s">
        <v>270</v>
      </c>
      <c r="AK177">
        <v>0</v>
      </c>
      <c r="AL177">
        <v>49</v>
      </c>
      <c r="AM177">
        <v>0</v>
      </c>
      <c r="AN177">
        <v>3</v>
      </c>
      <c r="AO177">
        <v>0</v>
      </c>
      <c r="AP177">
        <v>0</v>
      </c>
      <c r="AQ177">
        <v>0</v>
      </c>
      <c r="AR177">
        <v>0</v>
      </c>
      <c r="AS177">
        <v>48</v>
      </c>
      <c r="AT177" t="b">
        <v>0</v>
      </c>
      <c r="AU177">
        <v>8</v>
      </c>
      <c r="AV177">
        <v>8</v>
      </c>
      <c r="AW177">
        <v>0</v>
      </c>
      <c r="AX177" t="b">
        <v>0</v>
      </c>
      <c r="AY177" t="b">
        <v>0</v>
      </c>
      <c r="AZ177" t="b">
        <v>1</v>
      </c>
      <c r="BA177" t="b">
        <v>0</v>
      </c>
      <c r="BB177" t="s">
        <v>270</v>
      </c>
      <c r="BC177" t="s">
        <v>270</v>
      </c>
      <c r="BD177" t="s">
        <v>270</v>
      </c>
      <c r="BE177" t="s">
        <v>1775</v>
      </c>
      <c r="BF177" t="s">
        <v>1776</v>
      </c>
      <c r="BG177" t="s">
        <v>1777</v>
      </c>
      <c r="BH177" t="s">
        <v>1778</v>
      </c>
      <c r="BI177" t="s">
        <v>1812</v>
      </c>
      <c r="BJ177" t="b">
        <v>1</v>
      </c>
      <c r="BK177" t="b">
        <v>1</v>
      </c>
      <c r="BL177" t="b">
        <v>1</v>
      </c>
      <c r="BM177" t="b">
        <v>0</v>
      </c>
      <c r="BN177" t="b">
        <v>0</v>
      </c>
      <c r="BO177" t="b">
        <v>0</v>
      </c>
      <c r="BP177">
        <v>1</v>
      </c>
      <c r="BQ177">
        <v>36</v>
      </c>
      <c r="BR177">
        <v>1</v>
      </c>
      <c r="BS177">
        <v>1</v>
      </c>
      <c r="BT177" t="b">
        <v>1</v>
      </c>
      <c r="BU177">
        <v>0</v>
      </c>
      <c r="BV177">
        <v>29</v>
      </c>
      <c r="BW177">
        <v>12325</v>
      </c>
      <c r="BX177">
        <v>0</v>
      </c>
      <c r="BY177" t="s">
        <v>270</v>
      </c>
      <c r="BZ177" t="s">
        <v>270</v>
      </c>
      <c r="CA177" t="s">
        <v>270</v>
      </c>
      <c r="CB177" t="s">
        <v>273</v>
      </c>
      <c r="CC177" t="s">
        <v>1780</v>
      </c>
      <c r="CD177" t="s">
        <v>1781</v>
      </c>
      <c r="CE177" t="s">
        <v>1782</v>
      </c>
      <c r="CF177" t="s">
        <v>1783</v>
      </c>
      <c r="CG177">
        <f t="shared" si="10"/>
        <v>31.292406082153299</v>
      </c>
      <c r="CH177">
        <f t="shared" si="11"/>
        <v>19560</v>
      </c>
      <c r="CI177">
        <f t="shared" si="12"/>
        <v>3</v>
      </c>
      <c r="CJ177">
        <f t="shared" si="13"/>
        <v>612079.46296691848</v>
      </c>
      <c r="CK177">
        <f t="shared" si="14"/>
        <v>93.877218246459904</v>
      </c>
    </row>
    <row r="178" spans="1:89">
      <c r="A178">
        <v>74012</v>
      </c>
      <c r="B178" t="s">
        <v>1799</v>
      </c>
      <c r="C178">
        <v>36.507808685302699</v>
      </c>
      <c r="D178" t="s">
        <v>1802</v>
      </c>
      <c r="E178">
        <v>1973</v>
      </c>
      <c r="F178" t="s">
        <v>1788</v>
      </c>
      <c r="G178" t="s">
        <v>169</v>
      </c>
      <c r="H178">
        <v>98199</v>
      </c>
      <c r="I178" t="s">
        <v>1789</v>
      </c>
      <c r="K178" t="s">
        <v>1774</v>
      </c>
      <c r="L178">
        <v>30</v>
      </c>
      <c r="M178">
        <v>4</v>
      </c>
      <c r="N178">
        <v>0</v>
      </c>
      <c r="O178">
        <v>5</v>
      </c>
      <c r="P178">
        <v>0</v>
      </c>
      <c r="Q178">
        <v>37913</v>
      </c>
      <c r="R178">
        <v>37913</v>
      </c>
      <c r="S178">
        <v>5924</v>
      </c>
      <c r="T178">
        <v>0</v>
      </c>
      <c r="U178">
        <v>0</v>
      </c>
      <c r="V178">
        <v>10</v>
      </c>
      <c r="W178">
        <v>20</v>
      </c>
      <c r="X178">
        <v>0</v>
      </c>
      <c r="Y178">
        <v>10</v>
      </c>
      <c r="Z178" t="b">
        <v>0</v>
      </c>
      <c r="AA178" t="b">
        <v>1</v>
      </c>
      <c r="AB178">
        <v>7.75</v>
      </c>
      <c r="AC178">
        <v>27464.712890625</v>
      </c>
      <c r="AD178">
        <v>225884.1875</v>
      </c>
      <c r="AE178">
        <v>253348.90625</v>
      </c>
      <c r="AI178">
        <v>864426.4375</v>
      </c>
      <c r="AJ178" t="s">
        <v>270</v>
      </c>
      <c r="AK178">
        <v>0</v>
      </c>
      <c r="AL178">
        <v>0</v>
      </c>
      <c r="AM178">
        <v>71</v>
      </c>
      <c r="AN178">
        <v>0</v>
      </c>
      <c r="AO178">
        <v>10</v>
      </c>
      <c r="AP178">
        <v>4</v>
      </c>
      <c r="AQ178">
        <v>4</v>
      </c>
      <c r="AR178">
        <v>11</v>
      </c>
      <c r="AS178">
        <v>0</v>
      </c>
      <c r="AT178" t="b">
        <v>1</v>
      </c>
      <c r="AU178">
        <v>4</v>
      </c>
      <c r="AV178">
        <v>4</v>
      </c>
      <c r="AW178">
        <v>1</v>
      </c>
      <c r="AX178" t="b">
        <v>0</v>
      </c>
      <c r="AY178" t="b">
        <v>0</v>
      </c>
      <c r="AZ178" t="b">
        <v>1</v>
      </c>
      <c r="BA178" t="b">
        <v>1</v>
      </c>
      <c r="BB178" t="s">
        <v>270</v>
      </c>
      <c r="BC178" t="s">
        <v>270</v>
      </c>
      <c r="BD178" t="s">
        <v>270</v>
      </c>
      <c r="BE178" t="s">
        <v>1775</v>
      </c>
      <c r="BF178" t="s">
        <v>1776</v>
      </c>
      <c r="BG178" t="s">
        <v>1777</v>
      </c>
      <c r="BH178" t="s">
        <v>1778</v>
      </c>
      <c r="BI178" t="s">
        <v>1790</v>
      </c>
      <c r="BJ178" t="b">
        <v>0</v>
      </c>
      <c r="BK178" t="b">
        <v>1</v>
      </c>
      <c r="BL178" t="b">
        <v>0</v>
      </c>
      <c r="BM178" t="b">
        <v>0</v>
      </c>
      <c r="BN178" t="b">
        <v>0</v>
      </c>
      <c r="BO178" t="b">
        <v>0</v>
      </c>
      <c r="BP178">
        <v>1</v>
      </c>
      <c r="BQ178">
        <v>33</v>
      </c>
      <c r="BR178">
        <v>0</v>
      </c>
      <c r="BS178">
        <v>0</v>
      </c>
      <c r="BT178" t="b">
        <v>1</v>
      </c>
      <c r="BU178">
        <v>0</v>
      </c>
      <c r="BV178">
        <v>29</v>
      </c>
      <c r="BW178">
        <v>10260</v>
      </c>
      <c r="BX178">
        <v>1</v>
      </c>
      <c r="BY178" t="s">
        <v>273</v>
      </c>
      <c r="BZ178" t="s">
        <v>273</v>
      </c>
      <c r="CA178" t="s">
        <v>270</v>
      </c>
      <c r="CB178" t="s">
        <v>273</v>
      </c>
      <c r="CC178" t="s">
        <v>1780</v>
      </c>
      <c r="CD178" t="s">
        <v>1781</v>
      </c>
      <c r="CE178" t="s">
        <v>1791</v>
      </c>
      <c r="CF178" t="s">
        <v>1783</v>
      </c>
      <c r="CG178" t="str">
        <f t="shared" si="10"/>
        <v/>
      </c>
      <c r="CH178" t="str">
        <f t="shared" si="11"/>
        <v/>
      </c>
      <c r="CI178" t="str">
        <f t="shared" si="12"/>
        <v/>
      </c>
      <c r="CJ178" t="str">
        <f t="shared" si="13"/>
        <v/>
      </c>
      <c r="CK178" t="str">
        <f t="shared" si="14"/>
        <v/>
      </c>
    </row>
    <row r="179" spans="1:89">
      <c r="A179">
        <v>74013</v>
      </c>
      <c r="B179" t="s">
        <v>1799</v>
      </c>
      <c r="C179">
        <v>34.226070404052699</v>
      </c>
      <c r="D179" t="s">
        <v>1806</v>
      </c>
      <c r="E179">
        <v>2005</v>
      </c>
      <c r="F179" t="s">
        <v>1788</v>
      </c>
      <c r="G179" t="s">
        <v>169</v>
      </c>
      <c r="H179">
        <v>98115</v>
      </c>
      <c r="I179" t="s">
        <v>1789</v>
      </c>
      <c r="J179" t="s">
        <v>1785</v>
      </c>
      <c r="K179" t="s">
        <v>1774</v>
      </c>
      <c r="L179">
        <v>32</v>
      </c>
      <c r="M179">
        <v>4</v>
      </c>
      <c r="N179">
        <v>1</v>
      </c>
      <c r="O179">
        <v>4</v>
      </c>
      <c r="P179">
        <v>0</v>
      </c>
      <c r="Q179">
        <v>33869</v>
      </c>
      <c r="R179">
        <v>30375</v>
      </c>
      <c r="S179">
        <v>4977</v>
      </c>
      <c r="T179">
        <v>0</v>
      </c>
      <c r="U179">
        <v>0</v>
      </c>
      <c r="V179">
        <v>13</v>
      </c>
      <c r="W179">
        <v>4</v>
      </c>
      <c r="X179">
        <v>15</v>
      </c>
      <c r="Y179">
        <v>5</v>
      </c>
      <c r="Z179" t="b">
        <v>1</v>
      </c>
      <c r="AA179" t="b">
        <v>1</v>
      </c>
      <c r="AB179">
        <v>9</v>
      </c>
      <c r="AC179">
        <v>57681.96484375</v>
      </c>
      <c r="AD179">
        <v>133461.703125</v>
      </c>
      <c r="AE179">
        <v>191143.671875</v>
      </c>
      <c r="AH179">
        <v>6547.6328125</v>
      </c>
      <c r="AI179">
        <v>1306945.5</v>
      </c>
      <c r="AJ179" t="s">
        <v>273</v>
      </c>
      <c r="AK179">
        <v>3494</v>
      </c>
      <c r="AL179">
        <v>11</v>
      </c>
      <c r="AM179">
        <v>0</v>
      </c>
      <c r="AN179">
        <v>30</v>
      </c>
      <c r="AO179">
        <v>0</v>
      </c>
      <c r="AP179">
        <v>33</v>
      </c>
      <c r="AQ179">
        <v>0</v>
      </c>
      <c r="AR179">
        <v>0</v>
      </c>
      <c r="AS179">
        <v>26</v>
      </c>
      <c r="AT179" t="b">
        <v>0</v>
      </c>
      <c r="AU179">
        <v>0</v>
      </c>
      <c r="AV179">
        <v>0</v>
      </c>
      <c r="AW179">
        <v>1</v>
      </c>
      <c r="AX179" t="b">
        <v>0</v>
      </c>
      <c r="AY179" t="b">
        <v>0</v>
      </c>
      <c r="AZ179" t="b">
        <v>1</v>
      </c>
      <c r="BA179" t="b">
        <v>1</v>
      </c>
      <c r="BB179" t="s">
        <v>270</v>
      </c>
      <c r="BC179" t="s">
        <v>273</v>
      </c>
      <c r="BD179" t="s">
        <v>270</v>
      </c>
      <c r="BE179" t="s">
        <v>1775</v>
      </c>
      <c r="BF179" t="s">
        <v>1776</v>
      </c>
      <c r="BG179" t="s">
        <v>1777</v>
      </c>
      <c r="BH179" t="s">
        <v>1778</v>
      </c>
      <c r="BI179" t="s">
        <v>1812</v>
      </c>
      <c r="BJ179" t="b">
        <v>1</v>
      </c>
      <c r="BK179" t="b">
        <v>1</v>
      </c>
      <c r="BL179" t="b">
        <v>1</v>
      </c>
      <c r="BM179" t="b">
        <v>0</v>
      </c>
      <c r="BN179" t="b">
        <v>0</v>
      </c>
      <c r="BO179" t="b">
        <v>0</v>
      </c>
      <c r="BP179">
        <v>1</v>
      </c>
      <c r="BQ179">
        <v>36</v>
      </c>
      <c r="BR179">
        <v>1</v>
      </c>
      <c r="BS179">
        <v>1</v>
      </c>
      <c r="BT179" t="b">
        <v>1</v>
      </c>
      <c r="BU179">
        <v>0</v>
      </c>
      <c r="BV179">
        <v>42</v>
      </c>
      <c r="BW179">
        <v>11503</v>
      </c>
      <c r="BX179">
        <v>1</v>
      </c>
      <c r="BY179" t="s">
        <v>273</v>
      </c>
      <c r="BZ179" t="s">
        <v>270</v>
      </c>
      <c r="CA179" t="s">
        <v>270</v>
      </c>
      <c r="CB179" t="s">
        <v>270</v>
      </c>
      <c r="CC179" t="s">
        <v>1780</v>
      </c>
      <c r="CD179" t="s">
        <v>1781</v>
      </c>
      <c r="CE179" t="s">
        <v>1801</v>
      </c>
      <c r="CF179" t="s">
        <v>1783</v>
      </c>
      <c r="CG179" t="str">
        <f t="shared" si="10"/>
        <v/>
      </c>
      <c r="CH179" t="str">
        <f t="shared" si="11"/>
        <v/>
      </c>
      <c r="CI179" t="str">
        <f t="shared" si="12"/>
        <v/>
      </c>
      <c r="CJ179" t="str">
        <f t="shared" si="13"/>
        <v/>
      </c>
      <c r="CK179" t="str">
        <f t="shared" si="14"/>
        <v/>
      </c>
    </row>
    <row r="180" spans="1:89">
      <c r="A180">
        <v>74014</v>
      </c>
      <c r="B180" t="s">
        <v>1799</v>
      </c>
      <c r="C180">
        <v>42.124393463134801</v>
      </c>
      <c r="D180" t="s">
        <v>1792</v>
      </c>
      <c r="E180">
        <v>1969</v>
      </c>
      <c r="F180" t="s">
        <v>1788</v>
      </c>
      <c r="G180" t="s">
        <v>169</v>
      </c>
      <c r="H180">
        <v>98125</v>
      </c>
      <c r="I180" t="s">
        <v>1789</v>
      </c>
      <c r="K180" t="s">
        <v>1774</v>
      </c>
      <c r="L180">
        <v>26</v>
      </c>
      <c r="M180">
        <v>4</v>
      </c>
      <c r="N180">
        <v>0</v>
      </c>
      <c r="O180">
        <v>4</v>
      </c>
      <c r="P180">
        <v>0</v>
      </c>
      <c r="Q180">
        <v>21915</v>
      </c>
      <c r="R180">
        <v>21915</v>
      </c>
      <c r="S180">
        <v>4341</v>
      </c>
      <c r="T180">
        <v>0</v>
      </c>
      <c r="U180">
        <v>0</v>
      </c>
      <c r="V180">
        <v>7</v>
      </c>
      <c r="W180">
        <v>19</v>
      </c>
      <c r="X180">
        <v>0</v>
      </c>
      <c r="Y180">
        <v>4</v>
      </c>
      <c r="Z180" t="b">
        <v>0</v>
      </c>
      <c r="AA180" t="b">
        <v>1</v>
      </c>
      <c r="AB180">
        <v>7.75</v>
      </c>
      <c r="AC180">
        <v>31930.416015625</v>
      </c>
      <c r="AD180">
        <v>213452.625</v>
      </c>
      <c r="AE180">
        <v>245383.046875</v>
      </c>
      <c r="AI180">
        <v>837246.9375</v>
      </c>
      <c r="AJ180" t="s">
        <v>273</v>
      </c>
      <c r="AK180">
        <v>0</v>
      </c>
      <c r="AL180">
        <v>14</v>
      </c>
      <c r="AM180">
        <v>0</v>
      </c>
      <c r="AN180">
        <v>17</v>
      </c>
      <c r="AO180">
        <v>0</v>
      </c>
      <c r="AP180">
        <v>47</v>
      </c>
      <c r="AQ180">
        <v>0</v>
      </c>
      <c r="AR180">
        <v>0</v>
      </c>
      <c r="AS180">
        <v>22</v>
      </c>
      <c r="AT180" t="b">
        <v>1</v>
      </c>
      <c r="AU180">
        <v>3</v>
      </c>
      <c r="AV180">
        <v>3</v>
      </c>
      <c r="AW180">
        <v>1</v>
      </c>
      <c r="AX180" t="b">
        <v>0</v>
      </c>
      <c r="AY180" t="b">
        <v>0</v>
      </c>
      <c r="AZ180" t="b">
        <v>1</v>
      </c>
      <c r="BA180" t="b">
        <v>0</v>
      </c>
      <c r="BB180" t="s">
        <v>270</v>
      </c>
      <c r="BC180" t="s">
        <v>270</v>
      </c>
      <c r="BD180" t="s">
        <v>270</v>
      </c>
      <c r="BE180" t="s">
        <v>1775</v>
      </c>
      <c r="BF180" t="s">
        <v>1776</v>
      </c>
      <c r="BG180" t="s">
        <v>1777</v>
      </c>
      <c r="BH180" t="s">
        <v>1778</v>
      </c>
      <c r="BI180" t="s">
        <v>1790</v>
      </c>
      <c r="BJ180" t="b">
        <v>0</v>
      </c>
      <c r="BK180" t="b">
        <v>1</v>
      </c>
      <c r="BL180" t="b">
        <v>0</v>
      </c>
      <c r="BM180" t="b">
        <v>0</v>
      </c>
      <c r="BN180" t="b">
        <v>0</v>
      </c>
      <c r="BO180" t="b">
        <v>0</v>
      </c>
      <c r="BP180">
        <v>1</v>
      </c>
      <c r="BQ180">
        <v>29</v>
      </c>
      <c r="BR180">
        <v>0</v>
      </c>
      <c r="BS180">
        <v>0</v>
      </c>
      <c r="BT180" t="b">
        <v>1</v>
      </c>
      <c r="BU180">
        <v>0</v>
      </c>
      <c r="BV180">
        <v>53</v>
      </c>
      <c r="BW180">
        <v>20421</v>
      </c>
      <c r="BX180">
        <v>1</v>
      </c>
      <c r="BY180" t="s">
        <v>273</v>
      </c>
      <c r="BZ180" t="s">
        <v>270</v>
      </c>
      <c r="CA180" t="s">
        <v>273</v>
      </c>
      <c r="CB180" t="s">
        <v>273</v>
      </c>
      <c r="CC180" t="s">
        <v>1780</v>
      </c>
      <c r="CD180" t="s">
        <v>1781</v>
      </c>
      <c r="CE180" t="s">
        <v>1782</v>
      </c>
      <c r="CF180" t="s">
        <v>1783</v>
      </c>
      <c r="CG180" t="str">
        <f t="shared" si="10"/>
        <v/>
      </c>
      <c r="CH180" t="str">
        <f t="shared" si="11"/>
        <v/>
      </c>
      <c r="CI180" t="str">
        <f t="shared" si="12"/>
        <v/>
      </c>
      <c r="CJ180" t="str">
        <f t="shared" si="13"/>
        <v/>
      </c>
      <c r="CK180" t="str">
        <f t="shared" si="14"/>
        <v/>
      </c>
    </row>
    <row r="181" spans="1:89">
      <c r="A181">
        <v>74015</v>
      </c>
      <c r="B181" t="s">
        <v>1770</v>
      </c>
      <c r="C181">
        <v>40.564231872558601</v>
      </c>
      <c r="D181" t="s">
        <v>1771</v>
      </c>
      <c r="E181">
        <v>1985</v>
      </c>
      <c r="F181" t="s">
        <v>1911</v>
      </c>
      <c r="G181" t="s">
        <v>169</v>
      </c>
      <c r="H181">
        <v>98155</v>
      </c>
      <c r="I181" t="s">
        <v>1789</v>
      </c>
      <c r="K181" t="s">
        <v>1774</v>
      </c>
      <c r="L181">
        <v>27</v>
      </c>
      <c r="M181">
        <v>3</v>
      </c>
      <c r="N181">
        <v>0</v>
      </c>
      <c r="O181">
        <v>3</v>
      </c>
      <c r="P181">
        <v>0</v>
      </c>
      <c r="Q181">
        <v>20070</v>
      </c>
      <c r="R181">
        <v>20070</v>
      </c>
      <c r="S181">
        <v>3190</v>
      </c>
      <c r="T181">
        <v>0</v>
      </c>
      <c r="U181">
        <v>0</v>
      </c>
      <c r="V181">
        <v>5</v>
      </c>
      <c r="W181">
        <v>19</v>
      </c>
      <c r="X181">
        <v>3</v>
      </c>
      <c r="Y181">
        <v>6</v>
      </c>
      <c r="Z181" t="b">
        <v>0</v>
      </c>
      <c r="AA181" t="b">
        <v>1</v>
      </c>
      <c r="AB181">
        <v>8</v>
      </c>
      <c r="AC181">
        <v>19577.052734375</v>
      </c>
      <c r="AD181">
        <v>158565.703125</v>
      </c>
      <c r="AE181">
        <v>178142.75</v>
      </c>
      <c r="AI181">
        <v>607823.0625</v>
      </c>
      <c r="AJ181" t="s">
        <v>270</v>
      </c>
      <c r="AK181">
        <v>0</v>
      </c>
      <c r="AL181">
        <v>0</v>
      </c>
      <c r="AM181">
        <v>45</v>
      </c>
      <c r="AN181">
        <v>0</v>
      </c>
      <c r="AO181">
        <v>2</v>
      </c>
      <c r="AP181">
        <v>0</v>
      </c>
      <c r="AQ181">
        <v>0</v>
      </c>
      <c r="AR181">
        <v>51</v>
      </c>
      <c r="AS181">
        <v>0</v>
      </c>
      <c r="AT181" t="b">
        <v>1</v>
      </c>
      <c r="AU181">
        <v>2</v>
      </c>
      <c r="AV181">
        <v>2</v>
      </c>
      <c r="AW181">
        <v>0</v>
      </c>
      <c r="AX181" t="b">
        <v>0</v>
      </c>
      <c r="AY181" t="b">
        <v>0</v>
      </c>
      <c r="AZ181" t="b">
        <v>0</v>
      </c>
      <c r="BA181" t="b">
        <v>0</v>
      </c>
      <c r="BB181" t="s">
        <v>270</v>
      </c>
      <c r="BC181" t="s">
        <v>270</v>
      </c>
      <c r="BD181" t="s">
        <v>270</v>
      </c>
      <c r="BE181" t="s">
        <v>1775</v>
      </c>
      <c r="BF181" t="s">
        <v>1776</v>
      </c>
      <c r="BG181" t="s">
        <v>1777</v>
      </c>
      <c r="BH181" t="s">
        <v>1778</v>
      </c>
      <c r="BI181" t="s">
        <v>1790</v>
      </c>
      <c r="BJ181" t="b">
        <v>0</v>
      </c>
      <c r="BK181" t="b">
        <v>1</v>
      </c>
      <c r="BL181" t="b">
        <v>0</v>
      </c>
      <c r="BM181" t="b">
        <v>0</v>
      </c>
      <c r="BN181" t="b">
        <v>0</v>
      </c>
      <c r="BO181" t="b">
        <v>0</v>
      </c>
      <c r="BP181">
        <v>1</v>
      </c>
      <c r="BQ181">
        <v>28</v>
      </c>
      <c r="BR181">
        <v>0</v>
      </c>
      <c r="BS181">
        <v>0</v>
      </c>
      <c r="BT181" t="b">
        <v>1</v>
      </c>
      <c r="BU181">
        <v>0</v>
      </c>
      <c r="BV181">
        <v>34</v>
      </c>
      <c r="BW181">
        <v>13326</v>
      </c>
      <c r="BX181">
        <v>0</v>
      </c>
      <c r="BY181" t="s">
        <v>270</v>
      </c>
      <c r="BZ181" t="s">
        <v>270</v>
      </c>
      <c r="CA181" t="s">
        <v>273</v>
      </c>
      <c r="CB181" t="s">
        <v>273</v>
      </c>
      <c r="CC181" t="s">
        <v>1787</v>
      </c>
      <c r="CD181" t="s">
        <v>1781</v>
      </c>
      <c r="CE181" t="s">
        <v>200</v>
      </c>
      <c r="CF181" t="s">
        <v>1783</v>
      </c>
      <c r="CG181">
        <f t="shared" si="10"/>
        <v>40.564231872558601</v>
      </c>
      <c r="CH181">
        <f t="shared" si="11"/>
        <v>20070</v>
      </c>
      <c r="CI181">
        <f t="shared" si="12"/>
        <v>3</v>
      </c>
      <c r="CJ181">
        <f t="shared" si="13"/>
        <v>814124.13368225109</v>
      </c>
      <c r="CK181">
        <f t="shared" si="14"/>
        <v>121.69269561767581</v>
      </c>
    </row>
    <row r="182" spans="1:89">
      <c r="A182">
        <v>75001</v>
      </c>
      <c r="B182" t="s">
        <v>1770</v>
      </c>
      <c r="C182">
        <v>28.821952819824201</v>
      </c>
      <c r="D182" t="s">
        <v>1771</v>
      </c>
      <c r="E182">
        <v>1983</v>
      </c>
      <c r="F182" t="s">
        <v>1837</v>
      </c>
      <c r="G182" t="s">
        <v>169</v>
      </c>
      <c r="H182">
        <v>98166</v>
      </c>
      <c r="I182" t="s">
        <v>1789</v>
      </c>
      <c r="K182" t="s">
        <v>1774</v>
      </c>
      <c r="L182">
        <v>38</v>
      </c>
      <c r="M182">
        <v>3</v>
      </c>
      <c r="N182">
        <v>0</v>
      </c>
      <c r="O182">
        <v>3</v>
      </c>
      <c r="P182">
        <v>0</v>
      </c>
      <c r="Q182">
        <v>27300</v>
      </c>
      <c r="R182">
        <v>27300</v>
      </c>
      <c r="S182">
        <v>6367</v>
      </c>
      <c r="T182">
        <v>0</v>
      </c>
      <c r="U182">
        <v>0</v>
      </c>
      <c r="V182">
        <v>0</v>
      </c>
      <c r="W182">
        <v>38</v>
      </c>
      <c r="X182">
        <v>0</v>
      </c>
      <c r="Y182">
        <v>0</v>
      </c>
      <c r="Z182" t="b">
        <v>0</v>
      </c>
      <c r="AA182" t="b">
        <v>1</v>
      </c>
      <c r="AB182">
        <v>8</v>
      </c>
      <c r="AC182">
        <v>77181.2578125</v>
      </c>
      <c r="AD182">
        <v>179359.421875</v>
      </c>
      <c r="AE182">
        <v>256540.6875</v>
      </c>
      <c r="AI182">
        <v>875316.8125</v>
      </c>
      <c r="AK182">
        <v>0</v>
      </c>
      <c r="AL182">
        <v>36</v>
      </c>
      <c r="AM182">
        <v>1</v>
      </c>
      <c r="AN182">
        <v>1</v>
      </c>
      <c r="AO182">
        <v>0</v>
      </c>
      <c r="AP182">
        <v>1</v>
      </c>
      <c r="AQ182">
        <v>1</v>
      </c>
      <c r="AR182">
        <v>0</v>
      </c>
      <c r="AS182">
        <v>60</v>
      </c>
      <c r="AT182" t="b">
        <v>0</v>
      </c>
      <c r="AU182">
        <v>2</v>
      </c>
      <c r="AV182">
        <v>2</v>
      </c>
      <c r="AW182">
        <v>1</v>
      </c>
      <c r="AX182" t="b">
        <v>0</v>
      </c>
      <c r="AY182" t="b">
        <v>0</v>
      </c>
      <c r="AZ182" t="b">
        <v>1</v>
      </c>
      <c r="BA182" t="b">
        <v>0</v>
      </c>
      <c r="BB182" t="s">
        <v>270</v>
      </c>
      <c r="BC182" t="s">
        <v>270</v>
      </c>
      <c r="BD182" t="s">
        <v>270</v>
      </c>
      <c r="BE182" t="s">
        <v>1775</v>
      </c>
      <c r="BF182" t="s">
        <v>1776</v>
      </c>
      <c r="BG182" t="s">
        <v>1777</v>
      </c>
      <c r="BH182" t="s">
        <v>1778</v>
      </c>
      <c r="BI182" t="s">
        <v>1790</v>
      </c>
      <c r="BJ182" t="b">
        <v>0</v>
      </c>
      <c r="BK182" t="b">
        <v>1</v>
      </c>
      <c r="BL182" t="b">
        <v>0</v>
      </c>
      <c r="BM182" t="b">
        <v>0</v>
      </c>
      <c r="BN182" t="b">
        <v>0</v>
      </c>
      <c r="BO182" t="b">
        <v>0</v>
      </c>
      <c r="BP182">
        <v>1</v>
      </c>
      <c r="BQ182">
        <v>39</v>
      </c>
      <c r="BR182">
        <v>0</v>
      </c>
      <c r="BS182">
        <v>0</v>
      </c>
      <c r="BT182" t="b">
        <v>1</v>
      </c>
      <c r="BV182">
        <v>22</v>
      </c>
      <c r="BW182">
        <v>9350</v>
      </c>
      <c r="BX182">
        <v>0</v>
      </c>
      <c r="BY182" t="s">
        <v>270</v>
      </c>
      <c r="BZ182" t="s">
        <v>270</v>
      </c>
      <c r="CA182" t="s">
        <v>270</v>
      </c>
      <c r="CB182" t="s">
        <v>273</v>
      </c>
      <c r="CC182" t="s">
        <v>1780</v>
      </c>
      <c r="CD182" t="s">
        <v>1781</v>
      </c>
      <c r="CE182" t="s">
        <v>1782</v>
      </c>
      <c r="CF182" t="s">
        <v>1783</v>
      </c>
      <c r="CG182">
        <f t="shared" si="10"/>
        <v>28.821952819824201</v>
      </c>
      <c r="CH182">
        <f t="shared" si="11"/>
        <v>27300</v>
      </c>
      <c r="CI182">
        <f t="shared" si="12"/>
        <v>3</v>
      </c>
      <c r="CJ182">
        <f t="shared" si="13"/>
        <v>786839.31198120071</v>
      </c>
      <c r="CK182">
        <f t="shared" si="14"/>
        <v>86.465858459472599</v>
      </c>
    </row>
    <row r="183" spans="1:89">
      <c r="A183">
        <v>75002</v>
      </c>
      <c r="B183" t="s">
        <v>1839</v>
      </c>
      <c r="C183">
        <v>20.2821159362793</v>
      </c>
      <c r="D183" t="s">
        <v>1792</v>
      </c>
      <c r="E183">
        <v>1968</v>
      </c>
      <c r="F183" t="s">
        <v>1788</v>
      </c>
      <c r="G183" t="s">
        <v>169</v>
      </c>
      <c r="H183">
        <v>98105</v>
      </c>
      <c r="I183" t="s">
        <v>1789</v>
      </c>
      <c r="J183" t="s">
        <v>1785</v>
      </c>
      <c r="K183" t="s">
        <v>1774</v>
      </c>
      <c r="L183">
        <v>54</v>
      </c>
      <c r="M183">
        <v>7</v>
      </c>
      <c r="N183">
        <v>0</v>
      </c>
      <c r="O183">
        <v>8</v>
      </c>
      <c r="P183">
        <v>0</v>
      </c>
      <c r="Q183">
        <v>93702</v>
      </c>
      <c r="R183">
        <v>93702</v>
      </c>
      <c r="S183">
        <v>4830</v>
      </c>
      <c r="T183">
        <v>0</v>
      </c>
      <c r="U183">
        <v>14</v>
      </c>
      <c r="V183">
        <v>40</v>
      </c>
      <c r="W183">
        <v>0</v>
      </c>
      <c r="X183">
        <v>0</v>
      </c>
      <c r="Y183">
        <v>1.8500000238418599</v>
      </c>
      <c r="Z183" t="b">
        <v>0</v>
      </c>
      <c r="AA183" t="b">
        <v>1</v>
      </c>
      <c r="AB183">
        <v>8</v>
      </c>
      <c r="AC183">
        <v>162432.0625</v>
      </c>
      <c r="AD183">
        <v>440841.3125</v>
      </c>
      <c r="AE183">
        <v>603273.375</v>
      </c>
      <c r="AJ183" t="s">
        <v>273</v>
      </c>
      <c r="AK183">
        <v>0</v>
      </c>
      <c r="AL183">
        <v>0</v>
      </c>
      <c r="AM183">
        <v>4</v>
      </c>
      <c r="AN183">
        <v>0</v>
      </c>
      <c r="AO183">
        <v>57</v>
      </c>
      <c r="AP183">
        <v>0</v>
      </c>
      <c r="AQ183">
        <v>35</v>
      </c>
      <c r="AR183">
        <v>4</v>
      </c>
      <c r="AS183">
        <v>0</v>
      </c>
      <c r="AT183" t="b">
        <v>1</v>
      </c>
      <c r="AU183">
        <v>5</v>
      </c>
      <c r="AV183">
        <v>5</v>
      </c>
      <c r="AW183">
        <v>2</v>
      </c>
      <c r="AX183" t="b">
        <v>0</v>
      </c>
      <c r="AY183" t="b">
        <v>0</v>
      </c>
      <c r="AZ183" t="b">
        <v>1</v>
      </c>
      <c r="BA183" t="b">
        <v>0</v>
      </c>
      <c r="BB183" t="s">
        <v>270</v>
      </c>
      <c r="BC183" t="s">
        <v>273</v>
      </c>
      <c r="BD183" t="s">
        <v>270</v>
      </c>
      <c r="BE183" t="s">
        <v>1775</v>
      </c>
      <c r="BF183" t="s">
        <v>1776</v>
      </c>
      <c r="BG183" t="s">
        <v>1777</v>
      </c>
      <c r="BH183" t="s">
        <v>1778</v>
      </c>
      <c r="BI183" t="s">
        <v>1812</v>
      </c>
      <c r="BJ183" t="b">
        <v>1</v>
      </c>
      <c r="BK183" t="b">
        <v>1</v>
      </c>
      <c r="BL183" t="b">
        <v>1</v>
      </c>
      <c r="BM183" t="b">
        <v>0</v>
      </c>
      <c r="BN183" t="b">
        <v>0</v>
      </c>
      <c r="BO183" t="b">
        <v>0</v>
      </c>
      <c r="BP183">
        <v>1</v>
      </c>
      <c r="BQ183">
        <v>55</v>
      </c>
      <c r="BR183">
        <v>1</v>
      </c>
      <c r="BS183">
        <v>1</v>
      </c>
      <c r="BT183" t="b">
        <v>1</v>
      </c>
      <c r="BU183">
        <v>0</v>
      </c>
      <c r="BV183">
        <v>105</v>
      </c>
      <c r="BW183">
        <v>36461</v>
      </c>
      <c r="BX183">
        <v>2</v>
      </c>
      <c r="BY183" t="s">
        <v>273</v>
      </c>
      <c r="BZ183" t="s">
        <v>273</v>
      </c>
      <c r="CA183" t="s">
        <v>270</v>
      </c>
      <c r="CB183" t="s">
        <v>273</v>
      </c>
      <c r="CC183" t="s">
        <v>1855</v>
      </c>
      <c r="CD183" t="s">
        <v>1841</v>
      </c>
      <c r="CE183" t="s">
        <v>1791</v>
      </c>
      <c r="CF183" t="s">
        <v>1842</v>
      </c>
      <c r="CG183" t="str">
        <f t="shared" si="10"/>
        <v/>
      </c>
      <c r="CH183" t="str">
        <f t="shared" si="11"/>
        <v/>
      </c>
      <c r="CI183" t="str">
        <f t="shared" si="12"/>
        <v/>
      </c>
      <c r="CJ183" t="str">
        <f t="shared" si="13"/>
        <v/>
      </c>
      <c r="CK183" t="str">
        <f t="shared" si="14"/>
        <v/>
      </c>
    </row>
    <row r="184" spans="1:89">
      <c r="A184">
        <v>75003</v>
      </c>
      <c r="B184" t="s">
        <v>1799</v>
      </c>
      <c r="C184">
        <v>18.883348464965799</v>
      </c>
      <c r="D184" t="s">
        <v>1771</v>
      </c>
      <c r="E184">
        <v>1985</v>
      </c>
      <c r="F184" t="s">
        <v>1910</v>
      </c>
      <c r="G184" t="s">
        <v>169</v>
      </c>
      <c r="H184">
        <v>98133</v>
      </c>
      <c r="I184" t="s">
        <v>1789</v>
      </c>
      <c r="J184" t="s">
        <v>1785</v>
      </c>
      <c r="K184" t="s">
        <v>1774</v>
      </c>
      <c r="L184">
        <v>58</v>
      </c>
      <c r="M184">
        <v>4</v>
      </c>
      <c r="N184">
        <v>0</v>
      </c>
      <c r="O184">
        <v>4</v>
      </c>
      <c r="P184">
        <v>0</v>
      </c>
      <c r="Q184">
        <v>38400</v>
      </c>
      <c r="R184">
        <v>38400</v>
      </c>
      <c r="S184">
        <v>4335</v>
      </c>
      <c r="T184">
        <v>0</v>
      </c>
      <c r="U184">
        <v>0</v>
      </c>
      <c r="V184">
        <v>4</v>
      </c>
      <c r="W184">
        <v>46</v>
      </c>
      <c r="X184">
        <v>8</v>
      </c>
      <c r="Y184">
        <v>1</v>
      </c>
      <c r="Z184" t="b">
        <v>0</v>
      </c>
      <c r="AA184" t="b">
        <v>1</v>
      </c>
      <c r="AB184">
        <v>7.75</v>
      </c>
      <c r="AC184">
        <v>61170.35546875</v>
      </c>
      <c r="AD184">
        <v>285159.34375</v>
      </c>
      <c r="AE184">
        <v>346329.6875</v>
      </c>
      <c r="AJ184" t="s">
        <v>270</v>
      </c>
      <c r="AK184">
        <v>0</v>
      </c>
      <c r="AL184">
        <v>44</v>
      </c>
      <c r="AM184">
        <v>0</v>
      </c>
      <c r="AN184">
        <v>5</v>
      </c>
      <c r="AO184">
        <v>0</v>
      </c>
      <c r="AP184">
        <v>5</v>
      </c>
      <c r="AQ184">
        <v>0</v>
      </c>
      <c r="AR184">
        <v>0</v>
      </c>
      <c r="AS184">
        <v>46</v>
      </c>
      <c r="AT184" t="b">
        <v>1</v>
      </c>
      <c r="AU184">
        <v>6</v>
      </c>
      <c r="AV184">
        <v>6</v>
      </c>
      <c r="AW184">
        <v>0</v>
      </c>
      <c r="AX184" t="b">
        <v>0</v>
      </c>
      <c r="AY184" t="b">
        <v>0</v>
      </c>
      <c r="AZ184" t="b">
        <v>0</v>
      </c>
      <c r="BA184" t="b">
        <v>0</v>
      </c>
      <c r="BB184" t="s">
        <v>270</v>
      </c>
      <c r="BC184" t="s">
        <v>270</v>
      </c>
      <c r="BD184" t="s">
        <v>270</v>
      </c>
      <c r="BE184" t="s">
        <v>1775</v>
      </c>
      <c r="BF184" t="s">
        <v>1776</v>
      </c>
      <c r="BG184" t="s">
        <v>1777</v>
      </c>
      <c r="BH184" t="s">
        <v>1778</v>
      </c>
      <c r="BI184" t="s">
        <v>1790</v>
      </c>
      <c r="BJ184" t="b">
        <v>1</v>
      </c>
      <c r="BK184" t="b">
        <v>1</v>
      </c>
      <c r="BL184" t="b">
        <v>0</v>
      </c>
      <c r="BM184" t="b">
        <v>0</v>
      </c>
      <c r="BN184" t="b">
        <v>0</v>
      </c>
      <c r="BO184" t="b">
        <v>0</v>
      </c>
      <c r="BP184">
        <v>1</v>
      </c>
      <c r="BQ184">
        <v>59</v>
      </c>
      <c r="BR184">
        <v>0</v>
      </c>
      <c r="BS184">
        <v>0</v>
      </c>
      <c r="BT184" t="b">
        <v>1</v>
      </c>
      <c r="BU184">
        <v>0</v>
      </c>
      <c r="BV184">
        <v>62</v>
      </c>
      <c r="BW184">
        <v>25585</v>
      </c>
      <c r="BX184">
        <v>0</v>
      </c>
      <c r="BY184" t="s">
        <v>270</v>
      </c>
      <c r="BZ184" t="s">
        <v>270</v>
      </c>
      <c r="CA184" t="s">
        <v>273</v>
      </c>
      <c r="CB184" t="s">
        <v>273</v>
      </c>
      <c r="CC184" t="s">
        <v>1780</v>
      </c>
      <c r="CD184" t="s">
        <v>1781</v>
      </c>
      <c r="CE184" t="s">
        <v>1782</v>
      </c>
      <c r="CF184" t="s">
        <v>1783</v>
      </c>
      <c r="CG184" t="str">
        <f t="shared" si="10"/>
        <v/>
      </c>
      <c r="CH184" t="str">
        <f t="shared" si="11"/>
        <v/>
      </c>
      <c r="CI184" t="str">
        <f t="shared" si="12"/>
        <v/>
      </c>
      <c r="CJ184" t="str">
        <f t="shared" si="13"/>
        <v/>
      </c>
      <c r="CK184" t="str">
        <f t="shared" si="14"/>
        <v/>
      </c>
    </row>
    <row r="185" spans="1:89">
      <c r="A185">
        <v>75004</v>
      </c>
      <c r="B185" t="s">
        <v>1770</v>
      </c>
      <c r="C185">
        <v>19.557754516601602</v>
      </c>
      <c r="D185" t="s">
        <v>1822</v>
      </c>
      <c r="E185">
        <v>1951</v>
      </c>
      <c r="F185" t="s">
        <v>1788</v>
      </c>
      <c r="G185" t="s">
        <v>169</v>
      </c>
      <c r="H185">
        <v>98107</v>
      </c>
      <c r="I185" t="s">
        <v>1789</v>
      </c>
      <c r="J185" t="s">
        <v>1785</v>
      </c>
      <c r="K185" t="s">
        <v>1774</v>
      </c>
      <c r="L185">
        <v>56</v>
      </c>
      <c r="M185">
        <v>4</v>
      </c>
      <c r="N185">
        <v>0</v>
      </c>
      <c r="O185">
        <v>3</v>
      </c>
      <c r="P185">
        <v>0</v>
      </c>
      <c r="Q185">
        <v>44107</v>
      </c>
      <c r="R185">
        <v>44107</v>
      </c>
      <c r="S185">
        <v>6656</v>
      </c>
      <c r="T185">
        <v>0</v>
      </c>
      <c r="U185">
        <v>0</v>
      </c>
      <c r="V185">
        <v>0</v>
      </c>
      <c r="W185">
        <v>55</v>
      </c>
      <c r="X185">
        <v>1</v>
      </c>
      <c r="Y185">
        <v>5.3000001907348597</v>
      </c>
      <c r="Z185" t="b">
        <v>0</v>
      </c>
      <c r="AA185" t="b">
        <v>1</v>
      </c>
      <c r="AB185">
        <v>8</v>
      </c>
      <c r="AC185">
        <v>40949.5546875</v>
      </c>
      <c r="AD185">
        <v>207987.796875</v>
      </c>
      <c r="AE185">
        <v>248937.34375</v>
      </c>
      <c r="AJ185" t="s">
        <v>270</v>
      </c>
      <c r="AK185">
        <v>0</v>
      </c>
      <c r="AL185">
        <v>27</v>
      </c>
      <c r="AM185">
        <v>2</v>
      </c>
      <c r="AN185">
        <v>24</v>
      </c>
      <c r="AO185">
        <v>0</v>
      </c>
      <c r="AP185">
        <v>24</v>
      </c>
      <c r="AQ185">
        <v>0</v>
      </c>
      <c r="AR185">
        <v>0</v>
      </c>
      <c r="AS185">
        <v>23</v>
      </c>
      <c r="AT185" t="b">
        <v>0</v>
      </c>
      <c r="AU185">
        <v>3</v>
      </c>
      <c r="AV185">
        <v>3</v>
      </c>
      <c r="AW185">
        <v>1</v>
      </c>
      <c r="AX185" t="b">
        <v>0</v>
      </c>
      <c r="AY185" t="b">
        <v>0</v>
      </c>
      <c r="AZ185" t="b">
        <v>0</v>
      </c>
      <c r="BA185" t="b">
        <v>0</v>
      </c>
      <c r="BB185" t="s">
        <v>270</v>
      </c>
      <c r="BC185" t="s">
        <v>270</v>
      </c>
      <c r="BD185" t="s">
        <v>270</v>
      </c>
      <c r="BE185" t="s">
        <v>1775</v>
      </c>
      <c r="BF185" t="s">
        <v>1776</v>
      </c>
      <c r="BG185" t="s">
        <v>1777</v>
      </c>
      <c r="BH185" t="s">
        <v>1778</v>
      </c>
      <c r="BI185" t="s">
        <v>1812</v>
      </c>
      <c r="BJ185" t="b">
        <v>1</v>
      </c>
      <c r="BK185" t="b">
        <v>1</v>
      </c>
      <c r="BL185" t="b">
        <v>1</v>
      </c>
      <c r="BM185" t="b">
        <v>0</v>
      </c>
      <c r="BN185" t="b">
        <v>0</v>
      </c>
      <c r="BO185" t="b">
        <v>0</v>
      </c>
      <c r="BP185">
        <v>1</v>
      </c>
      <c r="BQ185">
        <v>58</v>
      </c>
      <c r="BR185">
        <v>1</v>
      </c>
      <c r="BS185">
        <v>1</v>
      </c>
      <c r="BT185" t="b">
        <v>1</v>
      </c>
      <c r="BU185">
        <v>0</v>
      </c>
      <c r="BV185">
        <v>42</v>
      </c>
      <c r="BW185">
        <v>17850</v>
      </c>
      <c r="BX185">
        <v>0</v>
      </c>
      <c r="BY185" t="s">
        <v>270</v>
      </c>
      <c r="BZ185" t="s">
        <v>270</v>
      </c>
      <c r="CA185" t="s">
        <v>270</v>
      </c>
      <c r="CB185" t="s">
        <v>273</v>
      </c>
      <c r="CC185" t="s">
        <v>1780</v>
      </c>
      <c r="CD185" t="s">
        <v>1781</v>
      </c>
      <c r="CE185" t="s">
        <v>1865</v>
      </c>
      <c r="CF185" t="s">
        <v>1783</v>
      </c>
      <c r="CG185">
        <f t="shared" si="10"/>
        <v>19.557754516601602</v>
      </c>
      <c r="CH185">
        <f t="shared" si="11"/>
        <v>44107</v>
      </c>
      <c r="CI185">
        <f t="shared" si="12"/>
        <v>4</v>
      </c>
      <c r="CJ185">
        <f t="shared" si="13"/>
        <v>862633.87846374686</v>
      </c>
      <c r="CK185">
        <f t="shared" si="14"/>
        <v>78.231018066406406</v>
      </c>
    </row>
    <row r="186" spans="1:89">
      <c r="A186">
        <v>75005</v>
      </c>
      <c r="B186" t="s">
        <v>1799</v>
      </c>
      <c r="C186">
        <v>22.817380905151399</v>
      </c>
      <c r="D186" t="s">
        <v>1771</v>
      </c>
      <c r="E186">
        <v>1985</v>
      </c>
      <c r="F186" t="s">
        <v>1788</v>
      </c>
      <c r="G186" t="s">
        <v>169</v>
      </c>
      <c r="H186">
        <v>98116</v>
      </c>
      <c r="I186" t="s">
        <v>1789</v>
      </c>
      <c r="K186" t="s">
        <v>1774</v>
      </c>
      <c r="L186">
        <v>48</v>
      </c>
      <c r="M186">
        <v>4</v>
      </c>
      <c r="N186">
        <v>0</v>
      </c>
      <c r="O186">
        <v>5</v>
      </c>
      <c r="P186">
        <v>1</v>
      </c>
      <c r="Q186">
        <v>41811</v>
      </c>
      <c r="R186">
        <v>39721</v>
      </c>
      <c r="S186">
        <v>10238</v>
      </c>
      <c r="T186">
        <v>0</v>
      </c>
      <c r="U186">
        <v>0</v>
      </c>
      <c r="V186">
        <v>5</v>
      </c>
      <c r="W186">
        <v>43</v>
      </c>
      <c r="X186">
        <v>0</v>
      </c>
      <c r="Y186">
        <v>0</v>
      </c>
      <c r="Z186" t="b">
        <v>0</v>
      </c>
      <c r="AA186" t="b">
        <v>1</v>
      </c>
      <c r="AB186">
        <v>8</v>
      </c>
      <c r="AC186">
        <v>126216.25</v>
      </c>
      <c r="AD186">
        <v>310248.5</v>
      </c>
      <c r="AE186">
        <v>436464.75</v>
      </c>
      <c r="AI186">
        <v>1489217.75</v>
      </c>
      <c r="AJ186" t="s">
        <v>270</v>
      </c>
      <c r="AK186">
        <v>0</v>
      </c>
      <c r="AL186">
        <v>0</v>
      </c>
      <c r="AM186">
        <v>24</v>
      </c>
      <c r="AN186">
        <v>0</v>
      </c>
      <c r="AO186">
        <v>41</v>
      </c>
      <c r="AP186">
        <v>0</v>
      </c>
      <c r="AQ186">
        <v>18</v>
      </c>
      <c r="AR186">
        <v>17</v>
      </c>
      <c r="AS186">
        <v>0</v>
      </c>
      <c r="AT186" t="b">
        <v>1</v>
      </c>
      <c r="AU186">
        <v>2</v>
      </c>
      <c r="AV186">
        <v>2</v>
      </c>
      <c r="AW186">
        <v>1</v>
      </c>
      <c r="AX186" t="b">
        <v>0</v>
      </c>
      <c r="AY186" t="b">
        <v>0</v>
      </c>
      <c r="AZ186" t="b">
        <v>1</v>
      </c>
      <c r="BA186" t="b">
        <v>1</v>
      </c>
      <c r="BB186" t="s">
        <v>270</v>
      </c>
      <c r="BC186" t="s">
        <v>270</v>
      </c>
      <c r="BD186" t="s">
        <v>270</v>
      </c>
      <c r="BE186" t="s">
        <v>1775</v>
      </c>
      <c r="BF186" t="s">
        <v>1776</v>
      </c>
      <c r="BG186" t="s">
        <v>1777</v>
      </c>
      <c r="BH186" t="s">
        <v>1778</v>
      </c>
      <c r="BI186" t="s">
        <v>1790</v>
      </c>
      <c r="BJ186" t="b">
        <v>0</v>
      </c>
      <c r="BK186" t="b">
        <v>1</v>
      </c>
      <c r="BL186" t="b">
        <v>0</v>
      </c>
      <c r="BM186" t="b">
        <v>0</v>
      </c>
      <c r="BN186" t="b">
        <v>0</v>
      </c>
      <c r="BO186" t="b">
        <v>0</v>
      </c>
      <c r="BP186">
        <v>1</v>
      </c>
      <c r="BQ186">
        <v>50</v>
      </c>
      <c r="BR186">
        <v>0</v>
      </c>
      <c r="BS186">
        <v>0</v>
      </c>
      <c r="BT186" t="b">
        <v>1</v>
      </c>
      <c r="BV186">
        <v>10</v>
      </c>
      <c r="BW186">
        <v>4250</v>
      </c>
      <c r="BX186">
        <v>0</v>
      </c>
      <c r="BY186" t="s">
        <v>270</v>
      </c>
      <c r="BZ186" t="s">
        <v>270</v>
      </c>
      <c r="CA186" t="s">
        <v>270</v>
      </c>
      <c r="CB186" t="s">
        <v>273</v>
      </c>
      <c r="CC186" t="s">
        <v>1787</v>
      </c>
      <c r="CD186" t="s">
        <v>1781</v>
      </c>
      <c r="CE186" t="s">
        <v>1798</v>
      </c>
      <c r="CF186" t="s">
        <v>1783</v>
      </c>
      <c r="CG186" t="str">
        <f t="shared" si="10"/>
        <v/>
      </c>
      <c r="CH186" t="str">
        <f t="shared" si="11"/>
        <v/>
      </c>
      <c r="CI186" t="str">
        <f t="shared" si="12"/>
        <v/>
      </c>
      <c r="CJ186" t="str">
        <f t="shared" si="13"/>
        <v/>
      </c>
      <c r="CK186" t="str">
        <f t="shared" si="14"/>
        <v/>
      </c>
    </row>
    <row r="187" spans="1:89">
      <c r="A187">
        <v>75006</v>
      </c>
      <c r="B187" t="s">
        <v>1799</v>
      </c>
      <c r="C187">
        <v>22.351718902587901</v>
      </c>
      <c r="D187" t="s">
        <v>1822</v>
      </c>
      <c r="E187">
        <v>1912</v>
      </c>
      <c r="F187" t="s">
        <v>1788</v>
      </c>
      <c r="G187" t="s">
        <v>169</v>
      </c>
      <c r="H187">
        <v>98101</v>
      </c>
      <c r="I187" t="s">
        <v>1789</v>
      </c>
      <c r="J187" t="s">
        <v>1785</v>
      </c>
      <c r="K187" t="s">
        <v>1774</v>
      </c>
      <c r="L187">
        <v>49</v>
      </c>
      <c r="M187">
        <v>5</v>
      </c>
      <c r="N187">
        <v>0</v>
      </c>
      <c r="O187">
        <v>4</v>
      </c>
      <c r="P187">
        <v>0</v>
      </c>
      <c r="Q187">
        <v>36870</v>
      </c>
      <c r="R187">
        <v>36870</v>
      </c>
      <c r="S187">
        <v>5039</v>
      </c>
      <c r="T187">
        <v>0</v>
      </c>
      <c r="U187">
        <v>1</v>
      </c>
      <c r="V187">
        <v>5</v>
      </c>
      <c r="W187">
        <v>40</v>
      </c>
      <c r="X187">
        <v>3</v>
      </c>
      <c r="Y187">
        <v>0</v>
      </c>
      <c r="Z187" t="b">
        <v>0</v>
      </c>
      <c r="AA187" t="b">
        <v>1</v>
      </c>
      <c r="AB187">
        <v>8</v>
      </c>
      <c r="AC187">
        <v>11707.798828125</v>
      </c>
      <c r="AD187">
        <v>155586</v>
      </c>
      <c r="AE187">
        <v>167293.796875</v>
      </c>
      <c r="AH187">
        <v>49921.0859375</v>
      </c>
      <c r="AI187">
        <v>5562915</v>
      </c>
      <c r="AJ187" t="s">
        <v>270</v>
      </c>
      <c r="AK187">
        <v>0</v>
      </c>
      <c r="AL187">
        <v>41</v>
      </c>
      <c r="AM187">
        <v>0</v>
      </c>
      <c r="AN187">
        <v>10</v>
      </c>
      <c r="AO187">
        <v>0</v>
      </c>
      <c r="AP187">
        <v>8</v>
      </c>
      <c r="AQ187">
        <v>0</v>
      </c>
      <c r="AR187">
        <v>0</v>
      </c>
      <c r="AS187">
        <v>41</v>
      </c>
      <c r="AT187" t="b">
        <v>0</v>
      </c>
      <c r="AU187">
        <v>4</v>
      </c>
      <c r="AV187">
        <v>3</v>
      </c>
      <c r="AW187">
        <v>1</v>
      </c>
      <c r="AX187" t="b">
        <v>1</v>
      </c>
      <c r="AY187" t="b">
        <v>0</v>
      </c>
      <c r="AZ187" t="b">
        <v>0</v>
      </c>
      <c r="BA187" t="b">
        <v>0</v>
      </c>
      <c r="BB187" t="s">
        <v>270</v>
      </c>
      <c r="BC187" t="s">
        <v>270</v>
      </c>
      <c r="BD187" t="s">
        <v>270</v>
      </c>
      <c r="BE187" t="s">
        <v>1813</v>
      </c>
      <c r="BF187" t="s">
        <v>1810</v>
      </c>
      <c r="BG187" t="s">
        <v>1814</v>
      </c>
      <c r="BH187" t="s">
        <v>1778</v>
      </c>
      <c r="BI187" t="s">
        <v>1812</v>
      </c>
      <c r="BJ187" t="b">
        <v>1</v>
      </c>
      <c r="BK187" t="b">
        <v>1</v>
      </c>
      <c r="BL187" t="b">
        <v>1</v>
      </c>
      <c r="BM187" t="b">
        <v>0</v>
      </c>
      <c r="BN187" t="b">
        <v>0</v>
      </c>
      <c r="BO187" t="b">
        <v>0</v>
      </c>
      <c r="BP187">
        <v>1</v>
      </c>
      <c r="BQ187">
        <v>54</v>
      </c>
      <c r="BR187">
        <v>1</v>
      </c>
      <c r="BS187">
        <v>2</v>
      </c>
      <c r="BT187" t="b">
        <v>1</v>
      </c>
      <c r="BU187">
        <v>0</v>
      </c>
      <c r="BV187">
        <v>18</v>
      </c>
      <c r="BW187">
        <v>5830</v>
      </c>
      <c r="BX187">
        <v>1</v>
      </c>
      <c r="BY187" t="s">
        <v>273</v>
      </c>
      <c r="BZ187" t="s">
        <v>270</v>
      </c>
      <c r="CA187" t="s">
        <v>270</v>
      </c>
      <c r="CB187" t="s">
        <v>270</v>
      </c>
      <c r="CC187" t="s">
        <v>1787</v>
      </c>
      <c r="CD187" t="s">
        <v>1781</v>
      </c>
      <c r="CE187" t="s">
        <v>1815</v>
      </c>
      <c r="CF187" t="s">
        <v>1783</v>
      </c>
      <c r="CG187" t="str">
        <f t="shared" si="10"/>
        <v/>
      </c>
      <c r="CH187" t="str">
        <f t="shared" si="11"/>
        <v/>
      </c>
      <c r="CI187" t="str">
        <f t="shared" si="12"/>
        <v/>
      </c>
      <c r="CJ187" t="str">
        <f t="shared" si="13"/>
        <v/>
      </c>
      <c r="CK187" t="str">
        <f t="shared" si="14"/>
        <v/>
      </c>
    </row>
    <row r="188" spans="1:89">
      <c r="A188">
        <v>75007</v>
      </c>
      <c r="B188" t="s">
        <v>1799</v>
      </c>
      <c r="C188">
        <v>21.062196731567401</v>
      </c>
      <c r="D188" t="s">
        <v>1806</v>
      </c>
      <c r="E188">
        <v>2011</v>
      </c>
      <c r="F188" t="s">
        <v>1788</v>
      </c>
      <c r="G188" t="s">
        <v>169</v>
      </c>
      <c r="H188">
        <v>98144</v>
      </c>
      <c r="I188" t="s">
        <v>1789</v>
      </c>
      <c r="J188" t="s">
        <v>1785</v>
      </c>
      <c r="K188" t="s">
        <v>1774</v>
      </c>
      <c r="L188">
        <v>52</v>
      </c>
      <c r="M188">
        <v>4</v>
      </c>
      <c r="N188">
        <v>1</v>
      </c>
      <c r="O188">
        <v>4</v>
      </c>
      <c r="P188">
        <v>0</v>
      </c>
      <c r="Q188">
        <v>59487</v>
      </c>
      <c r="R188">
        <v>56922</v>
      </c>
      <c r="S188">
        <v>10960</v>
      </c>
      <c r="T188">
        <v>0</v>
      </c>
      <c r="U188">
        <v>10</v>
      </c>
      <c r="V188">
        <v>28</v>
      </c>
      <c r="W188">
        <v>7</v>
      </c>
      <c r="X188">
        <v>7</v>
      </c>
      <c r="Y188">
        <v>4</v>
      </c>
      <c r="Z188" t="b">
        <v>1</v>
      </c>
      <c r="AA188" t="b">
        <v>1</v>
      </c>
      <c r="AB188">
        <v>8</v>
      </c>
      <c r="AC188">
        <v>178905.890625</v>
      </c>
      <c r="AD188">
        <v>213756.65625</v>
      </c>
      <c r="AE188">
        <v>392662.5625</v>
      </c>
      <c r="AH188">
        <v>7409.81640625</v>
      </c>
      <c r="AI188">
        <v>2080746.25</v>
      </c>
      <c r="AJ188" t="s">
        <v>270</v>
      </c>
      <c r="AK188">
        <v>2565</v>
      </c>
      <c r="AL188">
        <v>10</v>
      </c>
      <c r="AM188">
        <v>0</v>
      </c>
      <c r="AN188">
        <v>25</v>
      </c>
      <c r="AO188">
        <v>0</v>
      </c>
      <c r="AP188">
        <v>48</v>
      </c>
      <c r="AQ188">
        <v>0</v>
      </c>
      <c r="AR188">
        <v>0</v>
      </c>
      <c r="AS188">
        <v>17</v>
      </c>
      <c r="AT188" t="b">
        <v>0</v>
      </c>
      <c r="AU188">
        <v>9</v>
      </c>
      <c r="AV188">
        <v>9</v>
      </c>
      <c r="AW188">
        <v>2</v>
      </c>
      <c r="AX188" t="b">
        <v>0</v>
      </c>
      <c r="AY188" t="b">
        <v>0</v>
      </c>
      <c r="AZ188" t="b">
        <v>1</v>
      </c>
      <c r="BA188" t="b">
        <v>1</v>
      </c>
      <c r="BB188" t="s">
        <v>273</v>
      </c>
      <c r="BC188" t="s">
        <v>273</v>
      </c>
      <c r="BD188" t="s">
        <v>270</v>
      </c>
      <c r="BE188" t="s">
        <v>1775</v>
      </c>
      <c r="BF188" t="s">
        <v>1776</v>
      </c>
      <c r="BG188" t="s">
        <v>1777</v>
      </c>
      <c r="BH188" t="s">
        <v>1778</v>
      </c>
      <c r="BI188" t="s">
        <v>1812</v>
      </c>
      <c r="BJ188" t="b">
        <v>1</v>
      </c>
      <c r="BK188" t="b">
        <v>1</v>
      </c>
      <c r="BL188" t="b">
        <v>1</v>
      </c>
      <c r="BM188" t="b">
        <v>0</v>
      </c>
      <c r="BN188" t="b">
        <v>0</v>
      </c>
      <c r="BO188" t="b">
        <v>0</v>
      </c>
      <c r="BP188">
        <v>1</v>
      </c>
      <c r="BQ188">
        <v>59</v>
      </c>
      <c r="BR188">
        <v>1</v>
      </c>
      <c r="BS188">
        <v>1</v>
      </c>
      <c r="BT188" t="b">
        <v>1</v>
      </c>
      <c r="BU188">
        <v>60</v>
      </c>
      <c r="BV188">
        <v>69</v>
      </c>
      <c r="BW188">
        <v>19375</v>
      </c>
      <c r="BX188">
        <v>2</v>
      </c>
      <c r="BY188" t="s">
        <v>273</v>
      </c>
      <c r="BZ188" t="s">
        <v>270</v>
      </c>
      <c r="CA188" t="s">
        <v>270</v>
      </c>
      <c r="CB188" t="s">
        <v>270</v>
      </c>
      <c r="CC188" t="s">
        <v>1780</v>
      </c>
      <c r="CD188" t="s">
        <v>1781</v>
      </c>
      <c r="CE188" t="s">
        <v>1801</v>
      </c>
      <c r="CF188" t="s">
        <v>1783</v>
      </c>
      <c r="CG188" t="str">
        <f t="shared" si="10"/>
        <v/>
      </c>
      <c r="CH188" t="str">
        <f t="shared" si="11"/>
        <v/>
      </c>
      <c r="CI188" t="str">
        <f t="shared" si="12"/>
        <v/>
      </c>
      <c r="CJ188" t="str">
        <f t="shared" si="13"/>
        <v/>
      </c>
      <c r="CK188" t="str">
        <f t="shared" si="14"/>
        <v/>
      </c>
    </row>
    <row r="189" spans="1:89">
      <c r="A189">
        <v>75008</v>
      </c>
      <c r="B189" t="s">
        <v>1770</v>
      </c>
      <c r="C189">
        <v>26.7130317687988</v>
      </c>
      <c r="D189" t="s">
        <v>1802</v>
      </c>
      <c r="E189">
        <v>1980</v>
      </c>
      <c r="F189" t="s">
        <v>1788</v>
      </c>
      <c r="G189" t="s">
        <v>169</v>
      </c>
      <c r="H189">
        <v>98155</v>
      </c>
      <c r="I189" t="s">
        <v>1789</v>
      </c>
      <c r="K189" t="s">
        <v>1774</v>
      </c>
      <c r="L189">
        <v>41</v>
      </c>
      <c r="M189">
        <v>2</v>
      </c>
      <c r="N189">
        <v>0</v>
      </c>
      <c r="O189">
        <v>3</v>
      </c>
      <c r="P189">
        <v>0</v>
      </c>
      <c r="Q189">
        <v>35595</v>
      </c>
      <c r="R189">
        <v>35595</v>
      </c>
      <c r="S189">
        <v>2060</v>
      </c>
      <c r="T189">
        <v>0</v>
      </c>
      <c r="U189">
        <v>0</v>
      </c>
      <c r="V189">
        <v>15</v>
      </c>
      <c r="W189">
        <v>15</v>
      </c>
      <c r="X189">
        <v>11</v>
      </c>
      <c r="Y189">
        <v>0</v>
      </c>
      <c r="Z189" t="b">
        <v>0</v>
      </c>
      <c r="AA189" t="b">
        <v>1</v>
      </c>
      <c r="AB189">
        <v>10</v>
      </c>
      <c r="AC189">
        <v>82084.34375</v>
      </c>
      <c r="AD189">
        <v>323911.875</v>
      </c>
      <c r="AE189">
        <v>405996.21875</v>
      </c>
      <c r="AI189">
        <v>1385259.125</v>
      </c>
      <c r="AJ189" t="s">
        <v>270</v>
      </c>
      <c r="AK189">
        <v>0</v>
      </c>
      <c r="AL189">
        <v>0</v>
      </c>
      <c r="AM189">
        <v>4</v>
      </c>
      <c r="AN189">
        <v>0</v>
      </c>
      <c r="AO189">
        <v>31</v>
      </c>
      <c r="AP189">
        <v>0</v>
      </c>
      <c r="AQ189">
        <v>61</v>
      </c>
      <c r="AR189">
        <v>4</v>
      </c>
      <c r="AS189">
        <v>0</v>
      </c>
      <c r="AT189" t="b">
        <v>0</v>
      </c>
      <c r="AU189">
        <v>4</v>
      </c>
      <c r="AV189">
        <v>5</v>
      </c>
      <c r="AW189">
        <v>0</v>
      </c>
      <c r="AX189" t="b">
        <v>0</v>
      </c>
      <c r="AY189" t="b">
        <v>0</v>
      </c>
      <c r="AZ189" t="b">
        <v>1</v>
      </c>
      <c r="BA189" t="b">
        <v>0</v>
      </c>
      <c r="BB189" t="s">
        <v>270</v>
      </c>
      <c r="BC189" t="s">
        <v>270</v>
      </c>
      <c r="BD189" t="s">
        <v>273</v>
      </c>
      <c r="BE189" t="s">
        <v>1775</v>
      </c>
      <c r="BF189" t="s">
        <v>1776</v>
      </c>
      <c r="BG189" t="s">
        <v>1777</v>
      </c>
      <c r="BH189" t="s">
        <v>1778</v>
      </c>
      <c r="BI189" t="s">
        <v>1790</v>
      </c>
      <c r="BJ189" t="b">
        <v>0</v>
      </c>
      <c r="BK189" t="b">
        <v>1</v>
      </c>
      <c r="BL189" t="b">
        <v>0</v>
      </c>
      <c r="BM189" t="b">
        <v>0</v>
      </c>
      <c r="BN189" t="b">
        <v>0</v>
      </c>
      <c r="BO189" t="b">
        <v>0</v>
      </c>
      <c r="BP189">
        <v>2</v>
      </c>
      <c r="BQ189">
        <v>44</v>
      </c>
      <c r="BR189">
        <v>0</v>
      </c>
      <c r="BS189">
        <v>0</v>
      </c>
      <c r="BT189" t="b">
        <v>1</v>
      </c>
      <c r="BU189">
        <v>0</v>
      </c>
      <c r="BV189">
        <v>64</v>
      </c>
      <c r="BW189">
        <v>26275</v>
      </c>
      <c r="BX189">
        <v>1</v>
      </c>
      <c r="BY189" t="s">
        <v>270</v>
      </c>
      <c r="BZ189" t="s">
        <v>273</v>
      </c>
      <c r="CA189" t="s">
        <v>270</v>
      </c>
      <c r="CB189" t="s">
        <v>273</v>
      </c>
      <c r="CC189" t="s">
        <v>1787</v>
      </c>
      <c r="CD189" t="s">
        <v>1781</v>
      </c>
      <c r="CE189" t="s">
        <v>1795</v>
      </c>
      <c r="CF189" t="s">
        <v>1783</v>
      </c>
      <c r="CG189">
        <f t="shared" si="10"/>
        <v>26.7130317687988</v>
      </c>
      <c r="CH189">
        <f t="shared" si="11"/>
        <v>35595</v>
      </c>
      <c r="CI189">
        <f t="shared" si="12"/>
        <v>2</v>
      </c>
      <c r="CJ189">
        <f t="shared" si="13"/>
        <v>950850.36581039324</v>
      </c>
      <c r="CK189">
        <f t="shared" si="14"/>
        <v>53.426063537597599</v>
      </c>
    </row>
    <row r="190" spans="1:89">
      <c r="A190">
        <v>75009</v>
      </c>
      <c r="B190" t="s">
        <v>1770</v>
      </c>
      <c r="C190">
        <v>28.082929611206101</v>
      </c>
      <c r="D190" t="s">
        <v>1822</v>
      </c>
      <c r="E190">
        <v>1914</v>
      </c>
      <c r="F190" t="s">
        <v>1788</v>
      </c>
      <c r="G190" t="s">
        <v>169</v>
      </c>
      <c r="H190">
        <v>98122</v>
      </c>
      <c r="I190" t="s">
        <v>1789</v>
      </c>
      <c r="J190" t="s">
        <v>1785</v>
      </c>
      <c r="K190" t="s">
        <v>1774</v>
      </c>
      <c r="L190">
        <v>39</v>
      </c>
      <c r="M190">
        <v>5</v>
      </c>
      <c r="N190">
        <v>0</v>
      </c>
      <c r="O190">
        <v>3</v>
      </c>
      <c r="P190">
        <v>0</v>
      </c>
      <c r="Q190">
        <v>29000</v>
      </c>
      <c r="R190">
        <v>27968</v>
      </c>
      <c r="S190">
        <v>5307</v>
      </c>
      <c r="T190">
        <v>0</v>
      </c>
      <c r="U190">
        <v>0</v>
      </c>
      <c r="V190">
        <v>1</v>
      </c>
      <c r="W190">
        <v>18</v>
      </c>
      <c r="X190">
        <v>20</v>
      </c>
      <c r="Y190">
        <v>5</v>
      </c>
      <c r="Z190" t="b">
        <v>1</v>
      </c>
      <c r="AA190" t="b">
        <v>1</v>
      </c>
      <c r="AB190">
        <v>9</v>
      </c>
      <c r="AC190">
        <v>14162.9990234375</v>
      </c>
      <c r="AD190">
        <v>75827.5</v>
      </c>
      <c r="AE190">
        <v>89990.5</v>
      </c>
      <c r="AF190">
        <v>292.57327270507801</v>
      </c>
      <c r="AG190">
        <v>11770.29296875</v>
      </c>
      <c r="AH190">
        <v>12062.8662109375</v>
      </c>
      <c r="AI190">
        <v>1513334.25</v>
      </c>
      <c r="AJ190" t="s">
        <v>270</v>
      </c>
      <c r="AK190">
        <v>1032</v>
      </c>
      <c r="AL190">
        <v>16</v>
      </c>
      <c r="AM190">
        <v>0</v>
      </c>
      <c r="AN190">
        <v>28</v>
      </c>
      <c r="AO190">
        <v>0</v>
      </c>
      <c r="AP190">
        <v>33</v>
      </c>
      <c r="AQ190">
        <v>0</v>
      </c>
      <c r="AR190">
        <v>0</v>
      </c>
      <c r="AS190">
        <v>23</v>
      </c>
      <c r="AT190" t="b">
        <v>0</v>
      </c>
      <c r="AU190">
        <v>4</v>
      </c>
      <c r="AV190">
        <v>4</v>
      </c>
      <c r="AW190">
        <v>0</v>
      </c>
      <c r="AX190" t="b">
        <v>0</v>
      </c>
      <c r="AY190" t="b">
        <v>0</v>
      </c>
      <c r="AZ190" t="b">
        <v>0</v>
      </c>
      <c r="BA190" t="b">
        <v>0</v>
      </c>
      <c r="BB190" t="s">
        <v>270</v>
      </c>
      <c r="BC190" t="s">
        <v>270</v>
      </c>
      <c r="BD190" t="s">
        <v>270</v>
      </c>
      <c r="BE190" t="s">
        <v>1827</v>
      </c>
      <c r="BF190" t="s">
        <v>1810</v>
      </c>
      <c r="BG190" t="s">
        <v>1777</v>
      </c>
      <c r="BH190" t="s">
        <v>1778</v>
      </c>
      <c r="BI190" t="s">
        <v>1790</v>
      </c>
      <c r="BJ190" t="b">
        <v>1</v>
      </c>
      <c r="BK190" t="b">
        <v>1</v>
      </c>
      <c r="BL190" t="b">
        <v>1</v>
      </c>
      <c r="BM190" t="b">
        <v>0</v>
      </c>
      <c r="BN190" t="b">
        <v>0</v>
      </c>
      <c r="BO190" t="b">
        <v>0</v>
      </c>
      <c r="BP190">
        <v>4</v>
      </c>
      <c r="BQ190">
        <v>41</v>
      </c>
      <c r="BR190">
        <v>1</v>
      </c>
      <c r="BS190">
        <v>40</v>
      </c>
      <c r="BT190" t="b">
        <v>1</v>
      </c>
      <c r="BV190">
        <v>5</v>
      </c>
      <c r="BW190">
        <v>2125</v>
      </c>
      <c r="BX190">
        <v>0</v>
      </c>
      <c r="BY190" t="s">
        <v>270</v>
      </c>
      <c r="BZ190" t="s">
        <v>270</v>
      </c>
      <c r="CA190" t="s">
        <v>270</v>
      </c>
      <c r="CB190" t="s">
        <v>273</v>
      </c>
      <c r="CC190" t="s">
        <v>1787</v>
      </c>
      <c r="CD190" t="s">
        <v>1781</v>
      </c>
      <c r="CE190" t="s">
        <v>1824</v>
      </c>
      <c r="CF190" t="s">
        <v>1783</v>
      </c>
      <c r="CG190" t="str">
        <f t="shared" si="10"/>
        <v/>
      </c>
      <c r="CH190" t="str">
        <f t="shared" si="11"/>
        <v/>
      </c>
      <c r="CI190" t="str">
        <f t="shared" si="12"/>
        <v/>
      </c>
      <c r="CJ190" t="str">
        <f t="shared" si="13"/>
        <v/>
      </c>
      <c r="CK190" t="str">
        <f t="shared" si="14"/>
        <v/>
      </c>
    </row>
    <row r="191" spans="1:89">
      <c r="A191">
        <v>75010</v>
      </c>
      <c r="B191" t="s">
        <v>1770</v>
      </c>
      <c r="C191">
        <v>30.423171997070298</v>
      </c>
      <c r="D191" t="s">
        <v>1771</v>
      </c>
      <c r="E191">
        <v>1982</v>
      </c>
      <c r="F191" t="s">
        <v>1788</v>
      </c>
      <c r="G191" t="s">
        <v>169</v>
      </c>
      <c r="H191">
        <v>98155</v>
      </c>
      <c r="I191" t="s">
        <v>1789</v>
      </c>
      <c r="J191" t="s">
        <v>1785</v>
      </c>
      <c r="K191" t="s">
        <v>1774</v>
      </c>
      <c r="L191">
        <v>36</v>
      </c>
      <c r="M191">
        <v>3</v>
      </c>
      <c r="N191">
        <v>0</v>
      </c>
      <c r="O191">
        <v>3</v>
      </c>
      <c r="P191">
        <v>0</v>
      </c>
      <c r="Q191">
        <v>28564</v>
      </c>
      <c r="R191">
        <v>28564</v>
      </c>
      <c r="S191">
        <v>5452</v>
      </c>
      <c r="T191">
        <v>0</v>
      </c>
      <c r="U191">
        <v>0</v>
      </c>
      <c r="V191">
        <v>0</v>
      </c>
      <c r="W191">
        <v>33</v>
      </c>
      <c r="X191">
        <v>3</v>
      </c>
      <c r="Y191">
        <v>6</v>
      </c>
      <c r="Z191" t="b">
        <v>0</v>
      </c>
      <c r="AA191" t="b">
        <v>1</v>
      </c>
      <c r="AB191">
        <v>8</v>
      </c>
      <c r="AC191">
        <v>43172.40234375</v>
      </c>
      <c r="AD191">
        <v>225096.03125</v>
      </c>
      <c r="AE191">
        <v>268268.4375</v>
      </c>
      <c r="AH191">
        <v>441.14486694335898</v>
      </c>
      <c r="AI191">
        <v>959446.375</v>
      </c>
      <c r="AJ191" t="s">
        <v>273</v>
      </c>
      <c r="AK191">
        <v>0</v>
      </c>
      <c r="AL191">
        <v>21</v>
      </c>
      <c r="AM191">
        <v>0</v>
      </c>
      <c r="AN191">
        <v>31</v>
      </c>
      <c r="AO191">
        <v>0</v>
      </c>
      <c r="AP191">
        <v>30</v>
      </c>
      <c r="AQ191">
        <v>0</v>
      </c>
      <c r="AR191">
        <v>2</v>
      </c>
      <c r="AS191">
        <v>16</v>
      </c>
      <c r="AT191" t="b">
        <v>1</v>
      </c>
      <c r="AU191">
        <v>3</v>
      </c>
      <c r="AV191">
        <v>3</v>
      </c>
      <c r="AW191">
        <v>1</v>
      </c>
      <c r="AX191" t="b">
        <v>0</v>
      </c>
      <c r="AY191" t="b">
        <v>0</v>
      </c>
      <c r="AZ191" t="b">
        <v>0</v>
      </c>
      <c r="BA191" t="b">
        <v>0</v>
      </c>
      <c r="BB191" t="s">
        <v>270</v>
      </c>
      <c r="BC191" t="s">
        <v>270</v>
      </c>
      <c r="BD191" t="s">
        <v>270</v>
      </c>
      <c r="BE191" t="s">
        <v>1775</v>
      </c>
      <c r="BF191" t="s">
        <v>1776</v>
      </c>
      <c r="BG191" t="s">
        <v>1777</v>
      </c>
      <c r="BH191" t="s">
        <v>1778</v>
      </c>
      <c r="BI191" t="s">
        <v>1790</v>
      </c>
      <c r="BJ191" t="b">
        <v>1</v>
      </c>
      <c r="BK191" t="b">
        <v>1</v>
      </c>
      <c r="BL191" t="b">
        <v>1</v>
      </c>
      <c r="BM191" t="b">
        <v>0</v>
      </c>
      <c r="BN191" t="b">
        <v>0</v>
      </c>
      <c r="BO191" t="b">
        <v>0</v>
      </c>
      <c r="BP191">
        <v>1</v>
      </c>
      <c r="BQ191">
        <v>37</v>
      </c>
      <c r="BR191">
        <v>1</v>
      </c>
      <c r="BS191">
        <v>1</v>
      </c>
      <c r="BT191" t="b">
        <v>1</v>
      </c>
      <c r="BU191">
        <v>0</v>
      </c>
      <c r="BV191">
        <v>45</v>
      </c>
      <c r="BW191">
        <v>14224</v>
      </c>
      <c r="BX191">
        <v>1</v>
      </c>
      <c r="BY191" t="s">
        <v>270</v>
      </c>
      <c r="BZ191" t="s">
        <v>273</v>
      </c>
      <c r="CA191" t="s">
        <v>270</v>
      </c>
      <c r="CB191" t="s">
        <v>273</v>
      </c>
      <c r="CC191" t="s">
        <v>1780</v>
      </c>
      <c r="CD191" t="s">
        <v>1781</v>
      </c>
      <c r="CE191" t="s">
        <v>1798</v>
      </c>
      <c r="CF191" t="s">
        <v>1783</v>
      </c>
      <c r="CG191">
        <f t="shared" si="10"/>
        <v>30.423171997070298</v>
      </c>
      <c r="CH191">
        <f t="shared" si="11"/>
        <v>28564</v>
      </c>
      <c r="CI191">
        <f t="shared" si="12"/>
        <v>3</v>
      </c>
      <c r="CJ191">
        <f t="shared" si="13"/>
        <v>869007.48492431606</v>
      </c>
      <c r="CK191">
        <f t="shared" si="14"/>
        <v>91.269515991210895</v>
      </c>
    </row>
    <row r="192" spans="1:89">
      <c r="A192">
        <v>75011</v>
      </c>
      <c r="B192" t="s">
        <v>1799</v>
      </c>
      <c r="C192">
        <v>23.3028564453125</v>
      </c>
      <c r="D192" t="s">
        <v>1808</v>
      </c>
      <c r="E192">
        <v>1999</v>
      </c>
      <c r="F192" t="s">
        <v>1788</v>
      </c>
      <c r="G192" t="s">
        <v>169</v>
      </c>
      <c r="H192">
        <v>98104</v>
      </c>
      <c r="I192" t="s">
        <v>1789</v>
      </c>
      <c r="K192" t="s">
        <v>1774</v>
      </c>
      <c r="L192">
        <v>47</v>
      </c>
      <c r="M192">
        <v>6</v>
      </c>
      <c r="N192">
        <v>0</v>
      </c>
      <c r="O192">
        <v>6</v>
      </c>
      <c r="P192">
        <v>0</v>
      </c>
      <c r="Q192">
        <v>32167</v>
      </c>
      <c r="R192">
        <v>32167</v>
      </c>
      <c r="S192">
        <v>6538</v>
      </c>
      <c r="T192">
        <v>0</v>
      </c>
      <c r="U192">
        <v>0</v>
      </c>
      <c r="V192">
        <v>21</v>
      </c>
      <c r="W192">
        <v>16</v>
      </c>
      <c r="X192">
        <v>10</v>
      </c>
      <c r="Y192">
        <v>0</v>
      </c>
      <c r="Z192" t="b">
        <v>0</v>
      </c>
      <c r="AA192" t="b">
        <v>1</v>
      </c>
      <c r="AB192">
        <v>8</v>
      </c>
      <c r="AC192">
        <v>73819.8203125</v>
      </c>
      <c r="AD192">
        <v>252174.375</v>
      </c>
      <c r="AE192">
        <v>325994.1875</v>
      </c>
      <c r="AI192">
        <v>1112292.125</v>
      </c>
      <c r="AJ192" t="s">
        <v>270</v>
      </c>
      <c r="AK192">
        <v>0</v>
      </c>
      <c r="AL192">
        <v>0</v>
      </c>
      <c r="AM192">
        <v>25</v>
      </c>
      <c r="AN192">
        <v>0</v>
      </c>
      <c r="AO192">
        <v>22</v>
      </c>
      <c r="AP192">
        <v>1</v>
      </c>
      <c r="AQ192">
        <v>24</v>
      </c>
      <c r="AR192">
        <v>28</v>
      </c>
      <c r="AS192">
        <v>0</v>
      </c>
      <c r="AT192" t="b">
        <v>1</v>
      </c>
      <c r="AU192">
        <v>0</v>
      </c>
      <c r="AV192">
        <v>0</v>
      </c>
      <c r="AW192">
        <v>1</v>
      </c>
      <c r="AX192" t="b">
        <v>0</v>
      </c>
      <c r="AY192" t="b">
        <v>1</v>
      </c>
      <c r="AZ192" t="b">
        <v>0</v>
      </c>
      <c r="BA192" t="b">
        <v>1</v>
      </c>
      <c r="BB192" t="s">
        <v>270</v>
      </c>
      <c r="BC192" t="s">
        <v>273</v>
      </c>
      <c r="BD192" t="s">
        <v>270</v>
      </c>
      <c r="BE192" t="s">
        <v>1775</v>
      </c>
      <c r="BF192" t="s">
        <v>1776</v>
      </c>
      <c r="BG192" t="s">
        <v>1777</v>
      </c>
      <c r="BH192" t="s">
        <v>1778</v>
      </c>
      <c r="BI192" t="s">
        <v>1779</v>
      </c>
      <c r="BJ192" t="b">
        <v>0</v>
      </c>
      <c r="BK192" t="b">
        <v>1</v>
      </c>
      <c r="BL192" t="b">
        <v>0</v>
      </c>
      <c r="BM192" t="b">
        <v>0</v>
      </c>
      <c r="BN192" t="b">
        <v>0</v>
      </c>
      <c r="BO192" t="b">
        <v>0</v>
      </c>
      <c r="BP192">
        <v>2</v>
      </c>
      <c r="BQ192">
        <v>50</v>
      </c>
      <c r="BR192">
        <v>0</v>
      </c>
      <c r="BS192">
        <v>0</v>
      </c>
      <c r="BT192" t="b">
        <v>1</v>
      </c>
      <c r="BU192">
        <v>0</v>
      </c>
      <c r="BV192">
        <v>55</v>
      </c>
      <c r="BW192">
        <v>17065</v>
      </c>
      <c r="BX192">
        <v>2</v>
      </c>
      <c r="BY192" t="s">
        <v>273</v>
      </c>
      <c r="BZ192" t="s">
        <v>270</v>
      </c>
      <c r="CA192" t="s">
        <v>270</v>
      </c>
      <c r="CB192" t="s">
        <v>273</v>
      </c>
      <c r="CC192" t="s">
        <v>1780</v>
      </c>
      <c r="CD192" t="s">
        <v>1781</v>
      </c>
      <c r="CE192" t="s">
        <v>1801</v>
      </c>
      <c r="CF192" t="s">
        <v>1783</v>
      </c>
      <c r="CG192" t="str">
        <f t="shared" si="10"/>
        <v/>
      </c>
      <c r="CH192" t="str">
        <f t="shared" si="11"/>
        <v/>
      </c>
      <c r="CI192" t="str">
        <f t="shared" si="12"/>
        <v/>
      </c>
      <c r="CJ192" t="str">
        <f t="shared" si="13"/>
        <v/>
      </c>
      <c r="CK192" t="str">
        <f t="shared" si="14"/>
        <v/>
      </c>
    </row>
    <row r="193" spans="1:89">
      <c r="A193">
        <v>75012</v>
      </c>
      <c r="B193" t="s">
        <v>1770</v>
      </c>
      <c r="C193">
        <v>24.338537216186499</v>
      </c>
      <c r="D193" t="s">
        <v>1822</v>
      </c>
      <c r="E193">
        <v>1908</v>
      </c>
      <c r="F193" t="s">
        <v>1788</v>
      </c>
      <c r="G193" t="s">
        <v>169</v>
      </c>
      <c r="H193">
        <v>98122</v>
      </c>
      <c r="I193" t="s">
        <v>1789</v>
      </c>
      <c r="J193" t="s">
        <v>1785</v>
      </c>
      <c r="K193" t="s">
        <v>1774</v>
      </c>
      <c r="L193">
        <v>45</v>
      </c>
      <c r="M193">
        <v>4</v>
      </c>
      <c r="N193">
        <v>0</v>
      </c>
      <c r="O193">
        <v>3</v>
      </c>
      <c r="P193">
        <v>0</v>
      </c>
      <c r="Q193">
        <v>13374</v>
      </c>
      <c r="R193">
        <v>13374</v>
      </c>
      <c r="S193">
        <v>4408</v>
      </c>
      <c r="T193">
        <v>0</v>
      </c>
      <c r="U193">
        <v>0</v>
      </c>
      <c r="V193">
        <v>0</v>
      </c>
      <c r="W193">
        <v>0</v>
      </c>
      <c r="X193">
        <v>45</v>
      </c>
      <c r="Y193">
        <v>6.5</v>
      </c>
      <c r="Z193" t="b">
        <v>0</v>
      </c>
      <c r="AA193" t="b">
        <v>1</v>
      </c>
      <c r="AB193">
        <v>9</v>
      </c>
      <c r="AE193">
        <v>79781.390625</v>
      </c>
      <c r="AH193">
        <v>7372.873046875</v>
      </c>
      <c r="AI193">
        <v>1009501.4375</v>
      </c>
      <c r="AJ193" t="s">
        <v>270</v>
      </c>
      <c r="AK193">
        <v>0</v>
      </c>
      <c r="AL193">
        <v>18</v>
      </c>
      <c r="AM193">
        <v>0</v>
      </c>
      <c r="AN193">
        <v>35</v>
      </c>
      <c r="AO193">
        <v>0</v>
      </c>
      <c r="AP193">
        <v>33</v>
      </c>
      <c r="AQ193">
        <v>0</v>
      </c>
      <c r="AR193">
        <v>0</v>
      </c>
      <c r="AS193">
        <v>14</v>
      </c>
      <c r="AT193" t="b">
        <v>0</v>
      </c>
      <c r="AU193">
        <v>2</v>
      </c>
      <c r="AV193">
        <v>2</v>
      </c>
      <c r="AW193">
        <v>0</v>
      </c>
      <c r="AX193" t="b">
        <v>1</v>
      </c>
      <c r="AY193" t="b">
        <v>0</v>
      </c>
      <c r="AZ193" t="b">
        <v>1</v>
      </c>
      <c r="BA193" t="b">
        <v>0</v>
      </c>
      <c r="BB193" t="s">
        <v>270</v>
      </c>
      <c r="BC193" t="s">
        <v>270</v>
      </c>
      <c r="BD193" t="s">
        <v>270</v>
      </c>
      <c r="BE193" t="s">
        <v>1813</v>
      </c>
      <c r="BF193" t="s">
        <v>1810</v>
      </c>
      <c r="BG193" t="s">
        <v>1814</v>
      </c>
      <c r="BH193" t="s">
        <v>1778</v>
      </c>
      <c r="BI193" t="s">
        <v>1812</v>
      </c>
      <c r="BJ193" t="b">
        <v>1</v>
      </c>
      <c r="BK193" t="b">
        <v>1</v>
      </c>
      <c r="BL193" t="b">
        <v>1</v>
      </c>
      <c r="BM193" t="b">
        <v>0</v>
      </c>
      <c r="BN193" t="b">
        <v>0</v>
      </c>
      <c r="BO193" t="b">
        <v>0</v>
      </c>
      <c r="BP193">
        <v>1</v>
      </c>
      <c r="BQ193">
        <v>1</v>
      </c>
      <c r="BR193">
        <v>1</v>
      </c>
      <c r="BS193">
        <v>1</v>
      </c>
      <c r="BT193" t="b">
        <v>1</v>
      </c>
      <c r="BV193">
        <v>10</v>
      </c>
      <c r="BW193">
        <v>4250</v>
      </c>
      <c r="BX193">
        <v>0</v>
      </c>
      <c r="BY193" t="s">
        <v>270</v>
      </c>
      <c r="BZ193" t="s">
        <v>270</v>
      </c>
      <c r="CA193" t="s">
        <v>270</v>
      </c>
      <c r="CB193" t="s">
        <v>273</v>
      </c>
      <c r="CC193" t="s">
        <v>1787</v>
      </c>
      <c r="CD193" t="s">
        <v>1781</v>
      </c>
      <c r="CE193" t="s">
        <v>1824</v>
      </c>
      <c r="CF193" t="s">
        <v>1783</v>
      </c>
      <c r="CG193" t="str">
        <f t="shared" si="10"/>
        <v/>
      </c>
      <c r="CH193" t="str">
        <f t="shared" si="11"/>
        <v/>
      </c>
      <c r="CI193" t="str">
        <f t="shared" si="12"/>
        <v/>
      </c>
      <c r="CJ193" t="str">
        <f t="shared" si="13"/>
        <v/>
      </c>
      <c r="CK193" t="str">
        <f t="shared" si="14"/>
        <v/>
      </c>
    </row>
    <row r="194" spans="1:89">
      <c r="A194">
        <v>75013</v>
      </c>
      <c r="B194" t="s">
        <v>1799</v>
      </c>
      <c r="C194">
        <v>19.214635848998999</v>
      </c>
      <c r="D194" t="s">
        <v>1822</v>
      </c>
      <c r="E194">
        <v>1906</v>
      </c>
      <c r="F194" t="s">
        <v>1788</v>
      </c>
      <c r="G194" t="s">
        <v>169</v>
      </c>
      <c r="H194">
        <v>98104</v>
      </c>
      <c r="I194" t="s">
        <v>1789</v>
      </c>
      <c r="J194" t="s">
        <v>1785</v>
      </c>
      <c r="K194" t="s">
        <v>1774</v>
      </c>
      <c r="L194">
        <v>57</v>
      </c>
      <c r="M194">
        <v>6</v>
      </c>
      <c r="N194">
        <v>0</v>
      </c>
      <c r="O194">
        <v>6</v>
      </c>
      <c r="P194">
        <v>0</v>
      </c>
      <c r="Q194">
        <v>29213</v>
      </c>
      <c r="R194">
        <v>29213</v>
      </c>
      <c r="S194">
        <v>4745</v>
      </c>
      <c r="T194">
        <v>0</v>
      </c>
      <c r="U194">
        <v>0</v>
      </c>
      <c r="V194">
        <v>0</v>
      </c>
      <c r="W194">
        <v>0</v>
      </c>
      <c r="X194">
        <v>57</v>
      </c>
      <c r="Y194">
        <v>4</v>
      </c>
      <c r="Z194" t="b">
        <v>0</v>
      </c>
      <c r="AA194" t="b">
        <v>1</v>
      </c>
      <c r="AB194">
        <v>9.5</v>
      </c>
      <c r="AC194">
        <v>51745.4375</v>
      </c>
      <c r="AD194">
        <v>142663.6875</v>
      </c>
      <c r="AE194">
        <v>194409.125</v>
      </c>
      <c r="AJ194" t="s">
        <v>270</v>
      </c>
      <c r="AK194">
        <v>0</v>
      </c>
      <c r="AL194">
        <v>13</v>
      </c>
      <c r="AM194">
        <v>0</v>
      </c>
      <c r="AN194">
        <v>42</v>
      </c>
      <c r="AO194">
        <v>0</v>
      </c>
      <c r="AP194">
        <v>11</v>
      </c>
      <c r="AQ194">
        <v>0</v>
      </c>
      <c r="AR194">
        <v>0</v>
      </c>
      <c r="AS194">
        <v>34</v>
      </c>
      <c r="AT194" t="b">
        <v>0</v>
      </c>
      <c r="AU194">
        <v>5</v>
      </c>
      <c r="AV194">
        <v>5</v>
      </c>
      <c r="AW194">
        <v>1</v>
      </c>
      <c r="AX194" t="b">
        <v>0</v>
      </c>
      <c r="AY194" t="b">
        <v>0</v>
      </c>
      <c r="AZ194" t="b">
        <v>1</v>
      </c>
      <c r="BA194" t="b">
        <v>1</v>
      </c>
      <c r="BB194" t="s">
        <v>270</v>
      </c>
      <c r="BC194" t="s">
        <v>270</v>
      </c>
      <c r="BD194" t="s">
        <v>270</v>
      </c>
      <c r="BE194" t="s">
        <v>1809</v>
      </c>
      <c r="BF194" t="s">
        <v>1810</v>
      </c>
      <c r="BG194" t="s">
        <v>1777</v>
      </c>
      <c r="BH194" t="s">
        <v>1778</v>
      </c>
      <c r="BI194" t="s">
        <v>1847</v>
      </c>
      <c r="BJ194" t="b">
        <v>1</v>
      </c>
      <c r="BK194" t="b">
        <v>1</v>
      </c>
      <c r="BL194" t="b">
        <v>1</v>
      </c>
      <c r="BM194" t="b">
        <v>0</v>
      </c>
      <c r="BN194" t="b">
        <v>0</v>
      </c>
      <c r="BO194" t="b">
        <v>0</v>
      </c>
      <c r="BP194">
        <v>1</v>
      </c>
      <c r="BQ194">
        <v>58</v>
      </c>
      <c r="BR194">
        <v>1</v>
      </c>
      <c r="BS194">
        <v>2</v>
      </c>
      <c r="BT194" t="b">
        <v>0</v>
      </c>
      <c r="BV194">
        <v>0</v>
      </c>
      <c r="BW194">
        <v>0</v>
      </c>
      <c r="BX194">
        <v>0</v>
      </c>
      <c r="BY194" t="s">
        <v>270</v>
      </c>
      <c r="BZ194" t="s">
        <v>270</v>
      </c>
      <c r="CA194" t="s">
        <v>270</v>
      </c>
      <c r="CB194" t="s">
        <v>270</v>
      </c>
      <c r="CC194" t="s">
        <v>1787</v>
      </c>
      <c r="CD194" t="s">
        <v>1781</v>
      </c>
      <c r="CE194" t="s">
        <v>1825</v>
      </c>
      <c r="CF194" t="s">
        <v>1783</v>
      </c>
      <c r="CG194" t="str">
        <f t="shared" si="10"/>
        <v/>
      </c>
      <c r="CH194" t="str">
        <f t="shared" si="11"/>
        <v/>
      </c>
      <c r="CI194" t="str">
        <f t="shared" si="12"/>
        <v/>
      </c>
      <c r="CJ194" t="str">
        <f t="shared" si="13"/>
        <v/>
      </c>
      <c r="CK194" t="str">
        <f t="shared" si="14"/>
        <v/>
      </c>
    </row>
    <row r="195" spans="1:89">
      <c r="A195">
        <v>76001</v>
      </c>
      <c r="B195" t="s">
        <v>1799</v>
      </c>
      <c r="C195">
        <v>14.800462722778301</v>
      </c>
      <c r="D195" t="s">
        <v>1822</v>
      </c>
      <c r="E195">
        <v>1929</v>
      </c>
      <c r="F195" t="s">
        <v>1788</v>
      </c>
      <c r="G195" t="s">
        <v>169</v>
      </c>
      <c r="H195">
        <v>98122</v>
      </c>
      <c r="I195" t="s">
        <v>1789</v>
      </c>
      <c r="J195" t="s">
        <v>1785</v>
      </c>
      <c r="K195" t="s">
        <v>1774</v>
      </c>
      <c r="L195">
        <v>74</v>
      </c>
      <c r="M195">
        <v>4</v>
      </c>
      <c r="N195">
        <v>0</v>
      </c>
      <c r="O195">
        <v>4</v>
      </c>
      <c r="P195">
        <v>1</v>
      </c>
      <c r="Q195">
        <v>64000</v>
      </c>
      <c r="R195">
        <v>64000</v>
      </c>
      <c r="S195">
        <v>13350</v>
      </c>
      <c r="T195">
        <v>0</v>
      </c>
      <c r="U195">
        <v>0</v>
      </c>
      <c r="V195">
        <v>4</v>
      </c>
      <c r="W195">
        <v>69</v>
      </c>
      <c r="X195">
        <v>1</v>
      </c>
      <c r="Y195">
        <v>0</v>
      </c>
      <c r="Z195" t="b">
        <v>0</v>
      </c>
      <c r="AA195" t="b">
        <v>1</v>
      </c>
      <c r="AB195">
        <v>8.1999998092651403</v>
      </c>
      <c r="AC195">
        <v>44783.72265625</v>
      </c>
      <c r="AD195">
        <v>163909.765625</v>
      </c>
      <c r="AE195">
        <v>208693.484375</v>
      </c>
      <c r="AJ195" t="s">
        <v>270</v>
      </c>
      <c r="AK195">
        <v>0</v>
      </c>
      <c r="AL195">
        <v>27</v>
      </c>
      <c r="AM195">
        <v>0</v>
      </c>
      <c r="AN195">
        <v>24</v>
      </c>
      <c r="AO195">
        <v>0</v>
      </c>
      <c r="AP195">
        <v>24</v>
      </c>
      <c r="AQ195">
        <v>0</v>
      </c>
      <c r="AR195">
        <v>0</v>
      </c>
      <c r="AS195">
        <v>25</v>
      </c>
      <c r="AT195" t="b">
        <v>0</v>
      </c>
      <c r="AU195">
        <v>6</v>
      </c>
      <c r="AV195">
        <v>6</v>
      </c>
      <c r="AW195">
        <v>1</v>
      </c>
      <c r="AX195" t="b">
        <v>1</v>
      </c>
      <c r="AY195" t="b">
        <v>0</v>
      </c>
      <c r="AZ195" t="b">
        <v>0</v>
      </c>
      <c r="BA195" t="b">
        <v>0</v>
      </c>
      <c r="BB195" t="s">
        <v>270</v>
      </c>
      <c r="BC195" t="s">
        <v>270</v>
      </c>
      <c r="BD195" t="s">
        <v>270</v>
      </c>
      <c r="BE195" t="s">
        <v>1813</v>
      </c>
      <c r="BF195" t="s">
        <v>1810</v>
      </c>
      <c r="BG195" t="s">
        <v>1814</v>
      </c>
      <c r="BH195" t="s">
        <v>1778</v>
      </c>
      <c r="BI195" t="s">
        <v>1812</v>
      </c>
      <c r="BJ195" t="b">
        <v>1</v>
      </c>
      <c r="BK195" t="b">
        <v>1</v>
      </c>
      <c r="BL195" t="b">
        <v>1</v>
      </c>
      <c r="BM195" t="b">
        <v>0</v>
      </c>
      <c r="BN195" t="b">
        <v>0</v>
      </c>
      <c r="BO195" t="b">
        <v>0</v>
      </c>
      <c r="BP195">
        <v>1</v>
      </c>
      <c r="BQ195">
        <v>76</v>
      </c>
      <c r="BR195">
        <v>1</v>
      </c>
      <c r="BS195">
        <v>1</v>
      </c>
      <c r="BT195" t="b">
        <v>1</v>
      </c>
      <c r="BU195">
        <v>0</v>
      </c>
      <c r="BV195">
        <v>38</v>
      </c>
      <c r="BW195">
        <v>9574</v>
      </c>
      <c r="BX195">
        <v>1</v>
      </c>
      <c r="BY195" t="s">
        <v>273</v>
      </c>
      <c r="BZ195" t="s">
        <v>270</v>
      </c>
      <c r="CA195" t="s">
        <v>270</v>
      </c>
      <c r="CB195" t="s">
        <v>270</v>
      </c>
      <c r="CC195" t="s">
        <v>1840</v>
      </c>
      <c r="CD195" t="s">
        <v>1841</v>
      </c>
      <c r="CE195" t="s">
        <v>1801</v>
      </c>
      <c r="CF195" t="s">
        <v>1903</v>
      </c>
      <c r="CG195" t="str">
        <f t="shared" si="10"/>
        <v/>
      </c>
      <c r="CH195" t="str">
        <f t="shared" si="11"/>
        <v/>
      </c>
      <c r="CI195" t="str">
        <f t="shared" si="12"/>
        <v/>
      </c>
      <c r="CJ195" t="str">
        <f t="shared" si="13"/>
        <v/>
      </c>
      <c r="CK195" t="str">
        <f t="shared" si="14"/>
        <v/>
      </c>
    </row>
    <row r="196" spans="1:89">
      <c r="A196">
        <v>76002</v>
      </c>
      <c r="B196" t="s">
        <v>1799</v>
      </c>
      <c r="C196">
        <v>13.0385036468506</v>
      </c>
      <c r="D196" t="s">
        <v>1792</v>
      </c>
      <c r="E196">
        <v>1961</v>
      </c>
      <c r="F196" t="s">
        <v>1788</v>
      </c>
      <c r="G196" t="s">
        <v>169</v>
      </c>
      <c r="H196">
        <v>98112</v>
      </c>
      <c r="I196" t="s">
        <v>1789</v>
      </c>
      <c r="J196" t="s">
        <v>1785</v>
      </c>
      <c r="K196" t="s">
        <v>1774</v>
      </c>
      <c r="L196">
        <v>84</v>
      </c>
      <c r="M196">
        <v>6</v>
      </c>
      <c r="N196">
        <v>0</v>
      </c>
      <c r="O196">
        <v>6</v>
      </c>
      <c r="P196">
        <v>1</v>
      </c>
      <c r="Q196">
        <v>84375</v>
      </c>
      <c r="R196">
        <v>84375</v>
      </c>
      <c r="S196">
        <v>11481</v>
      </c>
      <c r="T196">
        <v>0</v>
      </c>
      <c r="U196">
        <v>0</v>
      </c>
      <c r="V196">
        <v>42</v>
      </c>
      <c r="W196">
        <v>42</v>
      </c>
      <c r="X196">
        <v>0</v>
      </c>
      <c r="Y196">
        <v>24</v>
      </c>
      <c r="Z196" t="b">
        <v>0</v>
      </c>
      <c r="AA196" t="b">
        <v>1</v>
      </c>
      <c r="AB196">
        <v>7.75</v>
      </c>
      <c r="AE196">
        <v>445478.4375</v>
      </c>
      <c r="AJ196" t="s">
        <v>273</v>
      </c>
      <c r="AK196">
        <v>0</v>
      </c>
      <c r="AL196">
        <v>6</v>
      </c>
      <c r="AM196">
        <v>0</v>
      </c>
      <c r="AN196">
        <v>44</v>
      </c>
      <c r="AO196">
        <v>0</v>
      </c>
      <c r="AP196">
        <v>44</v>
      </c>
      <c r="AQ196">
        <v>0</v>
      </c>
      <c r="AR196">
        <v>0</v>
      </c>
      <c r="AS196">
        <v>6</v>
      </c>
      <c r="AT196" t="b">
        <v>1</v>
      </c>
      <c r="AU196">
        <v>5</v>
      </c>
      <c r="AV196">
        <v>5</v>
      </c>
      <c r="AW196">
        <v>2</v>
      </c>
      <c r="AX196" t="b">
        <v>1</v>
      </c>
      <c r="AY196" t="b">
        <v>0</v>
      </c>
      <c r="AZ196" t="b">
        <v>0</v>
      </c>
      <c r="BA196" t="b">
        <v>1</v>
      </c>
      <c r="BB196" t="s">
        <v>270</v>
      </c>
      <c r="BC196" t="s">
        <v>270</v>
      </c>
      <c r="BD196" t="s">
        <v>270</v>
      </c>
      <c r="BE196" t="s">
        <v>1813</v>
      </c>
      <c r="BF196" t="s">
        <v>1810</v>
      </c>
      <c r="BG196" t="s">
        <v>1814</v>
      </c>
      <c r="BH196" t="s">
        <v>1778</v>
      </c>
      <c r="BI196" t="s">
        <v>1812</v>
      </c>
      <c r="BJ196" t="b">
        <v>1</v>
      </c>
      <c r="BK196" t="b">
        <v>1</v>
      </c>
      <c r="BL196" t="b">
        <v>1</v>
      </c>
      <c r="BM196" t="b">
        <v>1</v>
      </c>
      <c r="BN196" t="b">
        <v>0</v>
      </c>
      <c r="BO196" t="b">
        <v>0</v>
      </c>
      <c r="BP196">
        <v>1</v>
      </c>
      <c r="BQ196">
        <v>1</v>
      </c>
      <c r="BR196">
        <v>1</v>
      </c>
      <c r="BS196">
        <v>1</v>
      </c>
      <c r="BT196" t="b">
        <v>1</v>
      </c>
      <c r="BU196">
        <v>0</v>
      </c>
      <c r="BV196">
        <v>97</v>
      </c>
      <c r="BW196">
        <v>45490</v>
      </c>
      <c r="BX196">
        <v>1</v>
      </c>
      <c r="BY196" t="s">
        <v>270</v>
      </c>
      <c r="BZ196" t="s">
        <v>273</v>
      </c>
      <c r="CA196" t="s">
        <v>270</v>
      </c>
      <c r="CB196" t="s">
        <v>273</v>
      </c>
      <c r="CC196" t="s">
        <v>1855</v>
      </c>
      <c r="CD196" t="s">
        <v>1841</v>
      </c>
      <c r="CE196" t="s">
        <v>1791</v>
      </c>
      <c r="CF196" t="s">
        <v>1842</v>
      </c>
      <c r="CG196" t="str">
        <f t="shared" ref="CG196:CG232" si="15">IF(AND($B196="1-3 stories",$BF196="electric"),$C196,"")</f>
        <v/>
      </c>
      <c r="CH196" t="str">
        <f t="shared" ref="CH196:CH232" si="16">IF(CG196="","",$Q196)</f>
        <v/>
      </c>
      <c r="CI196" t="str">
        <f t="shared" ref="CI196:CI232" si="17">IF($CG196="","",$M196)</f>
        <v/>
      </c>
      <c r="CJ196" t="str">
        <f t="shared" ref="CJ196:CJ232" si="18">IFERROR($CG196*CH196,"")</f>
        <v/>
      </c>
      <c r="CK196" t="str">
        <f t="shared" ref="CK196:CK232" si="19">IFERROR($CG196*CI196,"")</f>
        <v/>
      </c>
    </row>
    <row r="197" spans="1:89">
      <c r="A197">
        <v>76003</v>
      </c>
      <c r="B197" t="s">
        <v>1839</v>
      </c>
      <c r="C197">
        <v>13.195593833923301</v>
      </c>
      <c r="D197" t="s">
        <v>1822</v>
      </c>
      <c r="E197">
        <v>1927</v>
      </c>
      <c r="F197" t="s">
        <v>1788</v>
      </c>
      <c r="G197" t="s">
        <v>169</v>
      </c>
      <c r="H197">
        <v>98101</v>
      </c>
      <c r="I197" t="s">
        <v>1789</v>
      </c>
      <c r="K197" t="s">
        <v>1774</v>
      </c>
      <c r="L197">
        <v>83</v>
      </c>
      <c r="M197">
        <v>12</v>
      </c>
      <c r="N197">
        <v>0</v>
      </c>
      <c r="O197">
        <v>12</v>
      </c>
      <c r="P197">
        <v>0</v>
      </c>
      <c r="Q197">
        <v>76393</v>
      </c>
      <c r="R197">
        <v>76393</v>
      </c>
      <c r="S197">
        <v>13005</v>
      </c>
      <c r="T197">
        <v>0</v>
      </c>
      <c r="U197">
        <v>2</v>
      </c>
      <c r="V197">
        <v>6</v>
      </c>
      <c r="W197">
        <v>51</v>
      </c>
      <c r="X197">
        <v>24</v>
      </c>
      <c r="Y197">
        <v>2</v>
      </c>
      <c r="Z197" t="b">
        <v>0</v>
      </c>
      <c r="AA197" t="b">
        <v>1</v>
      </c>
      <c r="AB197">
        <v>8</v>
      </c>
      <c r="AC197">
        <v>133197.546875</v>
      </c>
      <c r="AD197">
        <v>116928.640625</v>
      </c>
      <c r="AE197">
        <v>250126.1875</v>
      </c>
      <c r="AI197">
        <v>853430.5625</v>
      </c>
      <c r="AJ197" t="s">
        <v>270</v>
      </c>
      <c r="AK197">
        <v>0</v>
      </c>
      <c r="AL197">
        <v>0</v>
      </c>
      <c r="AM197">
        <v>38</v>
      </c>
      <c r="AN197">
        <v>0</v>
      </c>
      <c r="AO197">
        <v>13</v>
      </c>
      <c r="AP197">
        <v>0</v>
      </c>
      <c r="AQ197">
        <v>15</v>
      </c>
      <c r="AR197">
        <v>34</v>
      </c>
      <c r="AS197">
        <v>0</v>
      </c>
      <c r="AT197" t="b">
        <v>1</v>
      </c>
      <c r="AU197">
        <v>4</v>
      </c>
      <c r="AV197">
        <v>4</v>
      </c>
      <c r="AW197">
        <v>2</v>
      </c>
      <c r="AX197" t="b">
        <v>1</v>
      </c>
      <c r="AY197" t="b">
        <v>0</v>
      </c>
      <c r="AZ197" t="b">
        <v>0</v>
      </c>
      <c r="BA197" t="b">
        <v>0</v>
      </c>
      <c r="BB197" t="s">
        <v>273</v>
      </c>
      <c r="BC197" t="s">
        <v>270</v>
      </c>
      <c r="BD197" t="s">
        <v>270</v>
      </c>
      <c r="BE197" t="s">
        <v>1813</v>
      </c>
      <c r="BF197" t="s">
        <v>1912</v>
      </c>
      <c r="BG197" t="s">
        <v>1814</v>
      </c>
      <c r="BH197" t="s">
        <v>1778</v>
      </c>
      <c r="BI197" t="s">
        <v>1847</v>
      </c>
      <c r="BJ197" t="b">
        <v>0</v>
      </c>
      <c r="BK197" t="b">
        <v>1</v>
      </c>
      <c r="BL197" t="b">
        <v>0</v>
      </c>
      <c r="BM197" t="b">
        <v>0</v>
      </c>
      <c r="BN197" t="b">
        <v>0</v>
      </c>
      <c r="BO197" t="b">
        <v>0</v>
      </c>
      <c r="BP197">
        <v>1</v>
      </c>
      <c r="BQ197">
        <v>84</v>
      </c>
      <c r="BR197">
        <v>0</v>
      </c>
      <c r="BS197">
        <v>0</v>
      </c>
      <c r="BT197" t="b">
        <v>1</v>
      </c>
      <c r="BU197">
        <v>0</v>
      </c>
      <c r="BV197">
        <v>55</v>
      </c>
      <c r="BW197">
        <v>13234</v>
      </c>
      <c r="BX197">
        <v>2</v>
      </c>
      <c r="BY197" t="s">
        <v>273</v>
      </c>
      <c r="BZ197" t="s">
        <v>270</v>
      </c>
      <c r="CA197" t="s">
        <v>270</v>
      </c>
      <c r="CB197" t="s">
        <v>273</v>
      </c>
      <c r="CC197" t="s">
        <v>1855</v>
      </c>
      <c r="CD197" t="s">
        <v>1841</v>
      </c>
      <c r="CE197" t="s">
        <v>1865</v>
      </c>
      <c r="CF197" t="s">
        <v>1842</v>
      </c>
      <c r="CG197" t="str">
        <f t="shared" si="15"/>
        <v/>
      </c>
      <c r="CH197" t="str">
        <f t="shared" si="16"/>
        <v/>
      </c>
      <c r="CI197" t="str">
        <f t="shared" si="17"/>
        <v/>
      </c>
      <c r="CJ197" t="str">
        <f t="shared" si="18"/>
        <v/>
      </c>
      <c r="CK197" t="str">
        <f t="shared" si="19"/>
        <v/>
      </c>
    </row>
    <row r="198" spans="1:89">
      <c r="A198">
        <v>76004</v>
      </c>
      <c r="B198" t="s">
        <v>1799</v>
      </c>
      <c r="C198">
        <v>11.6514282226563</v>
      </c>
      <c r="D198" t="s">
        <v>1806</v>
      </c>
      <c r="E198">
        <v>2010</v>
      </c>
      <c r="F198" t="s">
        <v>1788</v>
      </c>
      <c r="G198" t="s">
        <v>169</v>
      </c>
      <c r="H198">
        <v>98144</v>
      </c>
      <c r="I198" t="s">
        <v>1789</v>
      </c>
      <c r="J198" t="s">
        <v>1785</v>
      </c>
      <c r="K198" t="s">
        <v>1774</v>
      </c>
      <c r="L198">
        <v>94</v>
      </c>
      <c r="M198">
        <v>6</v>
      </c>
      <c r="N198">
        <v>2</v>
      </c>
      <c r="O198">
        <v>6</v>
      </c>
      <c r="P198">
        <v>0</v>
      </c>
      <c r="Q198">
        <v>105242</v>
      </c>
      <c r="R198">
        <v>95705</v>
      </c>
      <c r="S198">
        <v>10923</v>
      </c>
      <c r="T198">
        <v>0</v>
      </c>
      <c r="U198">
        <v>8</v>
      </c>
      <c r="V198">
        <v>60</v>
      </c>
      <c r="W198">
        <v>26</v>
      </c>
      <c r="X198">
        <v>0</v>
      </c>
      <c r="Y198">
        <v>74</v>
      </c>
      <c r="Z198" t="b">
        <v>1</v>
      </c>
      <c r="AA198" t="b">
        <v>1</v>
      </c>
      <c r="AB198">
        <v>9</v>
      </c>
      <c r="AC198">
        <v>215164.453125</v>
      </c>
      <c r="AD198">
        <v>247066.171875</v>
      </c>
      <c r="AE198">
        <v>462230.625</v>
      </c>
      <c r="AH198">
        <v>10326.6611328125</v>
      </c>
      <c r="AI198">
        <v>2609797</v>
      </c>
      <c r="AJ198" t="s">
        <v>270</v>
      </c>
      <c r="AK198">
        <v>9537</v>
      </c>
      <c r="AL198">
        <v>41</v>
      </c>
      <c r="AM198">
        <v>0</v>
      </c>
      <c r="AN198">
        <v>18</v>
      </c>
      <c r="AO198">
        <v>0</v>
      </c>
      <c r="AP198">
        <v>9</v>
      </c>
      <c r="AQ198">
        <v>0</v>
      </c>
      <c r="AR198">
        <v>0</v>
      </c>
      <c r="AS198">
        <v>32</v>
      </c>
      <c r="AT198" t="b">
        <v>1</v>
      </c>
      <c r="AU198">
        <v>0</v>
      </c>
      <c r="AV198">
        <v>0</v>
      </c>
      <c r="AW198">
        <v>2</v>
      </c>
      <c r="AX198" t="b">
        <v>0</v>
      </c>
      <c r="AY198" t="b">
        <v>0</v>
      </c>
      <c r="AZ198" t="b">
        <v>1</v>
      </c>
      <c r="BA198" t="b">
        <v>1</v>
      </c>
      <c r="BB198" t="s">
        <v>270</v>
      </c>
      <c r="BC198" t="s">
        <v>273</v>
      </c>
      <c r="BD198" t="s">
        <v>270</v>
      </c>
      <c r="BE198" t="s">
        <v>1775</v>
      </c>
      <c r="BF198" t="s">
        <v>1776</v>
      </c>
      <c r="BG198" t="s">
        <v>1777</v>
      </c>
      <c r="BH198" t="s">
        <v>1804</v>
      </c>
      <c r="BI198" t="s">
        <v>1812</v>
      </c>
      <c r="BJ198" t="b">
        <v>1</v>
      </c>
      <c r="BK198" t="b">
        <v>1</v>
      </c>
      <c r="BL198" t="b">
        <v>1</v>
      </c>
      <c r="BM198" t="b">
        <v>0</v>
      </c>
      <c r="BN198" t="b">
        <v>0</v>
      </c>
      <c r="BO198" t="b">
        <v>0</v>
      </c>
      <c r="BP198">
        <v>1</v>
      </c>
      <c r="BQ198">
        <v>103</v>
      </c>
      <c r="BR198">
        <v>1</v>
      </c>
      <c r="BS198">
        <v>1</v>
      </c>
      <c r="BT198" t="b">
        <v>1</v>
      </c>
      <c r="BU198">
        <v>10</v>
      </c>
      <c r="BV198">
        <v>130</v>
      </c>
      <c r="BW198">
        <v>47760</v>
      </c>
      <c r="BX198">
        <v>2</v>
      </c>
      <c r="BY198" t="s">
        <v>273</v>
      </c>
      <c r="BZ198" t="s">
        <v>270</v>
      </c>
      <c r="CA198" t="s">
        <v>270</v>
      </c>
      <c r="CB198" t="s">
        <v>270</v>
      </c>
      <c r="CC198" t="s">
        <v>1780</v>
      </c>
      <c r="CD198" t="s">
        <v>1781</v>
      </c>
      <c r="CE198" t="s">
        <v>1801</v>
      </c>
      <c r="CF198" t="s">
        <v>1783</v>
      </c>
      <c r="CG198" t="str">
        <f t="shared" si="15"/>
        <v/>
      </c>
      <c r="CH198" t="str">
        <f t="shared" si="16"/>
        <v/>
      </c>
      <c r="CI198" t="str">
        <f t="shared" si="17"/>
        <v/>
      </c>
      <c r="CJ198" t="str">
        <f t="shared" si="18"/>
        <v/>
      </c>
      <c r="CK198" t="str">
        <f t="shared" si="19"/>
        <v/>
      </c>
    </row>
    <row r="199" spans="1:89">
      <c r="A199">
        <v>76005</v>
      </c>
      <c r="B199" t="s">
        <v>1799</v>
      </c>
      <c r="C199">
        <v>17.665067672729499</v>
      </c>
      <c r="D199" t="s">
        <v>1771</v>
      </c>
      <c r="E199">
        <v>1989</v>
      </c>
      <c r="F199" t="s">
        <v>1788</v>
      </c>
      <c r="G199" t="s">
        <v>169</v>
      </c>
      <c r="H199">
        <v>98136</v>
      </c>
      <c r="I199" t="s">
        <v>1789</v>
      </c>
      <c r="K199" t="s">
        <v>1774</v>
      </c>
      <c r="L199">
        <v>62</v>
      </c>
      <c r="M199">
        <v>4</v>
      </c>
      <c r="N199">
        <v>0</v>
      </c>
      <c r="O199">
        <v>4</v>
      </c>
      <c r="P199">
        <v>0</v>
      </c>
      <c r="Q199">
        <v>48604</v>
      </c>
      <c r="R199">
        <v>48604</v>
      </c>
      <c r="S199">
        <v>7154</v>
      </c>
      <c r="T199">
        <v>0</v>
      </c>
      <c r="U199">
        <v>0</v>
      </c>
      <c r="V199">
        <v>15</v>
      </c>
      <c r="W199">
        <v>47</v>
      </c>
      <c r="X199">
        <v>0</v>
      </c>
      <c r="Y199">
        <v>5</v>
      </c>
      <c r="Z199" t="b">
        <v>0</v>
      </c>
      <c r="AA199" t="b">
        <v>1</v>
      </c>
      <c r="AB199">
        <v>8</v>
      </c>
      <c r="AC199">
        <v>90301.46875</v>
      </c>
      <c r="AD199">
        <v>382200.15625</v>
      </c>
      <c r="AE199">
        <v>472501.625</v>
      </c>
      <c r="AI199">
        <v>1612175.5</v>
      </c>
      <c r="AJ199" t="s">
        <v>270</v>
      </c>
      <c r="AK199">
        <v>0</v>
      </c>
      <c r="AL199">
        <v>12</v>
      </c>
      <c r="AM199">
        <v>0</v>
      </c>
      <c r="AN199">
        <v>20</v>
      </c>
      <c r="AO199">
        <v>0</v>
      </c>
      <c r="AP199">
        <v>25</v>
      </c>
      <c r="AQ199">
        <v>0</v>
      </c>
      <c r="AR199">
        <v>0</v>
      </c>
      <c r="AS199">
        <v>43</v>
      </c>
      <c r="AT199" t="b">
        <v>1</v>
      </c>
      <c r="AU199">
        <v>0</v>
      </c>
      <c r="AV199">
        <v>0</v>
      </c>
      <c r="AW199">
        <v>1</v>
      </c>
      <c r="AX199" t="b">
        <v>0</v>
      </c>
      <c r="AY199" t="b">
        <v>0</v>
      </c>
      <c r="AZ199" t="b">
        <v>1</v>
      </c>
      <c r="BA199" t="b">
        <v>0</v>
      </c>
      <c r="BB199" t="s">
        <v>270</v>
      </c>
      <c r="BC199" t="s">
        <v>270</v>
      </c>
      <c r="BD199" t="s">
        <v>270</v>
      </c>
      <c r="BE199" t="s">
        <v>1775</v>
      </c>
      <c r="BF199" t="s">
        <v>1776</v>
      </c>
      <c r="BG199" t="s">
        <v>1777</v>
      </c>
      <c r="BH199" t="s">
        <v>1778</v>
      </c>
      <c r="BI199" t="s">
        <v>1779</v>
      </c>
      <c r="BJ199" t="b">
        <v>0</v>
      </c>
      <c r="BK199" t="b">
        <v>1</v>
      </c>
      <c r="BL199" t="b">
        <v>0</v>
      </c>
      <c r="BM199" t="b">
        <v>0</v>
      </c>
      <c r="BN199" t="b">
        <v>0</v>
      </c>
      <c r="BO199" t="b">
        <v>0</v>
      </c>
      <c r="BP199">
        <v>1</v>
      </c>
      <c r="BQ199">
        <v>63</v>
      </c>
      <c r="BR199">
        <v>0</v>
      </c>
      <c r="BS199">
        <v>0</v>
      </c>
      <c r="BT199" t="b">
        <v>1</v>
      </c>
      <c r="BU199">
        <v>0</v>
      </c>
      <c r="BV199">
        <v>62</v>
      </c>
      <c r="BW199">
        <v>26350</v>
      </c>
      <c r="BX199">
        <v>0</v>
      </c>
      <c r="BY199" t="s">
        <v>270</v>
      </c>
      <c r="BZ199" t="s">
        <v>270</v>
      </c>
      <c r="CA199" t="s">
        <v>270</v>
      </c>
      <c r="CB199" t="s">
        <v>273</v>
      </c>
      <c r="CC199" t="s">
        <v>1787</v>
      </c>
      <c r="CD199" t="s">
        <v>1781</v>
      </c>
      <c r="CE199" t="s">
        <v>1795</v>
      </c>
      <c r="CF199" t="s">
        <v>1783</v>
      </c>
      <c r="CG199" t="str">
        <f t="shared" si="15"/>
        <v/>
      </c>
      <c r="CH199" t="str">
        <f t="shared" si="16"/>
        <v/>
      </c>
      <c r="CI199" t="str">
        <f t="shared" si="17"/>
        <v/>
      </c>
      <c r="CJ199" t="str">
        <f t="shared" si="18"/>
        <v/>
      </c>
      <c r="CK199" t="str">
        <f t="shared" si="19"/>
        <v/>
      </c>
    </row>
    <row r="200" spans="1:89">
      <c r="A200">
        <v>76006</v>
      </c>
      <c r="B200" t="s">
        <v>1839</v>
      </c>
      <c r="C200">
        <v>13.3565158843994</v>
      </c>
      <c r="D200" t="s">
        <v>1771</v>
      </c>
      <c r="E200">
        <v>1981</v>
      </c>
      <c r="F200" t="s">
        <v>1788</v>
      </c>
      <c r="G200" t="s">
        <v>169</v>
      </c>
      <c r="H200">
        <v>98121</v>
      </c>
      <c r="I200" t="s">
        <v>1789</v>
      </c>
      <c r="J200" t="s">
        <v>1785</v>
      </c>
      <c r="K200" t="s">
        <v>1774</v>
      </c>
      <c r="L200">
        <v>82</v>
      </c>
      <c r="M200">
        <v>10</v>
      </c>
      <c r="N200">
        <v>0.5</v>
      </c>
      <c r="O200">
        <v>10</v>
      </c>
      <c r="P200">
        <v>0</v>
      </c>
      <c r="Q200">
        <v>64176</v>
      </c>
      <c r="R200">
        <v>62448</v>
      </c>
      <c r="S200">
        <v>10730</v>
      </c>
      <c r="T200">
        <v>0</v>
      </c>
      <c r="U200">
        <v>0</v>
      </c>
      <c r="V200">
        <v>0</v>
      </c>
      <c r="W200">
        <v>82</v>
      </c>
      <c r="X200">
        <v>0</v>
      </c>
      <c r="Y200">
        <v>2.4000000953674299</v>
      </c>
      <c r="Z200" t="b">
        <v>1</v>
      </c>
      <c r="AA200" t="b">
        <v>1</v>
      </c>
      <c r="AB200">
        <v>8</v>
      </c>
      <c r="AC200">
        <v>284152.28125</v>
      </c>
      <c r="AD200">
        <v>483957.5625</v>
      </c>
      <c r="AE200">
        <v>768109.875</v>
      </c>
      <c r="AH200">
        <v>5666.4892578125</v>
      </c>
      <c r="AI200">
        <v>3187439.75</v>
      </c>
      <c r="AJ200" t="s">
        <v>270</v>
      </c>
      <c r="AK200">
        <v>1728</v>
      </c>
      <c r="AL200">
        <v>43</v>
      </c>
      <c r="AM200">
        <v>0</v>
      </c>
      <c r="AN200">
        <v>7</v>
      </c>
      <c r="AO200">
        <v>0</v>
      </c>
      <c r="AP200">
        <v>0</v>
      </c>
      <c r="AQ200">
        <v>0</v>
      </c>
      <c r="AR200">
        <v>0</v>
      </c>
      <c r="AS200">
        <v>50</v>
      </c>
      <c r="AT200" t="b">
        <v>0</v>
      </c>
      <c r="AU200">
        <v>4</v>
      </c>
      <c r="AV200">
        <v>4</v>
      </c>
      <c r="AW200">
        <v>2</v>
      </c>
      <c r="AX200" t="b">
        <v>0</v>
      </c>
      <c r="AY200" t="b">
        <v>0</v>
      </c>
      <c r="AZ200" t="b">
        <v>1</v>
      </c>
      <c r="BA200" t="b">
        <v>1</v>
      </c>
      <c r="BB200" t="s">
        <v>270</v>
      </c>
      <c r="BC200" t="s">
        <v>270</v>
      </c>
      <c r="BD200" t="s">
        <v>270</v>
      </c>
      <c r="BE200" t="s">
        <v>1775</v>
      </c>
      <c r="BF200" t="s">
        <v>1776</v>
      </c>
      <c r="BG200" t="s">
        <v>1777</v>
      </c>
      <c r="BH200" t="s">
        <v>1778</v>
      </c>
      <c r="BI200" t="s">
        <v>1847</v>
      </c>
      <c r="BJ200" t="b">
        <v>1</v>
      </c>
      <c r="BK200" t="b">
        <v>1</v>
      </c>
      <c r="BL200" t="b">
        <v>1</v>
      </c>
      <c r="BM200" t="b">
        <v>0</v>
      </c>
      <c r="BN200" t="b">
        <v>0</v>
      </c>
      <c r="BO200" t="b">
        <v>0</v>
      </c>
      <c r="BP200">
        <v>2</v>
      </c>
      <c r="BQ200">
        <v>87</v>
      </c>
      <c r="BR200">
        <v>1</v>
      </c>
      <c r="BS200">
        <v>1</v>
      </c>
      <c r="BT200" t="b">
        <v>1</v>
      </c>
      <c r="BV200">
        <v>10</v>
      </c>
      <c r="BW200">
        <v>4250</v>
      </c>
      <c r="BX200">
        <v>0</v>
      </c>
      <c r="BY200" t="s">
        <v>270</v>
      </c>
      <c r="BZ200" t="s">
        <v>270</v>
      </c>
      <c r="CA200" t="s">
        <v>270</v>
      </c>
      <c r="CB200" t="s">
        <v>273</v>
      </c>
      <c r="CC200" t="s">
        <v>1780</v>
      </c>
      <c r="CD200" t="s">
        <v>1913</v>
      </c>
      <c r="CE200" t="s">
        <v>1782</v>
      </c>
      <c r="CF200" t="s">
        <v>1829</v>
      </c>
      <c r="CG200" t="str">
        <f t="shared" si="15"/>
        <v/>
      </c>
      <c r="CH200" t="str">
        <f t="shared" si="16"/>
        <v/>
      </c>
      <c r="CI200" t="str">
        <f t="shared" si="17"/>
        <v/>
      </c>
      <c r="CJ200" t="str">
        <f t="shared" si="18"/>
        <v/>
      </c>
      <c r="CK200" t="str">
        <f t="shared" si="19"/>
        <v/>
      </c>
    </row>
    <row r="201" spans="1:89">
      <c r="A201">
        <v>76007</v>
      </c>
      <c r="B201" t="s">
        <v>1799</v>
      </c>
      <c r="C201">
        <v>13.195593833923301</v>
      </c>
      <c r="D201" t="s">
        <v>1771</v>
      </c>
      <c r="E201">
        <v>1990</v>
      </c>
      <c r="F201" t="s">
        <v>1788</v>
      </c>
      <c r="G201" t="s">
        <v>169</v>
      </c>
      <c r="H201">
        <v>98121</v>
      </c>
      <c r="I201" t="s">
        <v>1789</v>
      </c>
      <c r="J201" t="s">
        <v>1785</v>
      </c>
      <c r="K201" t="s">
        <v>1774</v>
      </c>
      <c r="L201">
        <v>83</v>
      </c>
      <c r="M201">
        <v>5</v>
      </c>
      <c r="N201">
        <v>0</v>
      </c>
      <c r="O201">
        <v>5</v>
      </c>
      <c r="P201">
        <v>0</v>
      </c>
      <c r="Q201">
        <v>46666</v>
      </c>
      <c r="R201">
        <v>40326</v>
      </c>
      <c r="S201">
        <v>10276</v>
      </c>
      <c r="T201">
        <v>0</v>
      </c>
      <c r="U201">
        <v>0</v>
      </c>
      <c r="V201">
        <v>0</v>
      </c>
      <c r="W201">
        <v>0</v>
      </c>
      <c r="X201">
        <v>83</v>
      </c>
      <c r="Y201">
        <v>6</v>
      </c>
      <c r="Z201" t="b">
        <v>1</v>
      </c>
      <c r="AA201" t="b">
        <v>1</v>
      </c>
      <c r="AB201">
        <v>9</v>
      </c>
      <c r="AC201">
        <v>118401.9765625</v>
      </c>
      <c r="AD201">
        <v>219910.03125</v>
      </c>
      <c r="AE201">
        <v>338312</v>
      </c>
      <c r="AH201">
        <v>9902.923828125</v>
      </c>
      <c r="AI201">
        <v>2144613</v>
      </c>
      <c r="AJ201" t="s">
        <v>270</v>
      </c>
      <c r="AK201">
        <v>6340</v>
      </c>
      <c r="AL201">
        <v>0</v>
      </c>
      <c r="AM201">
        <v>29</v>
      </c>
      <c r="AN201">
        <v>0</v>
      </c>
      <c r="AO201">
        <v>7</v>
      </c>
      <c r="AP201">
        <v>0</v>
      </c>
      <c r="AQ201">
        <v>34</v>
      </c>
      <c r="AR201">
        <v>30</v>
      </c>
      <c r="AS201">
        <v>0</v>
      </c>
      <c r="AT201" t="b">
        <v>0</v>
      </c>
      <c r="AU201">
        <v>4</v>
      </c>
      <c r="AV201">
        <v>4</v>
      </c>
      <c r="AW201">
        <v>1</v>
      </c>
      <c r="AX201" t="b">
        <v>0</v>
      </c>
      <c r="AY201" t="b">
        <v>0</v>
      </c>
      <c r="AZ201" t="b">
        <v>1</v>
      </c>
      <c r="BA201" t="b">
        <v>1</v>
      </c>
      <c r="BB201" t="s">
        <v>270</v>
      </c>
      <c r="BC201" t="s">
        <v>270</v>
      </c>
      <c r="BD201" t="s">
        <v>270</v>
      </c>
      <c r="BE201" t="s">
        <v>1775</v>
      </c>
      <c r="BF201" t="s">
        <v>1776</v>
      </c>
      <c r="BG201" t="s">
        <v>1777</v>
      </c>
      <c r="BH201" t="s">
        <v>1778</v>
      </c>
      <c r="BI201" t="s">
        <v>1812</v>
      </c>
      <c r="BJ201" t="b">
        <v>1</v>
      </c>
      <c r="BK201" t="b">
        <v>1</v>
      </c>
      <c r="BL201" t="b">
        <v>1</v>
      </c>
      <c r="BM201" t="b">
        <v>0</v>
      </c>
      <c r="BN201" t="b">
        <v>0</v>
      </c>
      <c r="BO201" t="b">
        <v>0</v>
      </c>
      <c r="BP201">
        <v>1</v>
      </c>
      <c r="BQ201">
        <v>89</v>
      </c>
      <c r="BR201">
        <v>1</v>
      </c>
      <c r="BS201">
        <v>1</v>
      </c>
      <c r="BT201" t="b">
        <v>1</v>
      </c>
      <c r="BV201">
        <v>7</v>
      </c>
      <c r="BW201">
        <v>2975</v>
      </c>
      <c r="BX201">
        <v>0</v>
      </c>
      <c r="BY201" t="s">
        <v>270</v>
      </c>
      <c r="BZ201" t="s">
        <v>270</v>
      </c>
      <c r="CA201" t="s">
        <v>270</v>
      </c>
      <c r="CB201" t="s">
        <v>273</v>
      </c>
      <c r="CC201" t="s">
        <v>1787</v>
      </c>
      <c r="CD201" t="s">
        <v>1781</v>
      </c>
      <c r="CE201" t="s">
        <v>1795</v>
      </c>
      <c r="CF201" t="s">
        <v>1783</v>
      </c>
      <c r="CG201" t="str">
        <f t="shared" si="15"/>
        <v/>
      </c>
      <c r="CH201" t="str">
        <f t="shared" si="16"/>
        <v/>
      </c>
      <c r="CI201" t="str">
        <f t="shared" si="17"/>
        <v/>
      </c>
      <c r="CJ201" t="str">
        <f t="shared" si="18"/>
        <v/>
      </c>
      <c r="CK201" t="str">
        <f t="shared" si="19"/>
        <v/>
      </c>
    </row>
    <row r="202" spans="1:89">
      <c r="A202">
        <v>76008</v>
      </c>
      <c r="B202" t="s">
        <v>1839</v>
      </c>
      <c r="C202">
        <v>12.169268608093301</v>
      </c>
      <c r="D202" t="s">
        <v>1806</v>
      </c>
      <c r="E202">
        <v>2004</v>
      </c>
      <c r="F202" t="s">
        <v>1788</v>
      </c>
      <c r="G202" t="s">
        <v>169</v>
      </c>
      <c r="H202">
        <v>98102</v>
      </c>
      <c r="I202" t="s">
        <v>1789</v>
      </c>
      <c r="J202" t="s">
        <v>1785</v>
      </c>
      <c r="K202" t="s">
        <v>1774</v>
      </c>
      <c r="L202">
        <v>90</v>
      </c>
      <c r="M202">
        <v>6</v>
      </c>
      <c r="N202">
        <v>1</v>
      </c>
      <c r="O202">
        <v>7</v>
      </c>
      <c r="P202">
        <v>0</v>
      </c>
      <c r="Q202">
        <v>54000</v>
      </c>
      <c r="R202">
        <v>50250</v>
      </c>
      <c r="S202">
        <v>5840</v>
      </c>
      <c r="T202">
        <v>0</v>
      </c>
      <c r="U202">
        <v>0</v>
      </c>
      <c r="V202">
        <v>14</v>
      </c>
      <c r="W202">
        <v>18</v>
      </c>
      <c r="X202">
        <v>58</v>
      </c>
      <c r="Y202">
        <v>1.1100000143051101</v>
      </c>
      <c r="Z202" t="b">
        <v>1</v>
      </c>
      <c r="AA202" t="b">
        <v>1</v>
      </c>
      <c r="AB202">
        <v>8.5</v>
      </c>
      <c r="AC202">
        <v>1064.96716308594</v>
      </c>
      <c r="AD202">
        <v>399961.71875</v>
      </c>
      <c r="AE202">
        <v>401026.6875</v>
      </c>
      <c r="AH202">
        <v>287.55505371093801</v>
      </c>
      <c r="AI202">
        <v>1397058.625</v>
      </c>
      <c r="AJ202" t="s">
        <v>270</v>
      </c>
      <c r="AK202">
        <v>3750</v>
      </c>
      <c r="AL202">
        <v>30</v>
      </c>
      <c r="AM202">
        <v>0</v>
      </c>
      <c r="AN202">
        <v>26</v>
      </c>
      <c r="AO202">
        <v>0</v>
      </c>
      <c r="AP202">
        <v>10</v>
      </c>
      <c r="AQ202">
        <v>0</v>
      </c>
      <c r="AR202">
        <v>0</v>
      </c>
      <c r="AS202">
        <v>34</v>
      </c>
      <c r="AT202" t="b">
        <v>1</v>
      </c>
      <c r="AU202">
        <v>0</v>
      </c>
      <c r="AV202">
        <v>0</v>
      </c>
      <c r="AW202">
        <v>1</v>
      </c>
      <c r="AX202" t="b">
        <v>0</v>
      </c>
      <c r="AY202" t="b">
        <v>0</v>
      </c>
      <c r="AZ202" t="b">
        <v>1</v>
      </c>
      <c r="BA202" t="b">
        <v>1</v>
      </c>
      <c r="BB202" t="s">
        <v>270</v>
      </c>
      <c r="BC202" t="s">
        <v>273</v>
      </c>
      <c r="BD202" t="s">
        <v>270</v>
      </c>
      <c r="BE202" t="s">
        <v>1775</v>
      </c>
      <c r="BF202" t="s">
        <v>1776</v>
      </c>
      <c r="BG202" t="s">
        <v>1777</v>
      </c>
      <c r="BH202" t="s">
        <v>1778</v>
      </c>
      <c r="BI202" t="s">
        <v>1779</v>
      </c>
      <c r="BJ202" t="b">
        <v>1</v>
      </c>
      <c r="BK202" t="b">
        <v>1</v>
      </c>
      <c r="BL202" t="b">
        <v>1</v>
      </c>
      <c r="BM202" t="b">
        <v>0</v>
      </c>
      <c r="BN202" t="b">
        <v>0</v>
      </c>
      <c r="BO202" t="b">
        <v>0</v>
      </c>
      <c r="BP202">
        <v>2</v>
      </c>
      <c r="BQ202">
        <v>93</v>
      </c>
      <c r="BR202">
        <v>1</v>
      </c>
      <c r="BS202">
        <v>1</v>
      </c>
      <c r="BT202" t="b">
        <v>1</v>
      </c>
      <c r="BU202">
        <v>0</v>
      </c>
      <c r="BV202">
        <v>119</v>
      </c>
      <c r="BW202">
        <v>45000</v>
      </c>
      <c r="BX202">
        <v>3</v>
      </c>
      <c r="BY202" t="s">
        <v>273</v>
      </c>
      <c r="BZ202" t="s">
        <v>270</v>
      </c>
      <c r="CA202" t="s">
        <v>270</v>
      </c>
      <c r="CB202" t="s">
        <v>270</v>
      </c>
      <c r="CC202" t="s">
        <v>1780</v>
      </c>
      <c r="CD202" t="s">
        <v>1781</v>
      </c>
      <c r="CE202" t="s">
        <v>1801</v>
      </c>
      <c r="CF202" t="s">
        <v>1783</v>
      </c>
      <c r="CG202" t="str">
        <f t="shared" si="15"/>
        <v/>
      </c>
      <c r="CH202" t="str">
        <f t="shared" si="16"/>
        <v/>
      </c>
      <c r="CI202" t="str">
        <f t="shared" si="17"/>
        <v/>
      </c>
      <c r="CJ202" t="str">
        <f t="shared" si="18"/>
        <v/>
      </c>
      <c r="CK202" t="str">
        <f t="shared" si="19"/>
        <v/>
      </c>
    </row>
    <row r="203" spans="1:89">
      <c r="A203">
        <v>76009</v>
      </c>
      <c r="B203" t="s">
        <v>1770</v>
      </c>
      <c r="C203">
        <v>16.346778869628899</v>
      </c>
      <c r="D203" t="s">
        <v>1792</v>
      </c>
      <c r="E203">
        <v>1970</v>
      </c>
      <c r="F203" t="s">
        <v>1837</v>
      </c>
      <c r="G203" t="s">
        <v>169</v>
      </c>
      <c r="H203">
        <v>98146</v>
      </c>
      <c r="I203" t="s">
        <v>1789</v>
      </c>
      <c r="J203" t="s">
        <v>1785</v>
      </c>
      <c r="K203" t="s">
        <v>1774</v>
      </c>
      <c r="L203">
        <v>67</v>
      </c>
      <c r="M203">
        <v>3</v>
      </c>
      <c r="N203">
        <v>0</v>
      </c>
      <c r="O203">
        <v>3</v>
      </c>
      <c r="P203">
        <v>0</v>
      </c>
      <c r="Q203">
        <v>48606</v>
      </c>
      <c r="R203">
        <v>48606</v>
      </c>
      <c r="S203">
        <v>9781</v>
      </c>
      <c r="T203">
        <v>0</v>
      </c>
      <c r="U203">
        <v>0</v>
      </c>
      <c r="V203">
        <v>0</v>
      </c>
      <c r="W203">
        <v>67</v>
      </c>
      <c r="X203">
        <v>0</v>
      </c>
      <c r="Y203">
        <v>0</v>
      </c>
      <c r="Z203" t="b">
        <v>0</v>
      </c>
      <c r="AA203" t="b">
        <v>1</v>
      </c>
      <c r="AB203">
        <v>8</v>
      </c>
      <c r="AC203">
        <v>412712.90625</v>
      </c>
      <c r="AD203">
        <v>208407.875</v>
      </c>
      <c r="AE203">
        <v>621120.75</v>
      </c>
      <c r="AH203">
        <v>5595.447265625</v>
      </c>
      <c r="AI203">
        <v>2678808.75</v>
      </c>
      <c r="AJ203" t="s">
        <v>270</v>
      </c>
      <c r="AK203">
        <v>0</v>
      </c>
      <c r="AL203">
        <v>13</v>
      </c>
      <c r="AM203">
        <v>0</v>
      </c>
      <c r="AN203">
        <v>32</v>
      </c>
      <c r="AO203">
        <v>0</v>
      </c>
      <c r="AP203">
        <v>37</v>
      </c>
      <c r="AQ203">
        <v>0</v>
      </c>
      <c r="AR203">
        <v>0</v>
      </c>
      <c r="AS203">
        <v>18</v>
      </c>
      <c r="AT203" t="b">
        <v>0</v>
      </c>
      <c r="AU203">
        <v>4</v>
      </c>
      <c r="AV203">
        <v>4</v>
      </c>
      <c r="AW203">
        <v>1</v>
      </c>
      <c r="AX203" t="b">
        <v>0</v>
      </c>
      <c r="AY203" t="b">
        <v>0</v>
      </c>
      <c r="AZ203" t="b">
        <v>1</v>
      </c>
      <c r="BA203" t="b">
        <v>1</v>
      </c>
      <c r="BB203" t="s">
        <v>270</v>
      </c>
      <c r="BC203" t="s">
        <v>270</v>
      </c>
      <c r="BD203" t="s">
        <v>270</v>
      </c>
      <c r="BE203" t="s">
        <v>1775</v>
      </c>
      <c r="BF203" t="s">
        <v>1776</v>
      </c>
      <c r="BG203" t="s">
        <v>1777</v>
      </c>
      <c r="BH203" t="s">
        <v>1778</v>
      </c>
      <c r="BI203" t="s">
        <v>1812</v>
      </c>
      <c r="BJ203" t="b">
        <v>1</v>
      </c>
      <c r="BK203" t="b">
        <v>1</v>
      </c>
      <c r="BL203" t="b">
        <v>1</v>
      </c>
      <c r="BM203" t="b">
        <v>0</v>
      </c>
      <c r="BN203" t="b">
        <v>0</v>
      </c>
      <c r="BO203" t="b">
        <v>0</v>
      </c>
      <c r="BP203">
        <v>1</v>
      </c>
      <c r="BQ203">
        <v>70</v>
      </c>
      <c r="BR203">
        <v>1</v>
      </c>
      <c r="BS203">
        <v>1</v>
      </c>
      <c r="BT203" t="b">
        <v>1</v>
      </c>
      <c r="BV203">
        <v>26</v>
      </c>
      <c r="BW203">
        <v>11050</v>
      </c>
      <c r="BX203">
        <v>0</v>
      </c>
      <c r="BY203" t="s">
        <v>270</v>
      </c>
      <c r="BZ203" t="s">
        <v>270</v>
      </c>
      <c r="CA203" t="s">
        <v>270</v>
      </c>
      <c r="CB203" t="s">
        <v>273</v>
      </c>
      <c r="CC203" t="s">
        <v>1840</v>
      </c>
      <c r="CD203" t="s">
        <v>1841</v>
      </c>
      <c r="CE203" t="s">
        <v>1782</v>
      </c>
      <c r="CF203" t="s">
        <v>1903</v>
      </c>
      <c r="CG203">
        <f t="shared" si="15"/>
        <v>16.346778869628899</v>
      </c>
      <c r="CH203">
        <f t="shared" si="16"/>
        <v>48606</v>
      </c>
      <c r="CI203">
        <f t="shared" si="17"/>
        <v>3</v>
      </c>
      <c r="CJ203">
        <f t="shared" si="18"/>
        <v>794551.53373718227</v>
      </c>
      <c r="CK203">
        <f t="shared" si="19"/>
        <v>49.040336608886697</v>
      </c>
    </row>
    <row r="204" spans="1:89">
      <c r="A204">
        <v>76010</v>
      </c>
      <c r="B204" t="s">
        <v>1770</v>
      </c>
      <c r="C204">
        <v>16.106386184692401</v>
      </c>
      <c r="D204" t="s">
        <v>1792</v>
      </c>
      <c r="E204">
        <v>1965</v>
      </c>
      <c r="F204" t="s">
        <v>1788</v>
      </c>
      <c r="G204" t="s">
        <v>169</v>
      </c>
      <c r="H204">
        <v>98125</v>
      </c>
      <c r="I204" t="s">
        <v>1789</v>
      </c>
      <c r="J204" t="s">
        <v>1785</v>
      </c>
      <c r="K204" t="s">
        <v>1774</v>
      </c>
      <c r="L204">
        <v>68</v>
      </c>
      <c r="M204">
        <v>3</v>
      </c>
      <c r="N204">
        <v>1</v>
      </c>
      <c r="O204">
        <v>3</v>
      </c>
      <c r="P204">
        <v>0</v>
      </c>
      <c r="Q204">
        <v>70224</v>
      </c>
      <c r="R204">
        <v>64577</v>
      </c>
      <c r="S204">
        <v>12775</v>
      </c>
      <c r="T204">
        <v>0</v>
      </c>
      <c r="U204">
        <v>0</v>
      </c>
      <c r="V204">
        <v>9</v>
      </c>
      <c r="W204">
        <v>57</v>
      </c>
      <c r="X204">
        <v>2</v>
      </c>
      <c r="Y204">
        <v>2</v>
      </c>
      <c r="Z204" t="b">
        <v>1</v>
      </c>
      <c r="AA204" t="b">
        <v>1</v>
      </c>
      <c r="AB204">
        <v>8</v>
      </c>
      <c r="AC204">
        <v>85642.3125</v>
      </c>
      <c r="AD204">
        <v>438207.71875</v>
      </c>
      <c r="AE204">
        <v>523850.03125</v>
      </c>
      <c r="AH204">
        <v>11260.326171875</v>
      </c>
      <c r="AI204">
        <v>2913409</v>
      </c>
      <c r="AJ204" t="s">
        <v>270</v>
      </c>
      <c r="AK204">
        <v>5647</v>
      </c>
      <c r="AL204">
        <v>44</v>
      </c>
      <c r="AM204">
        <v>0</v>
      </c>
      <c r="AN204">
        <v>13</v>
      </c>
      <c r="AO204">
        <v>0</v>
      </c>
      <c r="AP204">
        <v>10</v>
      </c>
      <c r="AQ204">
        <v>0</v>
      </c>
      <c r="AR204">
        <v>0</v>
      </c>
      <c r="AS204">
        <v>33</v>
      </c>
      <c r="AT204" t="b">
        <v>1</v>
      </c>
      <c r="AU204">
        <v>4</v>
      </c>
      <c r="AV204">
        <v>4</v>
      </c>
      <c r="AW204">
        <v>1</v>
      </c>
      <c r="AX204" t="b">
        <v>0</v>
      </c>
      <c r="AY204" t="b">
        <v>1</v>
      </c>
      <c r="AZ204" t="b">
        <v>1</v>
      </c>
      <c r="BA204" t="b">
        <v>1</v>
      </c>
      <c r="BB204" t="s">
        <v>270</v>
      </c>
      <c r="BC204" t="s">
        <v>270</v>
      </c>
      <c r="BD204" t="s">
        <v>270</v>
      </c>
      <c r="BE204" t="s">
        <v>1775</v>
      </c>
      <c r="BF204" t="s">
        <v>1776</v>
      </c>
      <c r="BG204" t="s">
        <v>1777</v>
      </c>
      <c r="BH204" t="s">
        <v>1778</v>
      </c>
      <c r="BI204" t="s">
        <v>1790</v>
      </c>
      <c r="BJ204" t="b">
        <v>1</v>
      </c>
      <c r="BK204" t="b">
        <v>1</v>
      </c>
      <c r="BL204" t="b">
        <v>1</v>
      </c>
      <c r="BM204" t="b">
        <v>0</v>
      </c>
      <c r="BN204" t="b">
        <v>0</v>
      </c>
      <c r="BO204" t="b">
        <v>0</v>
      </c>
      <c r="BP204">
        <v>8</v>
      </c>
      <c r="BQ204">
        <v>70</v>
      </c>
      <c r="BR204">
        <v>1</v>
      </c>
      <c r="BS204">
        <v>3</v>
      </c>
      <c r="BT204" t="b">
        <v>1</v>
      </c>
      <c r="BU204">
        <v>0</v>
      </c>
      <c r="BV204">
        <v>85</v>
      </c>
      <c r="BW204">
        <v>34939</v>
      </c>
      <c r="BX204">
        <v>1</v>
      </c>
      <c r="BY204" t="s">
        <v>270</v>
      </c>
      <c r="BZ204" t="s">
        <v>273</v>
      </c>
      <c r="CA204" t="s">
        <v>270</v>
      </c>
      <c r="CB204" t="s">
        <v>273</v>
      </c>
      <c r="CC204" t="s">
        <v>1780</v>
      </c>
      <c r="CD204" t="s">
        <v>1781</v>
      </c>
      <c r="CE204" t="s">
        <v>1782</v>
      </c>
      <c r="CF204" t="s">
        <v>1783</v>
      </c>
      <c r="CG204">
        <f t="shared" si="15"/>
        <v>16.106386184692401</v>
      </c>
      <c r="CH204">
        <f t="shared" si="16"/>
        <v>70224</v>
      </c>
      <c r="CI204">
        <f t="shared" si="17"/>
        <v>3</v>
      </c>
      <c r="CJ204">
        <f t="shared" si="18"/>
        <v>1131054.8634338391</v>
      </c>
      <c r="CK204">
        <f t="shared" si="19"/>
        <v>48.319158554077205</v>
      </c>
    </row>
    <row r="205" spans="1:89">
      <c r="A205">
        <v>76011</v>
      </c>
      <c r="B205" t="s">
        <v>1839</v>
      </c>
      <c r="C205">
        <v>12.169268608093301</v>
      </c>
      <c r="D205" t="s">
        <v>1806</v>
      </c>
      <c r="E205">
        <v>2005</v>
      </c>
      <c r="F205" t="s">
        <v>1788</v>
      </c>
      <c r="G205" t="s">
        <v>169</v>
      </c>
      <c r="H205">
        <v>98104</v>
      </c>
      <c r="I205" t="s">
        <v>1789</v>
      </c>
      <c r="J205" t="s">
        <v>1785</v>
      </c>
      <c r="K205" t="s">
        <v>1774</v>
      </c>
      <c r="L205">
        <v>90</v>
      </c>
      <c r="M205">
        <v>7</v>
      </c>
      <c r="N205">
        <v>0</v>
      </c>
      <c r="O205">
        <v>7</v>
      </c>
      <c r="P205">
        <v>0</v>
      </c>
      <c r="Q205">
        <v>67319</v>
      </c>
      <c r="R205">
        <v>67319</v>
      </c>
      <c r="S205">
        <v>15385</v>
      </c>
      <c r="T205">
        <v>0</v>
      </c>
      <c r="U205">
        <v>0</v>
      </c>
      <c r="V205">
        <v>60</v>
      </c>
      <c r="W205">
        <v>30</v>
      </c>
      <c r="X205">
        <v>0</v>
      </c>
      <c r="Y205">
        <v>0</v>
      </c>
      <c r="Z205" t="b">
        <v>0</v>
      </c>
      <c r="AA205" t="b">
        <v>1</v>
      </c>
      <c r="AB205">
        <v>8</v>
      </c>
      <c r="AC205">
        <v>262575.28125</v>
      </c>
      <c r="AD205">
        <v>518258.75</v>
      </c>
      <c r="AE205">
        <v>780834</v>
      </c>
      <c r="AH205">
        <v>7277.412109375</v>
      </c>
      <c r="AI205">
        <v>3391946.75</v>
      </c>
      <c r="AJ205" t="s">
        <v>270</v>
      </c>
      <c r="AK205">
        <v>0</v>
      </c>
      <c r="AL205">
        <v>22</v>
      </c>
      <c r="AM205">
        <v>0</v>
      </c>
      <c r="AN205">
        <v>14</v>
      </c>
      <c r="AO205">
        <v>0</v>
      </c>
      <c r="AP205">
        <v>39</v>
      </c>
      <c r="AQ205">
        <v>0</v>
      </c>
      <c r="AR205">
        <v>0</v>
      </c>
      <c r="AS205">
        <v>25</v>
      </c>
      <c r="AT205" t="b">
        <v>0</v>
      </c>
      <c r="AU205">
        <v>4</v>
      </c>
      <c r="AV205">
        <v>4</v>
      </c>
      <c r="AW205">
        <v>1</v>
      </c>
      <c r="AX205" t="b">
        <v>0</v>
      </c>
      <c r="AY205" t="b">
        <v>1</v>
      </c>
      <c r="AZ205" t="b">
        <v>1</v>
      </c>
      <c r="BA205" t="b">
        <v>0</v>
      </c>
      <c r="BB205" t="s">
        <v>270</v>
      </c>
      <c r="BC205" t="s">
        <v>273</v>
      </c>
      <c r="BD205" t="s">
        <v>270</v>
      </c>
      <c r="BE205" t="s">
        <v>1775</v>
      </c>
      <c r="BF205" t="s">
        <v>1776</v>
      </c>
      <c r="BG205" t="s">
        <v>1777</v>
      </c>
      <c r="BH205" t="s">
        <v>1778</v>
      </c>
      <c r="BI205" t="s">
        <v>1812</v>
      </c>
      <c r="BJ205" t="b">
        <v>1</v>
      </c>
      <c r="BK205" t="b">
        <v>1</v>
      </c>
      <c r="BL205" t="b">
        <v>1</v>
      </c>
      <c r="BM205" t="b">
        <v>0</v>
      </c>
      <c r="BN205" t="b">
        <v>0</v>
      </c>
      <c r="BO205" t="b">
        <v>0</v>
      </c>
      <c r="BP205">
        <v>1</v>
      </c>
      <c r="BQ205">
        <v>92</v>
      </c>
      <c r="BR205">
        <v>1</v>
      </c>
      <c r="BS205">
        <v>1</v>
      </c>
      <c r="BT205" t="b">
        <v>1</v>
      </c>
      <c r="BU205">
        <v>0</v>
      </c>
      <c r="BV205">
        <v>42</v>
      </c>
      <c r="BW205">
        <v>8938</v>
      </c>
      <c r="BX205">
        <v>2</v>
      </c>
      <c r="BY205" t="s">
        <v>273</v>
      </c>
      <c r="BZ205" t="s">
        <v>270</v>
      </c>
      <c r="CA205" t="s">
        <v>270</v>
      </c>
      <c r="CB205" t="s">
        <v>270</v>
      </c>
      <c r="CC205" t="s">
        <v>1780</v>
      </c>
      <c r="CD205" t="s">
        <v>1781</v>
      </c>
      <c r="CE205" t="s">
        <v>1801</v>
      </c>
      <c r="CF205" t="s">
        <v>1783</v>
      </c>
      <c r="CG205" t="str">
        <f t="shared" si="15"/>
        <v/>
      </c>
      <c r="CH205" t="str">
        <f t="shared" si="16"/>
        <v/>
      </c>
      <c r="CI205" t="str">
        <f t="shared" si="17"/>
        <v/>
      </c>
      <c r="CJ205" t="str">
        <f t="shared" si="18"/>
        <v/>
      </c>
      <c r="CK205" t="str">
        <f t="shared" si="19"/>
        <v/>
      </c>
    </row>
    <row r="206" spans="1:89">
      <c r="A206">
        <v>76012</v>
      </c>
      <c r="B206" t="s">
        <v>1799</v>
      </c>
      <c r="C206">
        <v>12.445842742919901</v>
      </c>
      <c r="D206" t="s">
        <v>1806</v>
      </c>
      <c r="E206">
        <v>2007</v>
      </c>
      <c r="F206" t="s">
        <v>1910</v>
      </c>
      <c r="G206" t="s">
        <v>169</v>
      </c>
      <c r="H206">
        <v>98155</v>
      </c>
      <c r="I206" t="s">
        <v>1789</v>
      </c>
      <c r="K206" t="s">
        <v>1774</v>
      </c>
      <c r="L206">
        <v>88</v>
      </c>
      <c r="M206">
        <v>5</v>
      </c>
      <c r="N206">
        <v>0</v>
      </c>
      <c r="O206">
        <v>5</v>
      </c>
      <c r="P206">
        <v>0</v>
      </c>
      <c r="Q206">
        <v>96624</v>
      </c>
      <c r="R206">
        <v>96624</v>
      </c>
      <c r="S206">
        <v>15934</v>
      </c>
      <c r="T206">
        <v>0</v>
      </c>
      <c r="U206">
        <v>38</v>
      </c>
      <c r="V206">
        <v>33</v>
      </c>
      <c r="W206">
        <v>7</v>
      </c>
      <c r="X206">
        <v>10</v>
      </c>
      <c r="Y206">
        <v>5</v>
      </c>
      <c r="Z206" t="b">
        <v>0</v>
      </c>
      <c r="AA206" t="b">
        <v>1</v>
      </c>
      <c r="AB206">
        <v>8</v>
      </c>
      <c r="AC206">
        <v>98610.65625</v>
      </c>
      <c r="AD206">
        <v>635775.25</v>
      </c>
      <c r="AE206">
        <v>734385.875</v>
      </c>
      <c r="AI206">
        <v>2505724.5</v>
      </c>
      <c r="AJ206" t="s">
        <v>270</v>
      </c>
      <c r="AK206">
        <v>0</v>
      </c>
      <c r="AL206">
        <v>19</v>
      </c>
      <c r="AM206">
        <v>0</v>
      </c>
      <c r="AN206">
        <v>40</v>
      </c>
      <c r="AO206">
        <v>0</v>
      </c>
      <c r="AP206">
        <v>19</v>
      </c>
      <c r="AQ206">
        <v>0</v>
      </c>
      <c r="AR206">
        <v>0</v>
      </c>
      <c r="AS206">
        <v>22</v>
      </c>
      <c r="AT206" t="b">
        <v>1</v>
      </c>
      <c r="AU206">
        <v>0</v>
      </c>
      <c r="AV206">
        <v>0</v>
      </c>
      <c r="AW206">
        <v>2</v>
      </c>
      <c r="AX206" t="b">
        <v>0</v>
      </c>
      <c r="AY206" t="b">
        <v>1</v>
      </c>
      <c r="AZ206" t="b">
        <v>1</v>
      </c>
      <c r="BA206" t="b">
        <v>1</v>
      </c>
      <c r="BB206" t="s">
        <v>270</v>
      </c>
      <c r="BC206" t="s">
        <v>273</v>
      </c>
      <c r="BD206" t="s">
        <v>270</v>
      </c>
      <c r="BE206" t="s">
        <v>1775</v>
      </c>
      <c r="BF206" t="s">
        <v>1776</v>
      </c>
      <c r="BG206" t="s">
        <v>1777</v>
      </c>
      <c r="BH206" t="s">
        <v>1778</v>
      </c>
      <c r="BI206" t="s">
        <v>1790</v>
      </c>
      <c r="BJ206" t="b">
        <v>0</v>
      </c>
      <c r="BK206" t="b">
        <v>1</v>
      </c>
      <c r="BL206" t="b">
        <v>0</v>
      </c>
      <c r="BM206" t="b">
        <v>0</v>
      </c>
      <c r="BN206" t="b">
        <v>0</v>
      </c>
      <c r="BO206" t="b">
        <v>0</v>
      </c>
      <c r="BP206">
        <v>1</v>
      </c>
      <c r="BQ206">
        <v>89</v>
      </c>
      <c r="BR206">
        <v>0</v>
      </c>
      <c r="BS206">
        <v>0</v>
      </c>
      <c r="BT206" t="b">
        <v>1</v>
      </c>
      <c r="BU206">
        <v>0</v>
      </c>
      <c r="BV206">
        <v>99</v>
      </c>
      <c r="BW206">
        <v>39717</v>
      </c>
      <c r="BX206">
        <v>1</v>
      </c>
      <c r="BY206" t="s">
        <v>273</v>
      </c>
      <c r="BZ206" t="s">
        <v>270</v>
      </c>
      <c r="CA206" t="s">
        <v>270</v>
      </c>
      <c r="CB206" t="s">
        <v>273</v>
      </c>
      <c r="CC206" t="s">
        <v>1780</v>
      </c>
      <c r="CD206" t="s">
        <v>1781</v>
      </c>
      <c r="CE206" t="s">
        <v>1782</v>
      </c>
      <c r="CF206" t="s">
        <v>1783</v>
      </c>
      <c r="CG206" t="str">
        <f t="shared" si="15"/>
        <v/>
      </c>
      <c r="CH206" t="str">
        <f t="shared" si="16"/>
        <v/>
      </c>
      <c r="CI206" t="str">
        <f t="shared" si="17"/>
        <v/>
      </c>
      <c r="CJ206" t="str">
        <f t="shared" si="18"/>
        <v/>
      </c>
      <c r="CK206" t="str">
        <f t="shared" si="19"/>
        <v/>
      </c>
    </row>
    <row r="207" spans="1:89">
      <c r="A207">
        <v>76013</v>
      </c>
      <c r="B207" t="s">
        <v>1799</v>
      </c>
      <c r="C207">
        <v>14.2238216400146</v>
      </c>
      <c r="D207" t="s">
        <v>1806</v>
      </c>
      <c r="E207">
        <v>2006</v>
      </c>
      <c r="F207" t="s">
        <v>1788</v>
      </c>
      <c r="G207" t="s">
        <v>169</v>
      </c>
      <c r="H207">
        <v>98105</v>
      </c>
      <c r="I207" t="s">
        <v>1789</v>
      </c>
      <c r="K207" t="s">
        <v>1774</v>
      </c>
      <c r="L207">
        <v>77</v>
      </c>
      <c r="M207">
        <v>6</v>
      </c>
      <c r="N207">
        <v>1</v>
      </c>
      <c r="O207">
        <v>6</v>
      </c>
      <c r="P207">
        <v>1</v>
      </c>
      <c r="Q207">
        <v>67550</v>
      </c>
      <c r="R207">
        <v>65305</v>
      </c>
      <c r="S207">
        <v>11016</v>
      </c>
      <c r="T207">
        <v>0</v>
      </c>
      <c r="U207">
        <v>0</v>
      </c>
      <c r="V207">
        <v>10</v>
      </c>
      <c r="W207">
        <v>47</v>
      </c>
      <c r="X207">
        <v>20</v>
      </c>
      <c r="Y207">
        <v>3.9000000953674299</v>
      </c>
      <c r="Z207" t="b">
        <v>1</v>
      </c>
      <c r="AA207" t="b">
        <v>1</v>
      </c>
      <c r="AB207">
        <v>9</v>
      </c>
      <c r="AC207">
        <v>213019.734375</v>
      </c>
      <c r="AD207">
        <v>395031.125</v>
      </c>
      <c r="AE207">
        <v>608050.875</v>
      </c>
      <c r="AI207">
        <v>2074669.625</v>
      </c>
      <c r="AJ207" t="s">
        <v>270</v>
      </c>
      <c r="AK207">
        <v>3127</v>
      </c>
      <c r="AL207">
        <v>34</v>
      </c>
      <c r="AM207">
        <v>2</v>
      </c>
      <c r="AN207">
        <v>21</v>
      </c>
      <c r="AO207">
        <v>0</v>
      </c>
      <c r="AP207">
        <v>10</v>
      </c>
      <c r="AQ207">
        <v>1</v>
      </c>
      <c r="AR207">
        <v>0</v>
      </c>
      <c r="AS207">
        <v>32</v>
      </c>
      <c r="AT207" t="b">
        <v>0</v>
      </c>
      <c r="AU207">
        <v>0</v>
      </c>
      <c r="AV207">
        <v>0</v>
      </c>
      <c r="AW207">
        <v>1</v>
      </c>
      <c r="AX207" t="b">
        <v>0</v>
      </c>
      <c r="AY207" t="b">
        <v>0</v>
      </c>
      <c r="AZ207" t="b">
        <v>1</v>
      </c>
      <c r="BA207" t="b">
        <v>1</v>
      </c>
      <c r="BB207" t="s">
        <v>273</v>
      </c>
      <c r="BC207" t="s">
        <v>273</v>
      </c>
      <c r="BD207" t="s">
        <v>270</v>
      </c>
      <c r="BE207" t="s">
        <v>1775</v>
      </c>
      <c r="BF207" t="s">
        <v>1776</v>
      </c>
      <c r="BG207" t="s">
        <v>1777</v>
      </c>
      <c r="BH207" t="s">
        <v>1778</v>
      </c>
      <c r="BI207" t="s">
        <v>1790</v>
      </c>
      <c r="BJ207" t="b">
        <v>0</v>
      </c>
      <c r="BK207" t="b">
        <v>1</v>
      </c>
      <c r="BL207" t="b">
        <v>0</v>
      </c>
      <c r="BM207" t="b">
        <v>0</v>
      </c>
      <c r="BN207" t="b">
        <v>0</v>
      </c>
      <c r="BO207" t="b">
        <v>0</v>
      </c>
      <c r="BP207">
        <v>1</v>
      </c>
      <c r="BQ207">
        <v>81</v>
      </c>
      <c r="BR207">
        <v>0</v>
      </c>
      <c r="BS207">
        <v>0</v>
      </c>
      <c r="BT207" t="b">
        <v>1</v>
      </c>
      <c r="BU207">
        <v>0</v>
      </c>
      <c r="BV207">
        <v>66</v>
      </c>
      <c r="BW207">
        <v>23637</v>
      </c>
      <c r="BX207">
        <v>2</v>
      </c>
      <c r="BY207" t="s">
        <v>273</v>
      </c>
      <c r="BZ207" t="s">
        <v>270</v>
      </c>
      <c r="CA207" t="s">
        <v>270</v>
      </c>
      <c r="CB207" t="s">
        <v>270</v>
      </c>
      <c r="CC207" t="s">
        <v>1780</v>
      </c>
      <c r="CD207" t="s">
        <v>1781</v>
      </c>
      <c r="CE207" t="s">
        <v>1801</v>
      </c>
      <c r="CF207" t="s">
        <v>1783</v>
      </c>
      <c r="CG207" t="str">
        <f t="shared" si="15"/>
        <v/>
      </c>
      <c r="CH207" t="str">
        <f t="shared" si="16"/>
        <v/>
      </c>
      <c r="CI207" t="str">
        <f t="shared" si="17"/>
        <v/>
      </c>
      <c r="CJ207" t="str">
        <f t="shared" si="18"/>
        <v/>
      </c>
      <c r="CK207" t="str">
        <f t="shared" si="19"/>
        <v/>
      </c>
    </row>
    <row r="208" spans="1:89">
      <c r="A208">
        <v>77001</v>
      </c>
      <c r="B208" t="s">
        <v>1799</v>
      </c>
      <c r="C208">
        <v>8.6923351287841797</v>
      </c>
      <c r="D208" t="s">
        <v>1808</v>
      </c>
      <c r="E208">
        <v>2000</v>
      </c>
      <c r="F208" t="s">
        <v>1788</v>
      </c>
      <c r="G208" t="s">
        <v>169</v>
      </c>
      <c r="H208">
        <v>98109</v>
      </c>
      <c r="I208" t="s">
        <v>1789</v>
      </c>
      <c r="J208" t="s">
        <v>1785</v>
      </c>
      <c r="K208" t="s">
        <v>1774</v>
      </c>
      <c r="L208">
        <v>126</v>
      </c>
      <c r="M208">
        <v>6</v>
      </c>
      <c r="N208">
        <v>1</v>
      </c>
      <c r="O208">
        <v>6</v>
      </c>
      <c r="P208">
        <v>1</v>
      </c>
      <c r="Q208">
        <v>68215</v>
      </c>
      <c r="R208">
        <v>63155</v>
      </c>
      <c r="S208">
        <v>11661</v>
      </c>
      <c r="T208">
        <v>0</v>
      </c>
      <c r="U208">
        <v>0</v>
      </c>
      <c r="V208">
        <v>0</v>
      </c>
      <c r="W208">
        <v>25</v>
      </c>
      <c r="X208">
        <v>101</v>
      </c>
      <c r="Y208">
        <v>3.1700000762939502</v>
      </c>
      <c r="Z208" t="b">
        <v>1</v>
      </c>
      <c r="AA208" t="b">
        <v>1</v>
      </c>
      <c r="AB208">
        <v>9</v>
      </c>
      <c r="AC208">
        <v>251806.765625</v>
      </c>
      <c r="AD208">
        <v>545611.8125</v>
      </c>
      <c r="AE208">
        <v>797418.5625</v>
      </c>
      <c r="AH208">
        <v>9818.4521484375</v>
      </c>
      <c r="AI208">
        <v>3702637.25</v>
      </c>
      <c r="AJ208" t="s">
        <v>270</v>
      </c>
      <c r="AK208">
        <v>5066</v>
      </c>
      <c r="AL208">
        <v>21</v>
      </c>
      <c r="AM208">
        <v>0</v>
      </c>
      <c r="AN208">
        <v>5</v>
      </c>
      <c r="AO208">
        <v>10</v>
      </c>
      <c r="AP208">
        <v>26</v>
      </c>
      <c r="AQ208">
        <v>26</v>
      </c>
      <c r="AR208">
        <v>0</v>
      </c>
      <c r="AS208">
        <v>12</v>
      </c>
      <c r="AT208" t="b">
        <v>0</v>
      </c>
      <c r="AU208">
        <v>16</v>
      </c>
      <c r="AV208">
        <v>18</v>
      </c>
      <c r="AW208">
        <v>2</v>
      </c>
      <c r="AX208" t="b">
        <v>0</v>
      </c>
      <c r="AY208" t="b">
        <v>0</v>
      </c>
      <c r="AZ208" t="b">
        <v>1</v>
      </c>
      <c r="BA208" t="b">
        <v>1</v>
      </c>
      <c r="BB208" t="s">
        <v>270</v>
      </c>
      <c r="BC208" t="s">
        <v>273</v>
      </c>
      <c r="BD208" t="s">
        <v>270</v>
      </c>
      <c r="BE208" t="s">
        <v>1775</v>
      </c>
      <c r="BF208" t="s">
        <v>1776</v>
      </c>
      <c r="BG208" t="s">
        <v>1777</v>
      </c>
      <c r="BH208" t="s">
        <v>1778</v>
      </c>
      <c r="BI208" t="s">
        <v>1790</v>
      </c>
      <c r="BJ208" t="b">
        <v>1</v>
      </c>
      <c r="BK208" t="b">
        <v>1</v>
      </c>
      <c r="BL208" t="b">
        <v>1</v>
      </c>
      <c r="BM208" t="b">
        <v>0</v>
      </c>
      <c r="BN208" t="b">
        <v>0</v>
      </c>
      <c r="BO208" t="b">
        <v>0</v>
      </c>
      <c r="BP208">
        <v>1</v>
      </c>
      <c r="BQ208">
        <v>129</v>
      </c>
      <c r="BR208">
        <v>0</v>
      </c>
      <c r="BS208">
        <v>0</v>
      </c>
      <c r="BT208" t="b">
        <v>1</v>
      </c>
      <c r="BU208">
        <v>10</v>
      </c>
      <c r="BV208">
        <v>16</v>
      </c>
      <c r="BW208">
        <v>6610</v>
      </c>
      <c r="BX208">
        <v>1</v>
      </c>
      <c r="BY208" t="s">
        <v>273</v>
      </c>
      <c r="BZ208" t="s">
        <v>270</v>
      </c>
      <c r="CA208" t="s">
        <v>270</v>
      </c>
      <c r="CB208" t="s">
        <v>270</v>
      </c>
      <c r="CC208" t="s">
        <v>1780</v>
      </c>
      <c r="CD208" t="s">
        <v>1781</v>
      </c>
      <c r="CE208" t="s">
        <v>200</v>
      </c>
      <c r="CF208" t="s">
        <v>1783</v>
      </c>
      <c r="CG208" t="str">
        <f t="shared" si="15"/>
        <v/>
      </c>
      <c r="CH208" t="str">
        <f t="shared" si="16"/>
        <v/>
      </c>
      <c r="CI208" t="str">
        <f t="shared" si="17"/>
        <v/>
      </c>
      <c r="CJ208" t="str">
        <f t="shared" si="18"/>
        <v/>
      </c>
      <c r="CK208" t="str">
        <f t="shared" si="19"/>
        <v/>
      </c>
    </row>
    <row r="209" spans="1:89">
      <c r="A209">
        <v>77002</v>
      </c>
      <c r="B209" t="s">
        <v>1839</v>
      </c>
      <c r="C209">
        <v>8.0531930923461896</v>
      </c>
      <c r="D209" t="s">
        <v>1802</v>
      </c>
      <c r="E209">
        <v>1974</v>
      </c>
      <c r="F209" t="s">
        <v>1788</v>
      </c>
      <c r="G209" t="s">
        <v>169</v>
      </c>
      <c r="H209">
        <v>98105</v>
      </c>
      <c r="I209" t="s">
        <v>1789</v>
      </c>
      <c r="J209" t="s">
        <v>1785</v>
      </c>
      <c r="K209" t="s">
        <v>1774</v>
      </c>
      <c r="L209">
        <v>136</v>
      </c>
      <c r="M209">
        <v>23</v>
      </c>
      <c r="N209">
        <v>0</v>
      </c>
      <c r="O209">
        <v>23</v>
      </c>
      <c r="P209">
        <v>1</v>
      </c>
      <c r="Q209">
        <v>194400</v>
      </c>
      <c r="R209">
        <v>194400</v>
      </c>
      <c r="S209">
        <v>21666</v>
      </c>
      <c r="T209">
        <v>0</v>
      </c>
      <c r="U209">
        <v>23</v>
      </c>
      <c r="V209">
        <v>69</v>
      </c>
      <c r="W209">
        <v>44</v>
      </c>
      <c r="X209">
        <v>0</v>
      </c>
      <c r="Y209">
        <v>3.6800000667571999</v>
      </c>
      <c r="Z209" t="b">
        <v>0</v>
      </c>
      <c r="AA209" t="b">
        <v>1</v>
      </c>
      <c r="AB209">
        <v>8</v>
      </c>
      <c r="AE209">
        <v>1883869.5</v>
      </c>
      <c r="AJ209" t="s">
        <v>273</v>
      </c>
      <c r="AL209">
        <v>10</v>
      </c>
      <c r="AM209">
        <v>0</v>
      </c>
      <c r="AN209">
        <v>25</v>
      </c>
      <c r="AO209">
        <v>0</v>
      </c>
      <c r="AP209">
        <v>54</v>
      </c>
      <c r="AQ209">
        <v>0</v>
      </c>
      <c r="AR209">
        <v>0</v>
      </c>
      <c r="AS209">
        <v>11</v>
      </c>
      <c r="AT209" t="b">
        <v>1</v>
      </c>
      <c r="AU209">
        <v>0</v>
      </c>
      <c r="AV209">
        <v>0</v>
      </c>
      <c r="AW209">
        <v>3</v>
      </c>
      <c r="AX209" t="b">
        <v>0</v>
      </c>
      <c r="AY209" t="b">
        <v>1</v>
      </c>
      <c r="AZ209" t="b">
        <v>1</v>
      </c>
      <c r="BA209" t="b">
        <v>1</v>
      </c>
      <c r="BB209" t="s">
        <v>273</v>
      </c>
      <c r="BC209" t="s">
        <v>273</v>
      </c>
      <c r="BD209" t="s">
        <v>273</v>
      </c>
      <c r="BE209" t="s">
        <v>1775</v>
      </c>
      <c r="BF209" t="s">
        <v>1776</v>
      </c>
      <c r="BG209" t="s">
        <v>1777</v>
      </c>
      <c r="BH209" t="s">
        <v>1778</v>
      </c>
      <c r="BI209" t="s">
        <v>1812</v>
      </c>
      <c r="BJ209" t="b">
        <v>1</v>
      </c>
      <c r="BK209" t="b">
        <v>1</v>
      </c>
      <c r="BL209" t="b">
        <v>1</v>
      </c>
      <c r="BM209" t="b">
        <v>0</v>
      </c>
      <c r="BN209" t="b">
        <v>0</v>
      </c>
      <c r="BO209" t="b">
        <v>0</v>
      </c>
      <c r="BP209">
        <v>1</v>
      </c>
      <c r="BQ209">
        <v>2</v>
      </c>
      <c r="BR209">
        <v>1</v>
      </c>
      <c r="BS209">
        <v>1</v>
      </c>
      <c r="BT209" t="b">
        <v>1</v>
      </c>
      <c r="BU209">
        <v>0</v>
      </c>
      <c r="BV209">
        <v>153</v>
      </c>
      <c r="BW209">
        <v>48557</v>
      </c>
      <c r="BX209">
        <v>1</v>
      </c>
      <c r="BY209" t="s">
        <v>273</v>
      </c>
      <c r="BZ209" t="s">
        <v>270</v>
      </c>
      <c r="CA209" t="s">
        <v>273</v>
      </c>
      <c r="CB209" t="s">
        <v>273</v>
      </c>
      <c r="CC209" t="s">
        <v>1840</v>
      </c>
      <c r="CD209" t="s">
        <v>1841</v>
      </c>
      <c r="CE209" t="s">
        <v>1825</v>
      </c>
      <c r="CF209" t="s">
        <v>1842</v>
      </c>
      <c r="CG209" t="str">
        <f t="shared" si="15"/>
        <v/>
      </c>
      <c r="CH209" t="str">
        <f t="shared" si="16"/>
        <v/>
      </c>
      <c r="CI209" t="str">
        <f t="shared" si="17"/>
        <v/>
      </c>
      <c r="CJ209" t="str">
        <f t="shared" si="18"/>
        <v/>
      </c>
      <c r="CK209" t="str">
        <f t="shared" si="19"/>
        <v/>
      </c>
    </row>
    <row r="210" spans="1:89">
      <c r="A210">
        <v>77003</v>
      </c>
      <c r="B210" t="s">
        <v>1799</v>
      </c>
      <c r="C210">
        <v>8.8325338363647496</v>
      </c>
      <c r="D210" t="s">
        <v>1792</v>
      </c>
      <c r="E210">
        <v>1968</v>
      </c>
      <c r="F210" t="s">
        <v>1788</v>
      </c>
      <c r="G210" t="s">
        <v>169</v>
      </c>
      <c r="H210">
        <v>98118</v>
      </c>
      <c r="I210" t="s">
        <v>1789</v>
      </c>
      <c r="J210" t="s">
        <v>1785</v>
      </c>
      <c r="K210" t="s">
        <v>1774</v>
      </c>
      <c r="L210">
        <v>124</v>
      </c>
      <c r="M210">
        <v>4</v>
      </c>
      <c r="N210">
        <v>0</v>
      </c>
      <c r="O210">
        <v>4</v>
      </c>
      <c r="P210">
        <v>0</v>
      </c>
      <c r="Q210">
        <v>155546</v>
      </c>
      <c r="R210">
        <v>153146</v>
      </c>
      <c r="S210">
        <v>15836</v>
      </c>
      <c r="T210">
        <v>0</v>
      </c>
      <c r="U210">
        <v>32</v>
      </c>
      <c r="V210">
        <v>25</v>
      </c>
      <c r="W210">
        <v>67</v>
      </c>
      <c r="X210">
        <v>0</v>
      </c>
      <c r="Y210">
        <v>2</v>
      </c>
      <c r="Z210" t="b">
        <v>1</v>
      </c>
      <c r="AA210" t="b">
        <v>1</v>
      </c>
      <c r="AB210">
        <v>8</v>
      </c>
      <c r="AC210">
        <v>253630.484375</v>
      </c>
      <c r="AD210">
        <v>382702.1875</v>
      </c>
      <c r="AE210">
        <v>636332.6875</v>
      </c>
      <c r="AF210">
        <v>4726.8447265625</v>
      </c>
      <c r="AG210">
        <v>47736.1875</v>
      </c>
      <c r="AH210">
        <v>52463.03125</v>
      </c>
      <c r="AI210">
        <v>7417470.5</v>
      </c>
      <c r="AJ210" t="s">
        <v>270</v>
      </c>
      <c r="AK210">
        <v>0</v>
      </c>
      <c r="AL210">
        <v>25</v>
      </c>
      <c r="AM210">
        <v>0</v>
      </c>
      <c r="AN210">
        <v>25</v>
      </c>
      <c r="AO210">
        <v>0</v>
      </c>
      <c r="AP210">
        <v>25</v>
      </c>
      <c r="AQ210">
        <v>0</v>
      </c>
      <c r="AR210">
        <v>0</v>
      </c>
      <c r="AS210">
        <v>25</v>
      </c>
      <c r="AT210" t="b">
        <v>0</v>
      </c>
      <c r="AU210">
        <v>8</v>
      </c>
      <c r="AV210">
        <v>8</v>
      </c>
      <c r="AW210">
        <v>2</v>
      </c>
      <c r="AX210" t="b">
        <v>0</v>
      </c>
      <c r="AY210" t="b">
        <v>1</v>
      </c>
      <c r="AZ210" t="b">
        <v>1</v>
      </c>
      <c r="BA210" t="b">
        <v>0</v>
      </c>
      <c r="BB210" t="s">
        <v>270</v>
      </c>
      <c r="BC210" t="s">
        <v>270</v>
      </c>
      <c r="BD210" t="s">
        <v>270</v>
      </c>
      <c r="BE210" t="s">
        <v>1827</v>
      </c>
      <c r="BF210" t="s">
        <v>1810</v>
      </c>
      <c r="BG210" t="s">
        <v>1777</v>
      </c>
      <c r="BH210" t="s">
        <v>1778</v>
      </c>
      <c r="BI210" t="s">
        <v>1790</v>
      </c>
      <c r="BJ210" t="b">
        <v>1</v>
      </c>
      <c r="BK210" t="b">
        <v>1</v>
      </c>
      <c r="BL210" t="b">
        <v>1</v>
      </c>
      <c r="BM210" t="b">
        <v>0</v>
      </c>
      <c r="BN210" t="b">
        <v>0</v>
      </c>
      <c r="BO210" t="b">
        <v>0</v>
      </c>
      <c r="BP210">
        <v>2</v>
      </c>
      <c r="BQ210">
        <v>123</v>
      </c>
      <c r="BR210">
        <v>123</v>
      </c>
      <c r="BS210">
        <v>123</v>
      </c>
      <c r="BT210" t="b">
        <v>1</v>
      </c>
      <c r="BV210">
        <v>161</v>
      </c>
      <c r="BW210">
        <v>68425</v>
      </c>
      <c r="BX210">
        <v>0</v>
      </c>
      <c r="BY210" t="s">
        <v>270</v>
      </c>
      <c r="BZ210" t="s">
        <v>270</v>
      </c>
      <c r="CA210" t="s">
        <v>270</v>
      </c>
      <c r="CB210" t="s">
        <v>273</v>
      </c>
      <c r="CC210" t="s">
        <v>1780</v>
      </c>
      <c r="CD210" t="s">
        <v>1781</v>
      </c>
      <c r="CE210" t="s">
        <v>1865</v>
      </c>
      <c r="CF210" t="s">
        <v>1783</v>
      </c>
      <c r="CG210" t="str">
        <f t="shared" si="15"/>
        <v/>
      </c>
      <c r="CH210" t="str">
        <f t="shared" si="16"/>
        <v/>
      </c>
      <c r="CI210" t="str">
        <f t="shared" si="17"/>
        <v/>
      </c>
      <c r="CJ210" t="str">
        <f t="shared" si="18"/>
        <v/>
      </c>
      <c r="CK210" t="str">
        <f t="shared" si="19"/>
        <v/>
      </c>
    </row>
    <row r="211" spans="1:89">
      <c r="A211">
        <v>77004</v>
      </c>
      <c r="B211" t="s">
        <v>1770</v>
      </c>
      <c r="C211">
        <v>6.93186235427856</v>
      </c>
      <c r="D211" t="s">
        <v>1808</v>
      </c>
      <c r="E211">
        <v>1995</v>
      </c>
      <c r="F211" t="s">
        <v>1788</v>
      </c>
      <c r="G211" t="s">
        <v>169</v>
      </c>
      <c r="H211">
        <v>98178</v>
      </c>
      <c r="I211" t="s">
        <v>1789</v>
      </c>
      <c r="J211" t="s">
        <v>1785</v>
      </c>
      <c r="K211" t="s">
        <v>1774</v>
      </c>
      <c r="L211">
        <v>158</v>
      </c>
      <c r="M211">
        <v>3</v>
      </c>
      <c r="N211">
        <v>0</v>
      </c>
      <c r="O211">
        <v>3</v>
      </c>
      <c r="P211">
        <v>0</v>
      </c>
      <c r="Q211">
        <v>124930</v>
      </c>
      <c r="R211">
        <v>124930</v>
      </c>
      <c r="S211">
        <v>38532</v>
      </c>
      <c r="T211">
        <v>0</v>
      </c>
      <c r="U211">
        <v>0</v>
      </c>
      <c r="V211">
        <v>24</v>
      </c>
      <c r="W211">
        <v>105</v>
      </c>
      <c r="X211">
        <v>29</v>
      </c>
      <c r="Y211">
        <v>6</v>
      </c>
      <c r="Z211" t="b">
        <v>0</v>
      </c>
      <c r="AA211" t="b">
        <v>1</v>
      </c>
      <c r="AB211">
        <v>9</v>
      </c>
      <c r="AE211">
        <v>1349319.5</v>
      </c>
      <c r="AJ211" t="s">
        <v>270</v>
      </c>
      <c r="AK211">
        <v>0</v>
      </c>
      <c r="AL211">
        <v>10</v>
      </c>
      <c r="AM211">
        <v>3</v>
      </c>
      <c r="AN211">
        <v>41</v>
      </c>
      <c r="AO211">
        <v>0</v>
      </c>
      <c r="AP211">
        <v>31</v>
      </c>
      <c r="AQ211">
        <v>1</v>
      </c>
      <c r="AR211">
        <v>2</v>
      </c>
      <c r="AS211">
        <v>12</v>
      </c>
      <c r="AT211" t="b">
        <v>1</v>
      </c>
      <c r="AU211">
        <v>11</v>
      </c>
      <c r="AV211">
        <v>11</v>
      </c>
      <c r="AW211">
        <v>2</v>
      </c>
      <c r="AX211" t="b">
        <v>0</v>
      </c>
      <c r="AY211" t="b">
        <v>0</v>
      </c>
      <c r="AZ211" t="b">
        <v>1</v>
      </c>
      <c r="BA211" t="b">
        <v>1</v>
      </c>
      <c r="BB211" t="s">
        <v>270</v>
      </c>
      <c r="BC211" t="s">
        <v>270</v>
      </c>
      <c r="BD211" t="s">
        <v>270</v>
      </c>
      <c r="BE211" t="s">
        <v>1775</v>
      </c>
      <c r="BF211" t="s">
        <v>1776</v>
      </c>
      <c r="BG211" t="s">
        <v>1777</v>
      </c>
      <c r="BH211" t="s">
        <v>1778</v>
      </c>
      <c r="BI211" t="s">
        <v>1847</v>
      </c>
      <c r="BJ211" t="b">
        <v>1</v>
      </c>
      <c r="BK211" t="b">
        <v>1</v>
      </c>
      <c r="BL211" t="b">
        <v>1</v>
      </c>
      <c r="BM211" t="b">
        <v>0</v>
      </c>
      <c r="BN211" t="b">
        <v>0</v>
      </c>
      <c r="BO211" t="b">
        <v>0</v>
      </c>
      <c r="BP211">
        <v>1</v>
      </c>
      <c r="BQ211">
        <v>1</v>
      </c>
      <c r="BR211">
        <v>1</v>
      </c>
      <c r="BS211">
        <v>1</v>
      </c>
      <c r="BT211" t="b">
        <v>1</v>
      </c>
      <c r="BX211">
        <v>0</v>
      </c>
      <c r="BY211" t="s">
        <v>270</v>
      </c>
      <c r="BZ211" t="s">
        <v>270</v>
      </c>
      <c r="CA211" t="s">
        <v>270</v>
      </c>
      <c r="CB211" t="s">
        <v>273</v>
      </c>
      <c r="CC211" t="s">
        <v>1780</v>
      </c>
      <c r="CD211" t="s">
        <v>1781</v>
      </c>
      <c r="CE211" t="s">
        <v>1782</v>
      </c>
      <c r="CF211" t="s">
        <v>1783</v>
      </c>
      <c r="CG211">
        <f t="shared" si="15"/>
        <v>6.93186235427856</v>
      </c>
      <c r="CH211">
        <f t="shared" si="16"/>
        <v>124930</v>
      </c>
      <c r="CI211">
        <f t="shared" si="17"/>
        <v>3</v>
      </c>
      <c r="CJ211">
        <f t="shared" si="18"/>
        <v>865997.56392002048</v>
      </c>
      <c r="CK211">
        <f t="shared" si="19"/>
        <v>20.795587062835679</v>
      </c>
    </row>
    <row r="212" spans="1:89">
      <c r="A212">
        <v>77005</v>
      </c>
      <c r="B212" t="s">
        <v>1839</v>
      </c>
      <c r="C212">
        <v>6.4425539970397896</v>
      </c>
      <c r="D212" t="s">
        <v>1808</v>
      </c>
      <c r="E212">
        <v>2000</v>
      </c>
      <c r="F212" t="s">
        <v>1788</v>
      </c>
      <c r="G212" t="s">
        <v>169</v>
      </c>
      <c r="H212">
        <v>98101</v>
      </c>
      <c r="I212" t="s">
        <v>1789</v>
      </c>
      <c r="J212" t="s">
        <v>1785</v>
      </c>
      <c r="K212" t="s">
        <v>1774</v>
      </c>
      <c r="L212">
        <v>170</v>
      </c>
      <c r="M212">
        <v>22</v>
      </c>
      <c r="N212">
        <v>3</v>
      </c>
      <c r="O212">
        <v>28</v>
      </c>
      <c r="P212">
        <v>0</v>
      </c>
      <c r="Q212">
        <v>261868</v>
      </c>
      <c r="R212">
        <v>227544</v>
      </c>
      <c r="S212">
        <v>29348</v>
      </c>
      <c r="T212">
        <v>0</v>
      </c>
      <c r="U212">
        <v>0</v>
      </c>
      <c r="V212">
        <v>66</v>
      </c>
      <c r="W212">
        <v>84</v>
      </c>
      <c r="X212">
        <v>20</v>
      </c>
      <c r="Y212">
        <v>4</v>
      </c>
      <c r="Z212" t="b">
        <v>1</v>
      </c>
      <c r="AA212" t="b">
        <v>1</v>
      </c>
      <c r="AB212">
        <v>9</v>
      </c>
      <c r="AH212">
        <v>11271.8857421875</v>
      </c>
      <c r="AJ212" t="s">
        <v>273</v>
      </c>
      <c r="AK212">
        <v>34324</v>
      </c>
      <c r="AL212">
        <v>22</v>
      </c>
      <c r="AM212">
        <v>0</v>
      </c>
      <c r="AN212">
        <v>5</v>
      </c>
      <c r="AO212">
        <v>0</v>
      </c>
      <c r="AP212">
        <v>26</v>
      </c>
      <c r="AQ212">
        <v>5</v>
      </c>
      <c r="AR212">
        <v>5</v>
      </c>
      <c r="AS212">
        <v>36</v>
      </c>
      <c r="AT212" t="b">
        <v>1</v>
      </c>
      <c r="AU212">
        <v>0</v>
      </c>
      <c r="AV212">
        <v>0</v>
      </c>
      <c r="AW212">
        <v>2</v>
      </c>
      <c r="AX212" t="b">
        <v>0</v>
      </c>
      <c r="AY212" t="b">
        <v>0</v>
      </c>
      <c r="AZ212" t="b">
        <v>1</v>
      </c>
      <c r="BA212" t="b">
        <v>1</v>
      </c>
      <c r="BB212" t="s">
        <v>273</v>
      </c>
      <c r="BC212" t="s">
        <v>270</v>
      </c>
      <c r="BD212" t="s">
        <v>273</v>
      </c>
      <c r="BE212" t="s">
        <v>1775</v>
      </c>
      <c r="BF212" t="s">
        <v>1776</v>
      </c>
      <c r="BG212" t="s">
        <v>1777</v>
      </c>
      <c r="BH212" t="s">
        <v>1902</v>
      </c>
      <c r="BI212" t="s">
        <v>1847</v>
      </c>
      <c r="BJ212" t="b">
        <v>1</v>
      </c>
      <c r="BK212" t="b">
        <v>1</v>
      </c>
      <c r="BL212" t="b">
        <v>1</v>
      </c>
      <c r="BM212" t="b">
        <v>0</v>
      </c>
      <c r="BN212" t="b">
        <v>0</v>
      </c>
      <c r="BO212" t="b">
        <v>0</v>
      </c>
      <c r="BP212">
        <v>9</v>
      </c>
      <c r="BQ212">
        <v>178</v>
      </c>
      <c r="BR212">
        <v>3</v>
      </c>
      <c r="BS212">
        <v>6</v>
      </c>
      <c r="BT212" t="b">
        <v>1</v>
      </c>
      <c r="BU212">
        <v>0</v>
      </c>
      <c r="BV212">
        <v>147</v>
      </c>
      <c r="BW212">
        <v>59144</v>
      </c>
      <c r="BX212">
        <v>4</v>
      </c>
      <c r="BY212" t="s">
        <v>273</v>
      </c>
      <c r="BZ212" t="s">
        <v>270</v>
      </c>
      <c r="CA212" t="s">
        <v>270</v>
      </c>
      <c r="CB212" t="s">
        <v>270</v>
      </c>
      <c r="CC212" t="s">
        <v>1855</v>
      </c>
      <c r="CD212" t="s">
        <v>1841</v>
      </c>
      <c r="CE212" t="s">
        <v>1801</v>
      </c>
      <c r="CF212" t="s">
        <v>1842</v>
      </c>
      <c r="CG212" t="str">
        <f t="shared" si="15"/>
        <v/>
      </c>
      <c r="CH212" t="str">
        <f t="shared" si="16"/>
        <v/>
      </c>
      <c r="CI212" t="str">
        <f t="shared" si="17"/>
        <v/>
      </c>
      <c r="CJ212" t="str">
        <f t="shared" si="18"/>
        <v/>
      </c>
      <c r="CK212" t="str">
        <f t="shared" si="19"/>
        <v/>
      </c>
    </row>
    <row r="213" spans="1:89">
      <c r="A213">
        <v>77006</v>
      </c>
      <c r="B213" t="s">
        <v>1839</v>
      </c>
      <c r="C213">
        <v>6.84521436691284</v>
      </c>
      <c r="D213" t="s">
        <v>1806</v>
      </c>
      <c r="E213">
        <v>2004</v>
      </c>
      <c r="F213" t="s">
        <v>1788</v>
      </c>
      <c r="G213" t="s">
        <v>169</v>
      </c>
      <c r="H213">
        <v>98109</v>
      </c>
      <c r="I213" t="s">
        <v>1789</v>
      </c>
      <c r="J213" t="s">
        <v>1785</v>
      </c>
      <c r="K213" t="s">
        <v>1774</v>
      </c>
      <c r="L213">
        <v>160</v>
      </c>
      <c r="M213">
        <v>5</v>
      </c>
      <c r="N213">
        <v>0</v>
      </c>
      <c r="O213">
        <v>7</v>
      </c>
      <c r="P213">
        <v>0</v>
      </c>
      <c r="Q213">
        <v>149697</v>
      </c>
      <c r="R213">
        <v>147212</v>
      </c>
      <c r="S213">
        <v>37141</v>
      </c>
      <c r="T213">
        <v>0</v>
      </c>
      <c r="U213">
        <v>0</v>
      </c>
      <c r="V213">
        <v>32</v>
      </c>
      <c r="W213">
        <v>80</v>
      </c>
      <c r="X213">
        <v>48</v>
      </c>
      <c r="Y213">
        <v>1</v>
      </c>
      <c r="Z213" t="b">
        <v>1</v>
      </c>
      <c r="AA213" t="b">
        <v>1</v>
      </c>
      <c r="AB213">
        <v>8.25</v>
      </c>
      <c r="AC213">
        <v>491055.4375</v>
      </c>
      <c r="AD213">
        <v>570471.75</v>
      </c>
      <c r="AE213">
        <v>1061527.25</v>
      </c>
      <c r="AH213">
        <v>13415.0322265625</v>
      </c>
      <c r="AI213">
        <v>4963434</v>
      </c>
      <c r="AJ213" t="s">
        <v>270</v>
      </c>
      <c r="AK213">
        <v>2521</v>
      </c>
      <c r="AL213">
        <v>37</v>
      </c>
      <c r="AM213">
        <v>0</v>
      </c>
      <c r="AN213">
        <v>13</v>
      </c>
      <c r="AO213">
        <v>0</v>
      </c>
      <c r="AP213">
        <v>16</v>
      </c>
      <c r="AQ213">
        <v>0</v>
      </c>
      <c r="AR213">
        <v>0</v>
      </c>
      <c r="AS213">
        <v>34</v>
      </c>
      <c r="AT213" t="b">
        <v>1</v>
      </c>
      <c r="AU213">
        <v>0</v>
      </c>
      <c r="AV213">
        <v>0</v>
      </c>
      <c r="AW213">
        <v>3</v>
      </c>
      <c r="AX213" t="b">
        <v>0</v>
      </c>
      <c r="AY213" t="b">
        <v>0</v>
      </c>
      <c r="AZ213" t="b">
        <v>1</v>
      </c>
      <c r="BA213" t="b">
        <v>1</v>
      </c>
      <c r="BB213" t="s">
        <v>270</v>
      </c>
      <c r="BC213" t="s">
        <v>273</v>
      </c>
      <c r="BD213" t="s">
        <v>270</v>
      </c>
      <c r="BE213" t="s">
        <v>1775</v>
      </c>
      <c r="BF213" t="s">
        <v>1776</v>
      </c>
      <c r="BG213" t="s">
        <v>1777</v>
      </c>
      <c r="BH213" t="s">
        <v>1778</v>
      </c>
      <c r="BI213" t="s">
        <v>1847</v>
      </c>
      <c r="BJ213" t="b">
        <v>1</v>
      </c>
      <c r="BK213" t="b">
        <v>1</v>
      </c>
      <c r="BL213" t="b">
        <v>1</v>
      </c>
      <c r="BM213" t="b">
        <v>0</v>
      </c>
      <c r="BN213" t="b">
        <v>0</v>
      </c>
      <c r="BO213" t="b">
        <v>0</v>
      </c>
      <c r="BP213">
        <v>8</v>
      </c>
      <c r="BQ213">
        <v>163</v>
      </c>
      <c r="BR213">
        <v>1</v>
      </c>
      <c r="BS213">
        <v>1</v>
      </c>
      <c r="BT213" t="b">
        <v>1</v>
      </c>
      <c r="BU213">
        <v>0</v>
      </c>
      <c r="BV213">
        <v>154</v>
      </c>
      <c r="BW213">
        <v>51634</v>
      </c>
      <c r="BX213">
        <v>1</v>
      </c>
      <c r="BY213" t="s">
        <v>273</v>
      </c>
      <c r="BZ213" t="s">
        <v>270</v>
      </c>
      <c r="CA213" t="s">
        <v>270</v>
      </c>
      <c r="CB213" t="s">
        <v>270</v>
      </c>
      <c r="CC213" t="s">
        <v>1780</v>
      </c>
      <c r="CD213" t="s">
        <v>1781</v>
      </c>
      <c r="CE213" t="s">
        <v>1801</v>
      </c>
      <c r="CF213" t="s">
        <v>1783</v>
      </c>
      <c r="CG213" t="str">
        <f t="shared" si="15"/>
        <v/>
      </c>
      <c r="CH213" t="str">
        <f t="shared" si="16"/>
        <v/>
      </c>
      <c r="CI213" t="str">
        <f t="shared" si="17"/>
        <v/>
      </c>
      <c r="CJ213" t="str">
        <f t="shared" si="18"/>
        <v/>
      </c>
      <c r="CK213" t="str">
        <f t="shared" si="19"/>
        <v/>
      </c>
    </row>
    <row r="214" spans="1:89">
      <c r="A214">
        <v>77007</v>
      </c>
      <c r="B214" t="s">
        <v>1799</v>
      </c>
      <c r="C214">
        <v>8.1733894348144496</v>
      </c>
      <c r="D214" t="s">
        <v>1806</v>
      </c>
      <c r="E214">
        <v>2009</v>
      </c>
      <c r="F214" t="s">
        <v>1788</v>
      </c>
      <c r="G214" t="s">
        <v>169</v>
      </c>
      <c r="H214">
        <v>98106</v>
      </c>
      <c r="I214" t="s">
        <v>1789</v>
      </c>
      <c r="J214" t="s">
        <v>1785</v>
      </c>
      <c r="K214" t="s">
        <v>1774</v>
      </c>
      <c r="L214">
        <v>134</v>
      </c>
      <c r="M214">
        <v>6</v>
      </c>
      <c r="N214">
        <v>0</v>
      </c>
      <c r="O214">
        <v>6</v>
      </c>
      <c r="P214">
        <v>0</v>
      </c>
      <c r="Q214">
        <v>107418</v>
      </c>
      <c r="R214">
        <v>102658</v>
      </c>
      <c r="S214">
        <v>16733</v>
      </c>
      <c r="T214">
        <v>0</v>
      </c>
      <c r="U214">
        <v>0</v>
      </c>
      <c r="V214">
        <v>74</v>
      </c>
      <c r="W214">
        <v>60</v>
      </c>
      <c r="X214">
        <v>0</v>
      </c>
      <c r="Y214">
        <v>4</v>
      </c>
      <c r="Z214" t="b">
        <v>1</v>
      </c>
      <c r="AA214" t="b">
        <v>1</v>
      </c>
      <c r="AB214">
        <v>8</v>
      </c>
      <c r="AC214">
        <v>279072.25</v>
      </c>
      <c r="AD214">
        <v>847052.5625</v>
      </c>
      <c r="AE214">
        <v>1126124.75</v>
      </c>
      <c r="AJ214" t="s">
        <v>273</v>
      </c>
      <c r="AK214">
        <v>4760</v>
      </c>
      <c r="AL214">
        <v>0</v>
      </c>
      <c r="AM214">
        <v>30</v>
      </c>
      <c r="AN214">
        <v>0</v>
      </c>
      <c r="AO214">
        <v>14</v>
      </c>
      <c r="AP214">
        <v>0</v>
      </c>
      <c r="AQ214">
        <v>26</v>
      </c>
      <c r="AR214">
        <v>30</v>
      </c>
      <c r="AS214">
        <v>0</v>
      </c>
      <c r="AT214" t="b">
        <v>1</v>
      </c>
      <c r="AU214">
        <v>12</v>
      </c>
      <c r="AV214">
        <v>12</v>
      </c>
      <c r="AW214">
        <v>1</v>
      </c>
      <c r="AX214" t="b">
        <v>0</v>
      </c>
      <c r="AY214" t="b">
        <v>1</v>
      </c>
      <c r="AZ214" t="b">
        <v>1</v>
      </c>
      <c r="BA214" t="b">
        <v>1</v>
      </c>
      <c r="BB214" t="s">
        <v>270</v>
      </c>
      <c r="BC214" t="s">
        <v>273</v>
      </c>
      <c r="BD214" t="s">
        <v>270</v>
      </c>
      <c r="BE214" t="s">
        <v>1775</v>
      </c>
      <c r="BF214" t="s">
        <v>1776</v>
      </c>
      <c r="BG214" t="s">
        <v>1777</v>
      </c>
      <c r="BH214" t="s">
        <v>1778</v>
      </c>
      <c r="BI214" t="s">
        <v>1812</v>
      </c>
      <c r="BJ214" t="b">
        <v>1</v>
      </c>
      <c r="BK214" t="b">
        <v>1</v>
      </c>
      <c r="BL214" t="b">
        <v>1</v>
      </c>
      <c r="BM214" t="b">
        <v>0</v>
      </c>
      <c r="BN214" t="b">
        <v>0</v>
      </c>
      <c r="BO214" t="b">
        <v>0</v>
      </c>
      <c r="BP214">
        <v>2</v>
      </c>
      <c r="BQ214">
        <v>135</v>
      </c>
      <c r="BR214">
        <v>1</v>
      </c>
      <c r="BS214">
        <v>1</v>
      </c>
      <c r="BT214" t="b">
        <v>1</v>
      </c>
      <c r="BU214">
        <v>0</v>
      </c>
      <c r="BV214">
        <v>74</v>
      </c>
      <c r="BW214">
        <v>31128</v>
      </c>
      <c r="BX214">
        <v>1</v>
      </c>
      <c r="BY214" t="s">
        <v>273</v>
      </c>
      <c r="BZ214" t="s">
        <v>270</v>
      </c>
      <c r="CA214" t="s">
        <v>270</v>
      </c>
      <c r="CB214" t="s">
        <v>273</v>
      </c>
      <c r="CC214" t="s">
        <v>1780</v>
      </c>
      <c r="CD214" t="s">
        <v>1781</v>
      </c>
      <c r="CE214" t="s">
        <v>1801</v>
      </c>
      <c r="CF214" t="s">
        <v>1783</v>
      </c>
      <c r="CG214" t="str">
        <f t="shared" si="15"/>
        <v/>
      </c>
      <c r="CH214" t="str">
        <f t="shared" si="16"/>
        <v/>
      </c>
      <c r="CI214" t="str">
        <f t="shared" si="17"/>
        <v/>
      </c>
      <c r="CJ214" t="str">
        <f t="shared" si="18"/>
        <v/>
      </c>
      <c r="CK214" t="str">
        <f t="shared" si="19"/>
        <v/>
      </c>
    </row>
    <row r="215" spans="1:89">
      <c r="A215">
        <v>77008</v>
      </c>
      <c r="B215" t="s">
        <v>1839</v>
      </c>
      <c r="C215">
        <v>9.7788772583007795</v>
      </c>
      <c r="D215" t="s">
        <v>1792</v>
      </c>
      <c r="E215">
        <v>1961</v>
      </c>
      <c r="F215" t="s">
        <v>1788</v>
      </c>
      <c r="G215" t="s">
        <v>169</v>
      </c>
      <c r="H215">
        <v>98102</v>
      </c>
      <c r="I215" t="s">
        <v>1789</v>
      </c>
      <c r="J215" t="s">
        <v>1785</v>
      </c>
      <c r="K215" t="s">
        <v>1774</v>
      </c>
      <c r="L215">
        <v>112</v>
      </c>
      <c r="M215">
        <v>8</v>
      </c>
      <c r="N215">
        <v>0</v>
      </c>
      <c r="O215">
        <v>9</v>
      </c>
      <c r="P215">
        <v>1</v>
      </c>
      <c r="Q215">
        <v>111964</v>
      </c>
      <c r="R215">
        <v>111964</v>
      </c>
      <c r="S215">
        <v>21250</v>
      </c>
      <c r="T215">
        <v>0</v>
      </c>
      <c r="U215">
        <v>7</v>
      </c>
      <c r="V215">
        <v>22</v>
      </c>
      <c r="W215">
        <v>82</v>
      </c>
      <c r="X215">
        <v>1</v>
      </c>
      <c r="Y215">
        <v>1.70000004768372</v>
      </c>
      <c r="Z215" t="b">
        <v>0</v>
      </c>
      <c r="AA215" t="b">
        <v>1</v>
      </c>
      <c r="AB215">
        <v>8</v>
      </c>
      <c r="AC215">
        <v>181028.609375</v>
      </c>
      <c r="AD215">
        <v>433489.375</v>
      </c>
      <c r="AE215">
        <v>614518</v>
      </c>
      <c r="AH215">
        <v>11800.138671875</v>
      </c>
      <c r="AI215">
        <v>3276749.25</v>
      </c>
      <c r="AJ215" t="s">
        <v>273</v>
      </c>
      <c r="AK215">
        <v>0</v>
      </c>
      <c r="AL215">
        <v>26</v>
      </c>
      <c r="AM215">
        <v>0</v>
      </c>
      <c r="AN215">
        <v>8</v>
      </c>
      <c r="AO215">
        <v>0</v>
      </c>
      <c r="AP215">
        <v>14</v>
      </c>
      <c r="AQ215">
        <v>0</v>
      </c>
      <c r="AR215">
        <v>0</v>
      </c>
      <c r="AS215">
        <v>52</v>
      </c>
      <c r="AT215" t="b">
        <v>1</v>
      </c>
      <c r="AU215">
        <v>6</v>
      </c>
      <c r="AV215">
        <v>6</v>
      </c>
      <c r="AW215">
        <v>2</v>
      </c>
      <c r="AX215" t="b">
        <v>0</v>
      </c>
      <c r="AY215" t="b">
        <v>0</v>
      </c>
      <c r="AZ215" t="b">
        <v>1</v>
      </c>
      <c r="BA215" t="b">
        <v>1</v>
      </c>
      <c r="BB215" t="s">
        <v>270</v>
      </c>
      <c r="BC215" t="s">
        <v>273</v>
      </c>
      <c r="BD215" t="s">
        <v>273</v>
      </c>
      <c r="BE215" t="s">
        <v>1775</v>
      </c>
      <c r="BF215" t="s">
        <v>1776</v>
      </c>
      <c r="BG215" t="s">
        <v>1777</v>
      </c>
      <c r="BH215" t="s">
        <v>1804</v>
      </c>
      <c r="BI215" t="s">
        <v>1812</v>
      </c>
      <c r="BJ215" t="b">
        <v>1</v>
      </c>
      <c r="BK215" t="b">
        <v>1</v>
      </c>
      <c r="BL215" t="b">
        <v>1</v>
      </c>
      <c r="BM215" t="b">
        <v>0</v>
      </c>
      <c r="BN215" t="b">
        <v>0</v>
      </c>
      <c r="BO215" t="b">
        <v>0</v>
      </c>
      <c r="BP215">
        <v>9</v>
      </c>
      <c r="BQ215">
        <v>135</v>
      </c>
      <c r="BR215">
        <v>2</v>
      </c>
      <c r="BS215">
        <v>2</v>
      </c>
      <c r="BT215" t="b">
        <v>1</v>
      </c>
      <c r="BU215">
        <v>0</v>
      </c>
      <c r="BV215">
        <v>109</v>
      </c>
      <c r="BW215">
        <v>26940</v>
      </c>
      <c r="BX215">
        <v>3</v>
      </c>
      <c r="BY215" t="s">
        <v>273</v>
      </c>
      <c r="BZ215" t="s">
        <v>273</v>
      </c>
      <c r="CA215" t="s">
        <v>270</v>
      </c>
      <c r="CB215" t="s">
        <v>273</v>
      </c>
      <c r="CC215" t="s">
        <v>1855</v>
      </c>
      <c r="CD215" t="s">
        <v>1913</v>
      </c>
      <c r="CE215" t="s">
        <v>1801</v>
      </c>
      <c r="CF215" t="s">
        <v>1829</v>
      </c>
      <c r="CG215" t="str">
        <f t="shared" si="15"/>
        <v/>
      </c>
      <c r="CH215" t="str">
        <f t="shared" si="16"/>
        <v/>
      </c>
      <c r="CI215" t="str">
        <f t="shared" si="17"/>
        <v/>
      </c>
      <c r="CJ215" t="str">
        <f t="shared" si="18"/>
        <v/>
      </c>
      <c r="CK215" t="str">
        <f t="shared" si="19"/>
        <v/>
      </c>
    </row>
    <row r="216" spans="1:89">
      <c r="A216">
        <v>77009</v>
      </c>
      <c r="B216" t="s">
        <v>1799</v>
      </c>
      <c r="C216">
        <v>7.5016040802001998</v>
      </c>
      <c r="D216" t="s">
        <v>1808</v>
      </c>
      <c r="E216">
        <v>1997</v>
      </c>
      <c r="F216" t="s">
        <v>1788</v>
      </c>
      <c r="G216" t="s">
        <v>169</v>
      </c>
      <c r="H216">
        <v>98103</v>
      </c>
      <c r="I216" t="s">
        <v>1789</v>
      </c>
      <c r="J216" t="s">
        <v>1861</v>
      </c>
      <c r="K216" t="s">
        <v>1774</v>
      </c>
      <c r="L216">
        <v>146</v>
      </c>
      <c r="M216">
        <v>5</v>
      </c>
      <c r="N216">
        <v>0</v>
      </c>
      <c r="O216">
        <v>5</v>
      </c>
      <c r="P216">
        <v>2</v>
      </c>
      <c r="Q216">
        <v>158259</v>
      </c>
      <c r="R216">
        <v>158259</v>
      </c>
      <c r="S216">
        <v>44627</v>
      </c>
      <c r="T216">
        <v>0</v>
      </c>
      <c r="U216">
        <v>0</v>
      </c>
      <c r="V216">
        <v>58</v>
      </c>
      <c r="W216">
        <v>88</v>
      </c>
      <c r="X216">
        <v>0</v>
      </c>
      <c r="Y216">
        <v>3</v>
      </c>
      <c r="Z216" t="b">
        <v>0</v>
      </c>
      <c r="AA216" t="b">
        <v>1</v>
      </c>
      <c r="AB216">
        <v>8</v>
      </c>
      <c r="AC216">
        <v>981902.6875</v>
      </c>
      <c r="AD216">
        <v>714607.875</v>
      </c>
      <c r="AE216">
        <v>1696510.5</v>
      </c>
      <c r="AJ216" t="s">
        <v>270</v>
      </c>
      <c r="AK216">
        <v>0</v>
      </c>
      <c r="AL216">
        <v>25</v>
      </c>
      <c r="AM216">
        <v>0</v>
      </c>
      <c r="AN216">
        <v>22</v>
      </c>
      <c r="AO216">
        <v>0</v>
      </c>
      <c r="AP216">
        <v>29</v>
      </c>
      <c r="AQ216">
        <v>0</v>
      </c>
      <c r="AR216">
        <v>0</v>
      </c>
      <c r="AS216">
        <v>24</v>
      </c>
      <c r="AT216" t="b">
        <v>1</v>
      </c>
      <c r="AU216">
        <v>10</v>
      </c>
      <c r="AV216">
        <v>10</v>
      </c>
      <c r="AW216">
        <v>4</v>
      </c>
      <c r="AX216" t="b">
        <v>0</v>
      </c>
      <c r="AY216" t="b">
        <v>0</v>
      </c>
      <c r="AZ216" t="b">
        <v>1</v>
      </c>
      <c r="BA216" t="b">
        <v>1</v>
      </c>
      <c r="BB216" t="s">
        <v>273</v>
      </c>
      <c r="BC216" t="s">
        <v>273</v>
      </c>
      <c r="BD216" t="s">
        <v>270</v>
      </c>
      <c r="BE216" t="s">
        <v>1775</v>
      </c>
      <c r="BF216" t="s">
        <v>1776</v>
      </c>
      <c r="BG216" t="s">
        <v>1777</v>
      </c>
      <c r="BH216" t="s">
        <v>1778</v>
      </c>
      <c r="BI216" t="s">
        <v>1812</v>
      </c>
      <c r="BJ216" t="b">
        <v>1</v>
      </c>
      <c r="BK216" t="b">
        <v>1</v>
      </c>
      <c r="BL216" t="b">
        <v>1</v>
      </c>
      <c r="BM216" t="b">
        <v>0</v>
      </c>
      <c r="BN216" t="b">
        <v>0</v>
      </c>
      <c r="BO216" t="b">
        <v>0</v>
      </c>
      <c r="BP216">
        <v>1</v>
      </c>
      <c r="BQ216">
        <v>86</v>
      </c>
      <c r="BR216">
        <v>1</v>
      </c>
      <c r="BT216" t="b">
        <v>1</v>
      </c>
      <c r="BU216">
        <v>0</v>
      </c>
      <c r="BV216">
        <v>197</v>
      </c>
      <c r="BW216">
        <v>57639</v>
      </c>
      <c r="BX216">
        <v>2</v>
      </c>
      <c r="BY216" t="s">
        <v>273</v>
      </c>
      <c r="BZ216" t="s">
        <v>270</v>
      </c>
      <c r="CA216" t="s">
        <v>270</v>
      </c>
      <c r="CB216" t="s">
        <v>270</v>
      </c>
      <c r="CC216" t="s">
        <v>1780</v>
      </c>
      <c r="CD216" t="s">
        <v>1781</v>
      </c>
      <c r="CE216" t="s">
        <v>1782</v>
      </c>
      <c r="CF216" t="s">
        <v>1783</v>
      </c>
      <c r="CG216" t="str">
        <f t="shared" si="15"/>
        <v/>
      </c>
      <c r="CH216" t="str">
        <f t="shared" si="16"/>
        <v/>
      </c>
      <c r="CI216" t="str">
        <f t="shared" si="17"/>
        <v/>
      </c>
      <c r="CJ216" t="str">
        <f t="shared" si="18"/>
        <v/>
      </c>
      <c r="CK216" t="str">
        <f t="shared" si="19"/>
        <v/>
      </c>
    </row>
    <row r="217" spans="1:89">
      <c r="A217">
        <v>77010</v>
      </c>
      <c r="B217" t="s">
        <v>1839</v>
      </c>
      <c r="C217">
        <v>9.3609762191772496</v>
      </c>
      <c r="D217" t="s">
        <v>1806</v>
      </c>
      <c r="E217">
        <v>2009</v>
      </c>
      <c r="F217" t="s">
        <v>1788</v>
      </c>
      <c r="G217" t="s">
        <v>169</v>
      </c>
      <c r="H217">
        <v>98122</v>
      </c>
      <c r="I217" t="s">
        <v>1789</v>
      </c>
      <c r="J217" t="s">
        <v>1785</v>
      </c>
      <c r="K217" t="s">
        <v>1774</v>
      </c>
      <c r="L217">
        <v>117</v>
      </c>
      <c r="M217">
        <v>6.5</v>
      </c>
      <c r="N217">
        <v>0.5</v>
      </c>
      <c r="O217">
        <v>7</v>
      </c>
      <c r="P217">
        <v>0</v>
      </c>
      <c r="Q217">
        <v>102050</v>
      </c>
      <c r="R217">
        <v>93740</v>
      </c>
      <c r="S217">
        <v>15274</v>
      </c>
      <c r="T217">
        <v>0</v>
      </c>
      <c r="U217">
        <v>0</v>
      </c>
      <c r="V217">
        <v>23</v>
      </c>
      <c r="W217">
        <v>23</v>
      </c>
      <c r="X217">
        <v>71</v>
      </c>
      <c r="Y217">
        <v>3.5</v>
      </c>
      <c r="Z217" t="b">
        <v>1</v>
      </c>
      <c r="AA217" t="b">
        <v>1</v>
      </c>
      <c r="AB217">
        <v>8</v>
      </c>
      <c r="AC217">
        <v>363175.4375</v>
      </c>
      <c r="AD217">
        <v>415456.8125</v>
      </c>
      <c r="AE217">
        <v>778632.25</v>
      </c>
      <c r="AH217">
        <v>10431.32421875</v>
      </c>
      <c r="AI217">
        <v>3699825.75</v>
      </c>
      <c r="AK217">
        <v>7350</v>
      </c>
      <c r="AL217">
        <v>20</v>
      </c>
      <c r="AM217">
        <v>0</v>
      </c>
      <c r="AN217">
        <v>21</v>
      </c>
      <c r="AO217">
        <v>0</v>
      </c>
      <c r="AP217">
        <v>30</v>
      </c>
      <c r="AQ217">
        <v>0</v>
      </c>
      <c r="AR217">
        <v>0</v>
      </c>
      <c r="AS217">
        <v>29</v>
      </c>
      <c r="AT217" t="b">
        <v>1</v>
      </c>
      <c r="AU217">
        <v>0</v>
      </c>
      <c r="AV217">
        <v>0</v>
      </c>
      <c r="AW217">
        <v>2</v>
      </c>
      <c r="AX217" t="b">
        <v>0</v>
      </c>
      <c r="AY217" t="b">
        <v>0</v>
      </c>
      <c r="AZ217" t="b">
        <v>1</v>
      </c>
      <c r="BA217" t="b">
        <v>1</v>
      </c>
      <c r="BB217" t="s">
        <v>273</v>
      </c>
      <c r="BC217" t="s">
        <v>273</v>
      </c>
      <c r="BD217" t="s">
        <v>270</v>
      </c>
      <c r="BE217" t="s">
        <v>1775</v>
      </c>
      <c r="BF217" t="s">
        <v>1776</v>
      </c>
      <c r="BG217" t="s">
        <v>1777</v>
      </c>
      <c r="BH217" t="s">
        <v>1778</v>
      </c>
      <c r="BI217" t="s">
        <v>1847</v>
      </c>
      <c r="BJ217" t="b">
        <v>1</v>
      </c>
      <c r="BK217" t="b">
        <v>1</v>
      </c>
      <c r="BL217" t="b">
        <v>1</v>
      </c>
      <c r="BM217" t="b">
        <v>0</v>
      </c>
      <c r="BN217" t="b">
        <v>0</v>
      </c>
      <c r="BO217" t="b">
        <v>0</v>
      </c>
      <c r="BP217">
        <v>3</v>
      </c>
      <c r="BQ217">
        <v>127</v>
      </c>
      <c r="BR217">
        <v>1</v>
      </c>
      <c r="BS217">
        <v>1</v>
      </c>
      <c r="BT217" t="b">
        <v>1</v>
      </c>
      <c r="BU217">
        <v>30</v>
      </c>
      <c r="BV217">
        <v>90</v>
      </c>
      <c r="BW217">
        <v>31470</v>
      </c>
      <c r="BX217">
        <v>2</v>
      </c>
      <c r="BY217" t="s">
        <v>273</v>
      </c>
      <c r="BZ217" t="s">
        <v>270</v>
      </c>
      <c r="CA217" t="s">
        <v>270</v>
      </c>
      <c r="CB217" t="s">
        <v>270</v>
      </c>
      <c r="CC217" t="s">
        <v>1780</v>
      </c>
      <c r="CD217" t="s">
        <v>1781</v>
      </c>
      <c r="CE217" t="s">
        <v>1801</v>
      </c>
      <c r="CF217" t="s">
        <v>1783</v>
      </c>
      <c r="CG217" t="str">
        <f t="shared" si="15"/>
        <v/>
      </c>
      <c r="CH217" t="str">
        <f t="shared" si="16"/>
        <v/>
      </c>
      <c r="CI217" t="str">
        <f t="shared" si="17"/>
        <v/>
      </c>
      <c r="CJ217" t="str">
        <f t="shared" si="18"/>
        <v/>
      </c>
      <c r="CK217" t="str">
        <f t="shared" si="19"/>
        <v/>
      </c>
    </row>
    <row r="218" spans="1:89">
      <c r="A218">
        <v>77011</v>
      </c>
      <c r="B218" t="s">
        <v>1839</v>
      </c>
      <c r="C218">
        <v>8.8325338363647496</v>
      </c>
      <c r="D218" t="s">
        <v>1792</v>
      </c>
      <c r="E218">
        <v>1969</v>
      </c>
      <c r="F218" t="s">
        <v>1788</v>
      </c>
      <c r="G218" t="s">
        <v>169</v>
      </c>
      <c r="H218">
        <v>98104</v>
      </c>
      <c r="I218" t="s">
        <v>1789</v>
      </c>
      <c r="J218" t="s">
        <v>1785</v>
      </c>
      <c r="K218" t="s">
        <v>1774</v>
      </c>
      <c r="L218">
        <v>124</v>
      </c>
      <c r="M218">
        <v>11</v>
      </c>
      <c r="N218">
        <v>0</v>
      </c>
      <c r="O218">
        <v>11</v>
      </c>
      <c r="P218">
        <v>0</v>
      </c>
      <c r="Q218">
        <v>83202</v>
      </c>
      <c r="R218">
        <v>83202</v>
      </c>
      <c r="S218">
        <v>11697</v>
      </c>
      <c r="T218">
        <v>0</v>
      </c>
      <c r="U218">
        <v>0</v>
      </c>
      <c r="V218">
        <v>16</v>
      </c>
      <c r="W218">
        <v>40</v>
      </c>
      <c r="X218">
        <v>68</v>
      </c>
      <c r="Y218">
        <v>4</v>
      </c>
      <c r="Z218" t="b">
        <v>0</v>
      </c>
      <c r="AA218" t="b">
        <v>1</v>
      </c>
      <c r="AB218">
        <v>8</v>
      </c>
      <c r="AE218">
        <v>604588.5</v>
      </c>
      <c r="AH218">
        <v>1318.15930175781</v>
      </c>
      <c r="AI218">
        <v>2194672</v>
      </c>
      <c r="AJ218" t="s">
        <v>273</v>
      </c>
      <c r="AK218">
        <v>0</v>
      </c>
      <c r="AL218">
        <v>45</v>
      </c>
      <c r="AM218">
        <v>0</v>
      </c>
      <c r="AN218">
        <v>5</v>
      </c>
      <c r="AO218">
        <v>0</v>
      </c>
      <c r="AP218">
        <v>5</v>
      </c>
      <c r="AQ218">
        <v>0</v>
      </c>
      <c r="AR218">
        <v>0</v>
      </c>
      <c r="AS218">
        <v>45</v>
      </c>
      <c r="AT218" t="b">
        <v>1</v>
      </c>
      <c r="AU218">
        <v>3</v>
      </c>
      <c r="AV218">
        <v>4</v>
      </c>
      <c r="AW218">
        <v>2</v>
      </c>
      <c r="AX218" t="b">
        <v>1</v>
      </c>
      <c r="AY218" t="b">
        <v>0</v>
      </c>
      <c r="AZ218" t="b">
        <v>0</v>
      </c>
      <c r="BA218" t="b">
        <v>1</v>
      </c>
      <c r="BB218" t="s">
        <v>270</v>
      </c>
      <c r="BC218" t="s">
        <v>270</v>
      </c>
      <c r="BD218" t="s">
        <v>270</v>
      </c>
      <c r="BE218" t="s">
        <v>1813</v>
      </c>
      <c r="BF218" t="s">
        <v>1912</v>
      </c>
      <c r="BG218" t="s">
        <v>1814</v>
      </c>
      <c r="BH218" t="s">
        <v>1778</v>
      </c>
      <c r="BI218" t="s">
        <v>1812</v>
      </c>
      <c r="BJ218" t="b">
        <v>1</v>
      </c>
      <c r="BK218" t="b">
        <v>1</v>
      </c>
      <c r="BL218" t="b">
        <v>1</v>
      </c>
      <c r="BM218" t="b">
        <v>0</v>
      </c>
      <c r="BN218" t="b">
        <v>1</v>
      </c>
      <c r="BO218" t="b">
        <v>0</v>
      </c>
      <c r="BP218">
        <v>1</v>
      </c>
      <c r="BQ218">
        <v>1</v>
      </c>
      <c r="BR218">
        <v>1</v>
      </c>
      <c r="BS218">
        <v>1</v>
      </c>
      <c r="BT218" t="b">
        <v>1</v>
      </c>
      <c r="BV218">
        <v>33</v>
      </c>
      <c r="BW218">
        <v>14025</v>
      </c>
      <c r="BX218">
        <v>0</v>
      </c>
      <c r="BY218" t="s">
        <v>270</v>
      </c>
      <c r="BZ218" t="s">
        <v>270</v>
      </c>
      <c r="CA218" t="s">
        <v>270</v>
      </c>
      <c r="CB218" t="s">
        <v>273</v>
      </c>
      <c r="CC218" t="s">
        <v>1855</v>
      </c>
      <c r="CD218" t="s">
        <v>1841</v>
      </c>
      <c r="CE218" t="s">
        <v>1865</v>
      </c>
      <c r="CF218" t="s">
        <v>1842</v>
      </c>
      <c r="CG218" t="str">
        <f t="shared" si="15"/>
        <v/>
      </c>
      <c r="CH218" t="str">
        <f t="shared" si="16"/>
        <v/>
      </c>
      <c r="CI218" t="str">
        <f t="shared" si="17"/>
        <v/>
      </c>
      <c r="CJ218" t="str">
        <f t="shared" si="18"/>
        <v/>
      </c>
      <c r="CK218" t="str">
        <f t="shared" si="19"/>
        <v/>
      </c>
    </row>
    <row r="219" spans="1:89">
      <c r="A219">
        <v>78001</v>
      </c>
      <c r="B219" t="s">
        <v>1839</v>
      </c>
      <c r="C219">
        <v>4.0715026855468803</v>
      </c>
      <c r="D219" t="s">
        <v>1806</v>
      </c>
      <c r="E219">
        <v>2009</v>
      </c>
      <c r="F219" t="s">
        <v>1788</v>
      </c>
      <c r="G219" t="s">
        <v>169</v>
      </c>
      <c r="H219">
        <v>98101</v>
      </c>
      <c r="I219" t="s">
        <v>1789</v>
      </c>
      <c r="J219" t="s">
        <v>1785</v>
      </c>
      <c r="K219" t="s">
        <v>1774</v>
      </c>
      <c r="L219">
        <v>269</v>
      </c>
      <c r="M219">
        <v>28</v>
      </c>
      <c r="N219">
        <v>1</v>
      </c>
      <c r="O219">
        <v>30</v>
      </c>
      <c r="P219">
        <v>1</v>
      </c>
      <c r="Q219">
        <v>609987</v>
      </c>
      <c r="R219">
        <v>600552</v>
      </c>
      <c r="S219">
        <v>60800</v>
      </c>
      <c r="T219">
        <v>0</v>
      </c>
      <c r="U219">
        <v>23</v>
      </c>
      <c r="V219">
        <v>117</v>
      </c>
      <c r="W219">
        <v>128</v>
      </c>
      <c r="X219">
        <v>0</v>
      </c>
      <c r="Y219">
        <v>45</v>
      </c>
      <c r="Z219" t="b">
        <v>1</v>
      </c>
      <c r="AA219" t="b">
        <v>1</v>
      </c>
      <c r="AB219">
        <v>10</v>
      </c>
      <c r="AC219">
        <v>1988552.5</v>
      </c>
      <c r="AD219">
        <v>1025254.1875</v>
      </c>
      <c r="AE219">
        <v>3013806.75</v>
      </c>
      <c r="AH219">
        <v>81385.515625</v>
      </c>
      <c r="AI219">
        <v>18421660</v>
      </c>
      <c r="AJ219" t="s">
        <v>270</v>
      </c>
      <c r="AK219">
        <v>9335</v>
      </c>
      <c r="AL219">
        <v>0</v>
      </c>
      <c r="AM219">
        <v>28</v>
      </c>
      <c r="AN219">
        <v>0</v>
      </c>
      <c r="AO219">
        <v>21</v>
      </c>
      <c r="AP219">
        <v>0</v>
      </c>
      <c r="AQ219">
        <v>21</v>
      </c>
      <c r="AR219">
        <v>30</v>
      </c>
      <c r="AS219">
        <v>0</v>
      </c>
      <c r="AT219" t="b">
        <v>1</v>
      </c>
      <c r="AU219">
        <v>0</v>
      </c>
      <c r="AV219">
        <v>0</v>
      </c>
      <c r="AW219">
        <v>7</v>
      </c>
      <c r="AX219" t="b">
        <v>1</v>
      </c>
      <c r="AY219" t="b">
        <v>1</v>
      </c>
      <c r="AZ219" t="b">
        <v>0</v>
      </c>
      <c r="BA219" t="b">
        <v>1</v>
      </c>
      <c r="BB219" t="s">
        <v>273</v>
      </c>
      <c r="BC219" t="s">
        <v>273</v>
      </c>
      <c r="BD219" t="s">
        <v>273</v>
      </c>
      <c r="BE219" t="s">
        <v>1897</v>
      </c>
      <c r="BF219" t="s">
        <v>1810</v>
      </c>
      <c r="BG219" t="s">
        <v>1814</v>
      </c>
      <c r="BH219" t="s">
        <v>1898</v>
      </c>
      <c r="BI219" t="s">
        <v>1847</v>
      </c>
      <c r="BJ219" t="b">
        <v>1</v>
      </c>
      <c r="BK219" t="b">
        <v>1</v>
      </c>
      <c r="BL219" t="b">
        <v>1</v>
      </c>
      <c r="BM219" t="b">
        <v>0</v>
      </c>
      <c r="BN219" t="b">
        <v>0</v>
      </c>
      <c r="BO219" t="b">
        <v>0</v>
      </c>
      <c r="BQ219">
        <v>269</v>
      </c>
      <c r="BR219">
        <v>1</v>
      </c>
      <c r="BS219">
        <v>1</v>
      </c>
      <c r="BT219" t="b">
        <v>1</v>
      </c>
      <c r="BU219">
        <v>10</v>
      </c>
      <c r="BV219">
        <v>490</v>
      </c>
      <c r="BW219">
        <v>205532</v>
      </c>
      <c r="BX219">
        <v>8</v>
      </c>
      <c r="BY219" t="s">
        <v>273</v>
      </c>
      <c r="BZ219" t="s">
        <v>270</v>
      </c>
      <c r="CA219" t="s">
        <v>270</v>
      </c>
      <c r="CB219" t="s">
        <v>270</v>
      </c>
      <c r="CC219" t="s">
        <v>1855</v>
      </c>
      <c r="CD219" t="s">
        <v>1913</v>
      </c>
      <c r="CE219" t="s">
        <v>1801</v>
      </c>
      <c r="CF219" t="s">
        <v>1829</v>
      </c>
      <c r="CG219" t="str">
        <f t="shared" si="15"/>
        <v/>
      </c>
      <c r="CH219" t="str">
        <f t="shared" si="16"/>
        <v/>
      </c>
      <c r="CI219" t="str">
        <f t="shared" si="17"/>
        <v/>
      </c>
      <c r="CJ219" t="str">
        <f t="shared" si="18"/>
        <v/>
      </c>
      <c r="CK219" t="str">
        <f t="shared" si="19"/>
        <v/>
      </c>
    </row>
    <row r="220" spans="1:89">
      <c r="A220">
        <v>78002</v>
      </c>
      <c r="B220" t="s">
        <v>1839</v>
      </c>
      <c r="C220">
        <v>4.95581102371216</v>
      </c>
      <c r="D220" t="s">
        <v>1808</v>
      </c>
      <c r="E220">
        <v>1991</v>
      </c>
      <c r="F220" t="s">
        <v>1788</v>
      </c>
      <c r="G220" t="s">
        <v>169</v>
      </c>
      <c r="H220">
        <v>98121</v>
      </c>
      <c r="I220" t="s">
        <v>1789</v>
      </c>
      <c r="J220" t="s">
        <v>1785</v>
      </c>
      <c r="K220" t="s">
        <v>1774</v>
      </c>
      <c r="L220">
        <v>221</v>
      </c>
      <c r="M220">
        <v>25</v>
      </c>
      <c r="N220">
        <v>1</v>
      </c>
      <c r="O220">
        <v>28</v>
      </c>
      <c r="P220">
        <v>2</v>
      </c>
      <c r="Q220">
        <v>439500</v>
      </c>
      <c r="R220">
        <v>427500</v>
      </c>
      <c r="S220">
        <v>38833</v>
      </c>
      <c r="T220">
        <v>0</v>
      </c>
      <c r="U220">
        <v>12</v>
      </c>
      <c r="V220">
        <v>83</v>
      </c>
      <c r="W220">
        <v>54</v>
      </c>
      <c r="X220">
        <v>72</v>
      </c>
      <c r="Y220">
        <v>4</v>
      </c>
      <c r="Z220" t="b">
        <v>1</v>
      </c>
      <c r="AA220" t="b">
        <v>1</v>
      </c>
      <c r="AB220">
        <v>8</v>
      </c>
      <c r="AC220">
        <v>938029.8125</v>
      </c>
      <c r="AD220">
        <v>1332425.25</v>
      </c>
      <c r="AE220">
        <v>2270455</v>
      </c>
      <c r="AJ220" t="s">
        <v>273</v>
      </c>
      <c r="AK220">
        <v>0</v>
      </c>
      <c r="AL220">
        <v>25</v>
      </c>
      <c r="AM220">
        <v>0</v>
      </c>
      <c r="AN220">
        <v>23</v>
      </c>
      <c r="AO220">
        <v>0</v>
      </c>
      <c r="AP220">
        <v>23</v>
      </c>
      <c r="AQ220">
        <v>0</v>
      </c>
      <c r="AR220">
        <v>0</v>
      </c>
      <c r="AS220">
        <v>29</v>
      </c>
      <c r="AT220" t="b">
        <v>0</v>
      </c>
      <c r="AU220">
        <v>3</v>
      </c>
      <c r="AV220">
        <v>3</v>
      </c>
      <c r="AW220">
        <v>3</v>
      </c>
      <c r="AX220" t="b">
        <v>0</v>
      </c>
      <c r="AY220" t="b">
        <v>0</v>
      </c>
      <c r="AZ220" t="b">
        <v>1</v>
      </c>
      <c r="BA220" t="b">
        <v>1</v>
      </c>
      <c r="BB220" t="s">
        <v>273</v>
      </c>
      <c r="BC220" t="s">
        <v>273</v>
      </c>
      <c r="BD220" t="s">
        <v>273</v>
      </c>
      <c r="BE220" t="s">
        <v>1775</v>
      </c>
      <c r="BF220" t="s">
        <v>1776</v>
      </c>
      <c r="BG220" t="s">
        <v>1777</v>
      </c>
      <c r="BH220" t="s">
        <v>1778</v>
      </c>
      <c r="BI220" t="s">
        <v>1812</v>
      </c>
      <c r="BJ220" t="b">
        <v>1</v>
      </c>
      <c r="BK220" t="b">
        <v>1</v>
      </c>
      <c r="BL220" t="b">
        <v>1</v>
      </c>
      <c r="BM220" t="b">
        <v>0</v>
      </c>
      <c r="BN220" t="b">
        <v>0</v>
      </c>
      <c r="BO220" t="b">
        <v>0</v>
      </c>
      <c r="BP220">
        <v>10</v>
      </c>
      <c r="BQ220">
        <v>225</v>
      </c>
      <c r="BR220">
        <v>1</v>
      </c>
      <c r="BS220">
        <v>1</v>
      </c>
      <c r="BT220" t="b">
        <v>1</v>
      </c>
      <c r="BU220">
        <v>10</v>
      </c>
      <c r="BV220">
        <v>246</v>
      </c>
      <c r="BW220">
        <v>94550</v>
      </c>
      <c r="BX220">
        <v>3</v>
      </c>
      <c r="BY220" t="s">
        <v>273</v>
      </c>
      <c r="BZ220" t="s">
        <v>270</v>
      </c>
      <c r="CA220" t="s">
        <v>270</v>
      </c>
      <c r="CB220" t="s">
        <v>270</v>
      </c>
      <c r="CC220" t="s">
        <v>1855</v>
      </c>
      <c r="CD220" t="s">
        <v>1841</v>
      </c>
      <c r="CE220" t="s">
        <v>1801</v>
      </c>
      <c r="CF220" t="s">
        <v>1842</v>
      </c>
      <c r="CG220" t="str">
        <f t="shared" si="15"/>
        <v/>
      </c>
      <c r="CH220" t="str">
        <f t="shared" si="16"/>
        <v/>
      </c>
      <c r="CI220" t="str">
        <f t="shared" si="17"/>
        <v/>
      </c>
      <c r="CJ220" t="str">
        <f t="shared" si="18"/>
        <v/>
      </c>
      <c r="CK220" t="str">
        <f t="shared" si="19"/>
        <v/>
      </c>
    </row>
    <row r="221" spans="1:89">
      <c r="A221">
        <v>78003</v>
      </c>
      <c r="B221" t="s">
        <v>1839</v>
      </c>
      <c r="C221">
        <v>5.8568677902221697</v>
      </c>
      <c r="D221" t="s">
        <v>1808</v>
      </c>
      <c r="E221">
        <v>2000</v>
      </c>
      <c r="F221" t="s">
        <v>1788</v>
      </c>
      <c r="G221" t="s">
        <v>169</v>
      </c>
      <c r="H221">
        <v>98121</v>
      </c>
      <c r="I221" t="s">
        <v>1789</v>
      </c>
      <c r="K221" t="s">
        <v>1774</v>
      </c>
      <c r="L221">
        <v>187</v>
      </c>
      <c r="M221">
        <v>7</v>
      </c>
      <c r="N221">
        <v>0</v>
      </c>
      <c r="O221">
        <v>7</v>
      </c>
      <c r="P221">
        <v>0</v>
      </c>
      <c r="Q221">
        <v>142497</v>
      </c>
      <c r="R221">
        <v>140267</v>
      </c>
      <c r="S221">
        <v>28269</v>
      </c>
      <c r="T221">
        <v>0</v>
      </c>
      <c r="U221">
        <v>0</v>
      </c>
      <c r="V221">
        <v>10</v>
      </c>
      <c r="W221">
        <v>74</v>
      </c>
      <c r="X221">
        <v>103</v>
      </c>
      <c r="Y221">
        <v>4</v>
      </c>
      <c r="Z221" t="b">
        <v>1</v>
      </c>
      <c r="AA221" t="b">
        <v>1</v>
      </c>
      <c r="AB221">
        <v>9</v>
      </c>
      <c r="AC221">
        <v>317480.9375</v>
      </c>
      <c r="AD221">
        <v>893054.625</v>
      </c>
      <c r="AE221">
        <v>1210535.5</v>
      </c>
      <c r="AI221">
        <v>4130347.25</v>
      </c>
      <c r="AJ221" t="s">
        <v>270</v>
      </c>
      <c r="AK221">
        <v>2230</v>
      </c>
      <c r="AL221">
        <v>0</v>
      </c>
      <c r="AM221">
        <v>20</v>
      </c>
      <c r="AN221">
        <v>0</v>
      </c>
      <c r="AO221">
        <v>23</v>
      </c>
      <c r="AP221">
        <v>0</v>
      </c>
      <c r="AQ221">
        <v>23</v>
      </c>
      <c r="AR221">
        <v>34</v>
      </c>
      <c r="AS221">
        <v>0</v>
      </c>
      <c r="AT221" t="b">
        <v>1</v>
      </c>
      <c r="AU221">
        <v>0</v>
      </c>
      <c r="AV221">
        <v>0</v>
      </c>
      <c r="AW221">
        <v>3</v>
      </c>
      <c r="AX221" t="b">
        <v>0</v>
      </c>
      <c r="AY221" t="b">
        <v>0</v>
      </c>
      <c r="AZ221" t="b">
        <v>1</v>
      </c>
      <c r="BA221" t="b">
        <v>1</v>
      </c>
      <c r="BB221" t="s">
        <v>270</v>
      </c>
      <c r="BC221" t="s">
        <v>273</v>
      </c>
      <c r="BD221" t="s">
        <v>270</v>
      </c>
      <c r="BE221" t="s">
        <v>1775</v>
      </c>
      <c r="BF221" t="s">
        <v>1776</v>
      </c>
      <c r="BG221" t="s">
        <v>1777</v>
      </c>
      <c r="BH221" t="s">
        <v>1778</v>
      </c>
      <c r="BI221" t="s">
        <v>1790</v>
      </c>
      <c r="BJ221" t="b">
        <v>0</v>
      </c>
      <c r="BK221" t="b">
        <v>1</v>
      </c>
      <c r="BL221" t="b">
        <v>0</v>
      </c>
      <c r="BM221" t="b">
        <v>0</v>
      </c>
      <c r="BN221" t="b">
        <v>0</v>
      </c>
      <c r="BO221" t="b">
        <v>0</v>
      </c>
      <c r="BP221">
        <v>7</v>
      </c>
      <c r="BQ221">
        <v>189</v>
      </c>
      <c r="BR221">
        <v>0</v>
      </c>
      <c r="BS221">
        <v>0</v>
      </c>
      <c r="BT221" t="b">
        <v>1</v>
      </c>
      <c r="BU221">
        <v>0</v>
      </c>
      <c r="BV221">
        <v>182</v>
      </c>
      <c r="BW221">
        <v>49580</v>
      </c>
      <c r="BX221">
        <v>2</v>
      </c>
      <c r="BY221" t="s">
        <v>273</v>
      </c>
      <c r="BZ221" t="s">
        <v>270</v>
      </c>
      <c r="CA221" t="s">
        <v>270</v>
      </c>
      <c r="CB221" t="s">
        <v>270</v>
      </c>
      <c r="CC221" t="s">
        <v>1780</v>
      </c>
      <c r="CD221" t="s">
        <v>1781</v>
      </c>
      <c r="CE221" t="s">
        <v>1801</v>
      </c>
      <c r="CF221" t="s">
        <v>1783</v>
      </c>
      <c r="CG221" t="str">
        <f t="shared" si="15"/>
        <v/>
      </c>
      <c r="CH221" t="str">
        <f t="shared" si="16"/>
        <v/>
      </c>
      <c r="CI221" t="str">
        <f t="shared" si="17"/>
        <v/>
      </c>
      <c r="CJ221" t="str">
        <f t="shared" si="18"/>
        <v/>
      </c>
      <c r="CK221" t="str">
        <f t="shared" si="19"/>
        <v/>
      </c>
    </row>
    <row r="222" spans="1:89">
      <c r="A222">
        <v>78004</v>
      </c>
      <c r="B222" t="s">
        <v>1839</v>
      </c>
      <c r="C222">
        <v>4.3634829521179199</v>
      </c>
      <c r="D222" t="s">
        <v>1806</v>
      </c>
      <c r="E222">
        <v>2008</v>
      </c>
      <c r="F222" t="s">
        <v>1788</v>
      </c>
      <c r="G222" t="s">
        <v>169</v>
      </c>
      <c r="H222">
        <v>98121</v>
      </c>
      <c r="I222" t="s">
        <v>1789</v>
      </c>
      <c r="J222" t="s">
        <v>1785</v>
      </c>
      <c r="K222" t="s">
        <v>1774</v>
      </c>
      <c r="L222">
        <v>251</v>
      </c>
      <c r="M222">
        <v>6</v>
      </c>
      <c r="N222">
        <v>1</v>
      </c>
      <c r="O222">
        <v>7</v>
      </c>
      <c r="P222">
        <v>0</v>
      </c>
      <c r="Q222">
        <v>141296</v>
      </c>
      <c r="R222">
        <v>133741</v>
      </c>
      <c r="S222">
        <v>27806</v>
      </c>
      <c r="T222">
        <v>0</v>
      </c>
      <c r="U222">
        <v>0</v>
      </c>
      <c r="V222">
        <v>30</v>
      </c>
      <c r="W222">
        <v>86</v>
      </c>
      <c r="X222">
        <v>135</v>
      </c>
      <c r="Y222">
        <v>6</v>
      </c>
      <c r="Z222" t="b">
        <v>1</v>
      </c>
      <c r="AA222" t="b">
        <v>1</v>
      </c>
      <c r="AB222">
        <v>8</v>
      </c>
      <c r="AC222">
        <v>325793.84375</v>
      </c>
      <c r="AD222">
        <v>656149.3125</v>
      </c>
      <c r="AE222">
        <v>981943.125</v>
      </c>
      <c r="AJ222" t="s">
        <v>270</v>
      </c>
      <c r="AK222">
        <v>7555</v>
      </c>
      <c r="AL222">
        <v>23</v>
      </c>
      <c r="AM222">
        <v>0</v>
      </c>
      <c r="AN222">
        <v>21</v>
      </c>
      <c r="AO222">
        <v>0</v>
      </c>
      <c r="AP222">
        <v>21</v>
      </c>
      <c r="AQ222">
        <v>0</v>
      </c>
      <c r="AR222">
        <v>0</v>
      </c>
      <c r="AS222">
        <v>35</v>
      </c>
      <c r="AT222" t="b">
        <v>1</v>
      </c>
      <c r="AU222">
        <v>0</v>
      </c>
      <c r="AV222">
        <v>0</v>
      </c>
      <c r="AW222">
        <v>2</v>
      </c>
      <c r="AX222" t="b">
        <v>0</v>
      </c>
      <c r="AY222" t="b">
        <v>0</v>
      </c>
      <c r="AZ222" t="b">
        <v>1</v>
      </c>
      <c r="BA222" t="b">
        <v>1</v>
      </c>
      <c r="BB222" t="s">
        <v>270</v>
      </c>
      <c r="BC222" t="s">
        <v>273</v>
      </c>
      <c r="BD222" t="s">
        <v>270</v>
      </c>
      <c r="BE222" t="s">
        <v>1775</v>
      </c>
      <c r="BF222" t="s">
        <v>1776</v>
      </c>
      <c r="BG222" t="s">
        <v>1777</v>
      </c>
      <c r="BH222" t="s">
        <v>1778</v>
      </c>
      <c r="BI222" t="s">
        <v>1847</v>
      </c>
      <c r="BJ222" t="b">
        <v>1</v>
      </c>
      <c r="BK222" t="b">
        <v>1</v>
      </c>
      <c r="BL222" t="b">
        <v>1</v>
      </c>
      <c r="BM222" t="b">
        <v>0</v>
      </c>
      <c r="BN222" t="b">
        <v>0</v>
      </c>
      <c r="BO222" t="b">
        <v>0</v>
      </c>
      <c r="BP222">
        <v>3</v>
      </c>
      <c r="BQ222">
        <v>254</v>
      </c>
      <c r="BR222">
        <v>1</v>
      </c>
      <c r="BS222">
        <v>1</v>
      </c>
      <c r="BT222" t="b">
        <v>1</v>
      </c>
      <c r="BU222">
        <v>0</v>
      </c>
      <c r="BV222">
        <v>172</v>
      </c>
      <c r="BW222">
        <v>57349</v>
      </c>
      <c r="BX222">
        <v>3</v>
      </c>
      <c r="BY222" t="s">
        <v>273</v>
      </c>
      <c r="BZ222" t="s">
        <v>270</v>
      </c>
      <c r="CA222" t="s">
        <v>270</v>
      </c>
      <c r="CB222" t="s">
        <v>270</v>
      </c>
      <c r="CC222" t="s">
        <v>1780</v>
      </c>
      <c r="CD222" t="s">
        <v>1781</v>
      </c>
      <c r="CE222" t="s">
        <v>1801</v>
      </c>
      <c r="CF222" t="s">
        <v>1783</v>
      </c>
      <c r="CG222" t="str">
        <f t="shared" si="15"/>
        <v/>
      </c>
      <c r="CH222" t="str">
        <f t="shared" si="16"/>
        <v/>
      </c>
      <c r="CI222" t="str">
        <f t="shared" si="17"/>
        <v/>
      </c>
      <c r="CJ222" t="str">
        <f t="shared" si="18"/>
        <v/>
      </c>
      <c r="CK222" t="str">
        <f t="shared" si="19"/>
        <v/>
      </c>
    </row>
    <row r="223" spans="1:89">
      <c r="A223">
        <v>78005</v>
      </c>
      <c r="B223" t="s">
        <v>1839</v>
      </c>
      <c r="C223">
        <v>3.0765006542205802</v>
      </c>
      <c r="D223" t="s">
        <v>1806</v>
      </c>
      <c r="E223">
        <v>2001</v>
      </c>
      <c r="F223" t="s">
        <v>1788</v>
      </c>
      <c r="G223" t="s">
        <v>169</v>
      </c>
      <c r="H223">
        <v>98101</v>
      </c>
      <c r="I223" t="s">
        <v>1789</v>
      </c>
      <c r="J223" t="s">
        <v>1785</v>
      </c>
      <c r="K223" t="s">
        <v>1774</v>
      </c>
      <c r="L223">
        <v>356</v>
      </c>
      <c r="M223">
        <v>29</v>
      </c>
      <c r="N223">
        <v>1</v>
      </c>
      <c r="O223">
        <v>31</v>
      </c>
      <c r="P223">
        <v>0</v>
      </c>
      <c r="Q223">
        <v>381505</v>
      </c>
      <c r="R223">
        <v>371349</v>
      </c>
      <c r="S223">
        <v>44170</v>
      </c>
      <c r="T223">
        <v>0</v>
      </c>
      <c r="U223">
        <v>2</v>
      </c>
      <c r="V223">
        <v>123</v>
      </c>
      <c r="W223">
        <v>146</v>
      </c>
      <c r="X223">
        <v>85</v>
      </c>
      <c r="Y223">
        <v>6</v>
      </c>
      <c r="Z223" t="b">
        <v>1</v>
      </c>
      <c r="AA223" t="b">
        <v>1</v>
      </c>
      <c r="AB223">
        <v>9</v>
      </c>
      <c r="AC223">
        <v>2080146.375</v>
      </c>
      <c r="AD223">
        <v>1934776.125</v>
      </c>
      <c r="AE223">
        <v>4014922.5</v>
      </c>
      <c r="AH223">
        <v>102295.203125</v>
      </c>
      <c r="AI223">
        <v>23928436</v>
      </c>
      <c r="AJ223" t="s">
        <v>270</v>
      </c>
      <c r="AK223">
        <v>10156</v>
      </c>
      <c r="AL223">
        <v>39</v>
      </c>
      <c r="AM223">
        <v>0</v>
      </c>
      <c r="AN223">
        <v>22</v>
      </c>
      <c r="AO223">
        <v>0</v>
      </c>
      <c r="AP223">
        <v>2</v>
      </c>
      <c r="AQ223">
        <v>0</v>
      </c>
      <c r="AR223">
        <v>0</v>
      </c>
      <c r="AS223">
        <v>37</v>
      </c>
      <c r="AT223" t="b">
        <v>1</v>
      </c>
      <c r="AU223">
        <v>0</v>
      </c>
      <c r="AV223">
        <v>0</v>
      </c>
      <c r="AW223">
        <v>4</v>
      </c>
      <c r="AX223" t="b">
        <v>1</v>
      </c>
      <c r="AY223" t="b">
        <v>1</v>
      </c>
      <c r="AZ223" t="b">
        <v>0</v>
      </c>
      <c r="BA223" t="b">
        <v>1</v>
      </c>
      <c r="BB223" t="s">
        <v>273</v>
      </c>
      <c r="BC223" t="s">
        <v>273</v>
      </c>
      <c r="BD223" t="s">
        <v>273</v>
      </c>
      <c r="BE223" t="s">
        <v>1897</v>
      </c>
      <c r="BF223" t="s">
        <v>1810</v>
      </c>
      <c r="BG223" t="s">
        <v>1814</v>
      </c>
      <c r="BH223" t="s">
        <v>1898</v>
      </c>
      <c r="BI223" t="s">
        <v>1812</v>
      </c>
      <c r="BJ223" t="b">
        <v>1</v>
      </c>
      <c r="BK223" t="b">
        <v>1</v>
      </c>
      <c r="BL223" t="b">
        <v>1</v>
      </c>
      <c r="BM223" t="b">
        <v>0</v>
      </c>
      <c r="BN223" t="b">
        <v>0</v>
      </c>
      <c r="BO223" t="b">
        <v>0</v>
      </c>
      <c r="BP223">
        <v>13</v>
      </c>
      <c r="BQ223">
        <v>365</v>
      </c>
      <c r="BR223">
        <v>1</v>
      </c>
      <c r="BS223">
        <v>1</v>
      </c>
      <c r="BT223" t="b">
        <v>1</v>
      </c>
      <c r="BU223">
        <v>10</v>
      </c>
      <c r="BV223">
        <v>386</v>
      </c>
      <c r="BW223">
        <v>139826</v>
      </c>
      <c r="BX223">
        <v>7</v>
      </c>
      <c r="BY223" t="s">
        <v>273</v>
      </c>
      <c r="BZ223" t="s">
        <v>270</v>
      </c>
      <c r="CA223" t="s">
        <v>270</v>
      </c>
      <c r="CB223" t="s">
        <v>270</v>
      </c>
      <c r="CC223" t="s">
        <v>1855</v>
      </c>
      <c r="CD223" t="s">
        <v>1841</v>
      </c>
      <c r="CE223" t="s">
        <v>1801</v>
      </c>
      <c r="CF223" t="s">
        <v>1842</v>
      </c>
      <c r="CG223" t="str">
        <f t="shared" si="15"/>
        <v/>
      </c>
      <c r="CH223" t="str">
        <f t="shared" si="16"/>
        <v/>
      </c>
      <c r="CI223" t="str">
        <f t="shared" si="17"/>
        <v/>
      </c>
      <c r="CJ223" t="str">
        <f t="shared" si="18"/>
        <v/>
      </c>
      <c r="CK223" t="str">
        <f t="shared" si="19"/>
        <v/>
      </c>
    </row>
    <row r="224" spans="1:89">
      <c r="A224">
        <v>78006</v>
      </c>
      <c r="B224" t="s">
        <v>1839</v>
      </c>
      <c r="C224">
        <v>3.1203253269195601</v>
      </c>
      <c r="D224" t="s">
        <v>1806</v>
      </c>
      <c r="E224">
        <v>2010</v>
      </c>
      <c r="F224" t="s">
        <v>1788</v>
      </c>
      <c r="G224" t="s">
        <v>169</v>
      </c>
      <c r="H224">
        <v>98118</v>
      </c>
      <c r="I224" t="s">
        <v>1789</v>
      </c>
      <c r="J224" t="s">
        <v>1785</v>
      </c>
      <c r="K224" t="s">
        <v>1774</v>
      </c>
      <c r="L224">
        <v>351</v>
      </c>
      <c r="M224">
        <v>6</v>
      </c>
      <c r="N224">
        <v>2</v>
      </c>
      <c r="O224">
        <v>7</v>
      </c>
      <c r="P224">
        <v>0</v>
      </c>
      <c r="Q224">
        <v>345759</v>
      </c>
      <c r="R224">
        <v>323699</v>
      </c>
      <c r="S224">
        <v>35739</v>
      </c>
      <c r="T224">
        <v>0</v>
      </c>
      <c r="U224">
        <v>0</v>
      </c>
      <c r="V224">
        <v>40</v>
      </c>
      <c r="W224">
        <v>144</v>
      </c>
      <c r="X224">
        <v>167</v>
      </c>
      <c r="Y224">
        <v>38</v>
      </c>
      <c r="Z224" t="b">
        <v>1</v>
      </c>
      <c r="AA224" t="b">
        <v>1</v>
      </c>
      <c r="AB224">
        <v>9</v>
      </c>
      <c r="AC224">
        <v>791213.4375</v>
      </c>
      <c r="AD224">
        <v>1200007.875</v>
      </c>
      <c r="AE224">
        <v>1991221.25</v>
      </c>
      <c r="AH224">
        <v>20277.91796875</v>
      </c>
      <c r="AI224">
        <v>8821839</v>
      </c>
      <c r="AJ224" t="s">
        <v>270</v>
      </c>
      <c r="AK224">
        <v>16835</v>
      </c>
      <c r="AL224">
        <v>28</v>
      </c>
      <c r="AM224">
        <v>0</v>
      </c>
      <c r="AN224">
        <v>28</v>
      </c>
      <c r="AO224">
        <v>0</v>
      </c>
      <c r="AP224">
        <v>21</v>
      </c>
      <c r="AQ224">
        <v>0</v>
      </c>
      <c r="AR224">
        <v>0</v>
      </c>
      <c r="AS224">
        <v>23</v>
      </c>
      <c r="AT224" t="b">
        <v>1</v>
      </c>
      <c r="AU224">
        <v>8</v>
      </c>
      <c r="AV224">
        <v>8</v>
      </c>
      <c r="AW224">
        <v>4</v>
      </c>
      <c r="AX224" t="b">
        <v>0</v>
      </c>
      <c r="AY224" t="b">
        <v>0</v>
      </c>
      <c r="AZ224" t="b">
        <v>1</v>
      </c>
      <c r="BA224" t="b">
        <v>1</v>
      </c>
      <c r="BB224" t="s">
        <v>270</v>
      </c>
      <c r="BC224" t="s">
        <v>273</v>
      </c>
      <c r="BD224" t="s">
        <v>273</v>
      </c>
      <c r="BE224" t="s">
        <v>1775</v>
      </c>
      <c r="BF224" t="s">
        <v>1776</v>
      </c>
      <c r="BG224" t="s">
        <v>1777</v>
      </c>
      <c r="BH224" t="s">
        <v>1778</v>
      </c>
      <c r="BI224" t="s">
        <v>1812</v>
      </c>
      <c r="BJ224" t="b">
        <v>1</v>
      </c>
      <c r="BK224" t="b">
        <v>1</v>
      </c>
      <c r="BL224" t="b">
        <v>1</v>
      </c>
      <c r="BM224" t="b">
        <v>0</v>
      </c>
      <c r="BN224" t="b">
        <v>0</v>
      </c>
      <c r="BO224" t="b">
        <v>0</v>
      </c>
      <c r="BP224">
        <v>3</v>
      </c>
      <c r="BQ224">
        <v>365</v>
      </c>
      <c r="BR224">
        <v>1</v>
      </c>
      <c r="BS224">
        <v>2</v>
      </c>
      <c r="BT224" t="b">
        <v>1</v>
      </c>
      <c r="BU224">
        <v>10</v>
      </c>
      <c r="BV224">
        <v>335</v>
      </c>
      <c r="BW224">
        <v>125220</v>
      </c>
      <c r="BX224">
        <v>3</v>
      </c>
      <c r="BY224" t="s">
        <v>273</v>
      </c>
      <c r="BZ224" t="s">
        <v>270</v>
      </c>
      <c r="CA224" t="s">
        <v>270</v>
      </c>
      <c r="CB224" t="s">
        <v>270</v>
      </c>
      <c r="CC224" t="s">
        <v>1780</v>
      </c>
      <c r="CD224" t="s">
        <v>1781</v>
      </c>
      <c r="CE224" t="s">
        <v>1801</v>
      </c>
      <c r="CF224" t="s">
        <v>1783</v>
      </c>
      <c r="CG224" t="str">
        <f t="shared" si="15"/>
        <v/>
      </c>
      <c r="CH224" t="str">
        <f t="shared" si="16"/>
        <v/>
      </c>
      <c r="CI224" t="str">
        <f t="shared" si="17"/>
        <v/>
      </c>
      <c r="CJ224" t="str">
        <f t="shared" si="18"/>
        <v/>
      </c>
      <c r="CK224" t="str">
        <f t="shared" si="19"/>
        <v/>
      </c>
    </row>
    <row r="225" spans="1:89">
      <c r="A225">
        <v>78007</v>
      </c>
      <c r="B225" t="s">
        <v>1799</v>
      </c>
      <c r="C225">
        <v>5.31667137145996</v>
      </c>
      <c r="D225" t="s">
        <v>1806</v>
      </c>
      <c r="E225">
        <v>2008</v>
      </c>
      <c r="F225" t="s">
        <v>1788</v>
      </c>
      <c r="G225" t="s">
        <v>169</v>
      </c>
      <c r="H225">
        <v>98125</v>
      </c>
      <c r="I225" t="s">
        <v>1789</v>
      </c>
      <c r="J225" t="s">
        <v>1785</v>
      </c>
      <c r="K225" t="s">
        <v>1774</v>
      </c>
      <c r="L225">
        <v>206</v>
      </c>
      <c r="M225">
        <v>6</v>
      </c>
      <c r="N225">
        <v>1</v>
      </c>
      <c r="O225">
        <v>6</v>
      </c>
      <c r="P225">
        <v>0</v>
      </c>
      <c r="Q225">
        <v>151921</v>
      </c>
      <c r="R225">
        <v>148666</v>
      </c>
      <c r="S225">
        <v>26691</v>
      </c>
      <c r="T225">
        <v>0</v>
      </c>
      <c r="U225">
        <v>0</v>
      </c>
      <c r="V225">
        <v>75</v>
      </c>
      <c r="W225">
        <v>131</v>
      </c>
      <c r="X225">
        <v>0</v>
      </c>
      <c r="Y225">
        <v>2</v>
      </c>
      <c r="Z225" t="b">
        <v>1</v>
      </c>
      <c r="AA225" t="b">
        <v>1</v>
      </c>
      <c r="AB225">
        <v>8</v>
      </c>
      <c r="AC225">
        <v>306263.5</v>
      </c>
      <c r="AD225">
        <v>904689.4375</v>
      </c>
      <c r="AE225">
        <v>1210953</v>
      </c>
      <c r="AH225">
        <v>19453.470703125</v>
      </c>
      <c r="AI225">
        <v>6077118.5</v>
      </c>
      <c r="AJ225" t="s">
        <v>270</v>
      </c>
      <c r="AK225">
        <v>3255</v>
      </c>
      <c r="AL225">
        <v>20</v>
      </c>
      <c r="AM225">
        <v>0</v>
      </c>
      <c r="AN225">
        <v>24</v>
      </c>
      <c r="AO225">
        <v>0</v>
      </c>
      <c r="AP225">
        <v>29</v>
      </c>
      <c r="AQ225">
        <v>0</v>
      </c>
      <c r="AR225">
        <v>0</v>
      </c>
      <c r="AS225">
        <v>27</v>
      </c>
      <c r="AT225" t="b">
        <v>0</v>
      </c>
      <c r="AU225">
        <v>12</v>
      </c>
      <c r="AV225">
        <v>12</v>
      </c>
      <c r="AW225">
        <v>2</v>
      </c>
      <c r="AX225" t="b">
        <v>0</v>
      </c>
      <c r="AY225" t="b">
        <v>0</v>
      </c>
      <c r="AZ225" t="b">
        <v>1</v>
      </c>
      <c r="BA225" t="b">
        <v>1</v>
      </c>
      <c r="BB225" t="s">
        <v>270</v>
      </c>
      <c r="BC225" t="s">
        <v>273</v>
      </c>
      <c r="BD225" t="s">
        <v>270</v>
      </c>
      <c r="BE225" t="s">
        <v>1775</v>
      </c>
      <c r="BF225" t="s">
        <v>1776</v>
      </c>
      <c r="BG225" t="s">
        <v>1777</v>
      </c>
      <c r="BH225" t="s">
        <v>1778</v>
      </c>
      <c r="BI225" t="s">
        <v>1812</v>
      </c>
      <c r="BJ225" t="b">
        <v>1</v>
      </c>
      <c r="BK225" t="b">
        <v>1</v>
      </c>
      <c r="BL225" t="b">
        <v>1</v>
      </c>
      <c r="BM225" t="b">
        <v>0</v>
      </c>
      <c r="BN225" t="b">
        <v>0</v>
      </c>
      <c r="BO225" t="b">
        <v>0</v>
      </c>
      <c r="BP225">
        <v>2</v>
      </c>
      <c r="BQ225">
        <v>212</v>
      </c>
      <c r="BT225" t="b">
        <v>1</v>
      </c>
      <c r="BU225">
        <v>0</v>
      </c>
      <c r="BV225">
        <v>81</v>
      </c>
      <c r="BW225">
        <v>30146</v>
      </c>
      <c r="BX225">
        <v>1</v>
      </c>
      <c r="BY225" t="s">
        <v>273</v>
      </c>
      <c r="BZ225" t="s">
        <v>270</v>
      </c>
      <c r="CA225" t="s">
        <v>270</v>
      </c>
      <c r="CB225" t="s">
        <v>270</v>
      </c>
      <c r="CC225" t="s">
        <v>1780</v>
      </c>
      <c r="CD225" t="s">
        <v>1781</v>
      </c>
      <c r="CE225" t="s">
        <v>1801</v>
      </c>
      <c r="CF225" t="s">
        <v>1783</v>
      </c>
      <c r="CG225" t="str">
        <f t="shared" si="15"/>
        <v/>
      </c>
      <c r="CH225" t="str">
        <f t="shared" si="16"/>
        <v/>
      </c>
      <c r="CI225" t="str">
        <f t="shared" si="17"/>
        <v/>
      </c>
      <c r="CJ225" t="str">
        <f t="shared" si="18"/>
        <v/>
      </c>
      <c r="CK225" t="str">
        <f t="shared" si="19"/>
        <v/>
      </c>
    </row>
    <row r="226" spans="1:89">
      <c r="A226">
        <v>78008</v>
      </c>
      <c r="B226" t="s">
        <v>1799</v>
      </c>
      <c r="C226">
        <v>4.1963000297546396</v>
      </c>
      <c r="D226" t="s">
        <v>1806</v>
      </c>
      <c r="E226">
        <v>2006</v>
      </c>
      <c r="F226" t="s">
        <v>1788</v>
      </c>
      <c r="G226" t="s">
        <v>169</v>
      </c>
      <c r="H226">
        <v>98133</v>
      </c>
      <c r="I226" t="s">
        <v>1789</v>
      </c>
      <c r="J226" t="s">
        <v>1785</v>
      </c>
      <c r="K226" t="s">
        <v>1774</v>
      </c>
      <c r="L226">
        <v>261</v>
      </c>
      <c r="M226">
        <v>5</v>
      </c>
      <c r="N226">
        <v>1</v>
      </c>
      <c r="O226">
        <v>6</v>
      </c>
      <c r="P226">
        <v>0</v>
      </c>
      <c r="Q226">
        <v>214078</v>
      </c>
      <c r="R226">
        <v>202996</v>
      </c>
      <c r="S226">
        <v>47379</v>
      </c>
      <c r="T226">
        <v>0</v>
      </c>
      <c r="U226">
        <v>0</v>
      </c>
      <c r="V226">
        <v>98</v>
      </c>
      <c r="W226">
        <v>163</v>
      </c>
      <c r="X226">
        <v>0</v>
      </c>
      <c r="Y226">
        <v>1</v>
      </c>
      <c r="Z226" t="b">
        <v>1</v>
      </c>
      <c r="AA226" t="b">
        <v>1</v>
      </c>
      <c r="AB226">
        <v>8</v>
      </c>
      <c r="AC226">
        <v>453071.0625</v>
      </c>
      <c r="AD226">
        <v>1194117.875</v>
      </c>
      <c r="AE226">
        <v>1647189</v>
      </c>
      <c r="AH226">
        <v>23192.650390625</v>
      </c>
      <c r="AI226">
        <v>7939474</v>
      </c>
      <c r="AJ226" t="s">
        <v>270</v>
      </c>
      <c r="AK226">
        <v>11082</v>
      </c>
      <c r="AL226">
        <v>23</v>
      </c>
      <c r="AM226">
        <v>0</v>
      </c>
      <c r="AN226">
        <v>25</v>
      </c>
      <c r="AO226">
        <v>0</v>
      </c>
      <c r="AP226">
        <v>27</v>
      </c>
      <c r="AQ226">
        <v>0</v>
      </c>
      <c r="AR226">
        <v>0</v>
      </c>
      <c r="AS226">
        <v>25</v>
      </c>
      <c r="AT226" t="b">
        <v>1</v>
      </c>
      <c r="AU226">
        <v>16</v>
      </c>
      <c r="AV226">
        <v>16</v>
      </c>
      <c r="AW226">
        <v>3</v>
      </c>
      <c r="AX226" t="b">
        <v>0</v>
      </c>
      <c r="AY226" t="b">
        <v>0</v>
      </c>
      <c r="AZ226" t="b">
        <v>1</v>
      </c>
      <c r="BA226" t="b">
        <v>1</v>
      </c>
      <c r="BB226" t="s">
        <v>273</v>
      </c>
      <c r="BC226" t="s">
        <v>273</v>
      </c>
      <c r="BD226" t="s">
        <v>270</v>
      </c>
      <c r="BE226" t="s">
        <v>1775</v>
      </c>
      <c r="BF226" t="s">
        <v>1776</v>
      </c>
      <c r="BG226" t="s">
        <v>1777</v>
      </c>
      <c r="BH226" t="s">
        <v>1778</v>
      </c>
      <c r="BI226" t="s">
        <v>1812</v>
      </c>
      <c r="BJ226" t="b">
        <v>1</v>
      </c>
      <c r="BK226" t="b">
        <v>1</v>
      </c>
      <c r="BL226" t="b">
        <v>1</v>
      </c>
      <c r="BM226" t="b">
        <v>0</v>
      </c>
      <c r="BN226" t="b">
        <v>0</v>
      </c>
      <c r="BO226" t="b">
        <v>0</v>
      </c>
      <c r="BP226">
        <v>3</v>
      </c>
      <c r="BQ226">
        <v>253</v>
      </c>
      <c r="BR226">
        <v>1</v>
      </c>
      <c r="BS226">
        <v>1</v>
      </c>
      <c r="BT226" t="b">
        <v>1</v>
      </c>
      <c r="BU226">
        <v>0</v>
      </c>
      <c r="BV226">
        <v>128</v>
      </c>
      <c r="BW226">
        <v>58609</v>
      </c>
      <c r="BX226">
        <v>2</v>
      </c>
      <c r="BY226" t="s">
        <v>273</v>
      </c>
      <c r="BZ226" t="s">
        <v>270</v>
      </c>
      <c r="CA226" t="s">
        <v>270</v>
      </c>
      <c r="CB226" t="s">
        <v>273</v>
      </c>
      <c r="CC226" t="s">
        <v>1780</v>
      </c>
      <c r="CD226" t="s">
        <v>1781</v>
      </c>
      <c r="CE226" t="s">
        <v>1782</v>
      </c>
      <c r="CF226" t="s">
        <v>1783</v>
      </c>
      <c r="CG226" t="str">
        <f t="shared" si="15"/>
        <v/>
      </c>
      <c r="CH226" t="str">
        <f t="shared" si="16"/>
        <v/>
      </c>
      <c r="CI226" t="str">
        <f t="shared" si="17"/>
        <v/>
      </c>
      <c r="CJ226" t="str">
        <f t="shared" si="18"/>
        <v/>
      </c>
      <c r="CK226" t="str">
        <f t="shared" si="19"/>
        <v/>
      </c>
    </row>
    <row r="227" spans="1:89">
      <c r="A227">
        <v>78009</v>
      </c>
      <c r="B227" t="s">
        <v>1799</v>
      </c>
      <c r="C227">
        <v>4.6804881095886204</v>
      </c>
      <c r="D227" t="s">
        <v>1806</v>
      </c>
      <c r="E227">
        <v>2007</v>
      </c>
      <c r="F227" t="s">
        <v>1788</v>
      </c>
      <c r="G227" t="s">
        <v>169</v>
      </c>
      <c r="H227">
        <v>98109</v>
      </c>
      <c r="I227" t="s">
        <v>1789</v>
      </c>
      <c r="J227" t="s">
        <v>1785</v>
      </c>
      <c r="K227" t="s">
        <v>1774</v>
      </c>
      <c r="L227">
        <v>234</v>
      </c>
      <c r="M227">
        <v>6</v>
      </c>
      <c r="N227">
        <v>1</v>
      </c>
      <c r="O227">
        <v>6</v>
      </c>
      <c r="P227">
        <v>0</v>
      </c>
      <c r="Q227">
        <v>206388</v>
      </c>
      <c r="R227">
        <v>192645</v>
      </c>
      <c r="S227">
        <v>40962</v>
      </c>
      <c r="T227">
        <v>0</v>
      </c>
      <c r="U227">
        <v>0</v>
      </c>
      <c r="V227">
        <v>58</v>
      </c>
      <c r="W227">
        <v>118</v>
      </c>
      <c r="X227">
        <v>58</v>
      </c>
      <c r="Y227">
        <v>4</v>
      </c>
      <c r="Z227" t="b">
        <v>1</v>
      </c>
      <c r="AA227" t="b">
        <v>1</v>
      </c>
      <c r="AB227">
        <v>8.25</v>
      </c>
      <c r="AC227">
        <v>714921.0625</v>
      </c>
      <c r="AD227">
        <v>950771.8125</v>
      </c>
      <c r="AE227">
        <v>1665692.875</v>
      </c>
      <c r="AJ227" t="s">
        <v>270</v>
      </c>
      <c r="AK227">
        <v>13743</v>
      </c>
      <c r="AL227">
        <v>23</v>
      </c>
      <c r="AM227">
        <v>0</v>
      </c>
      <c r="AN227">
        <v>32</v>
      </c>
      <c r="AO227">
        <v>0</v>
      </c>
      <c r="AP227">
        <v>18</v>
      </c>
      <c r="AQ227">
        <v>0</v>
      </c>
      <c r="AR227">
        <v>0</v>
      </c>
      <c r="AS227">
        <v>27</v>
      </c>
      <c r="AT227" t="b">
        <v>1</v>
      </c>
      <c r="AU227">
        <v>0</v>
      </c>
      <c r="AV227">
        <v>0</v>
      </c>
      <c r="AW227">
        <v>3</v>
      </c>
      <c r="AX227" t="b">
        <v>0</v>
      </c>
      <c r="AY227" t="b">
        <v>1</v>
      </c>
      <c r="AZ227" t="b">
        <v>1</v>
      </c>
      <c r="BA227" t="b">
        <v>1</v>
      </c>
      <c r="BB227" t="s">
        <v>270</v>
      </c>
      <c r="BC227" t="s">
        <v>273</v>
      </c>
      <c r="BD227" t="s">
        <v>270</v>
      </c>
      <c r="BE227" t="s">
        <v>1775</v>
      </c>
      <c r="BF227" t="s">
        <v>1776</v>
      </c>
      <c r="BG227" t="s">
        <v>1777</v>
      </c>
      <c r="BH227" t="s">
        <v>1804</v>
      </c>
      <c r="BI227" t="s">
        <v>1812</v>
      </c>
      <c r="BJ227" t="b">
        <v>1</v>
      </c>
      <c r="BK227" t="b">
        <v>1</v>
      </c>
      <c r="BL227" t="b">
        <v>1</v>
      </c>
      <c r="BM227" t="b">
        <v>0</v>
      </c>
      <c r="BN227" t="b">
        <v>0</v>
      </c>
      <c r="BO227" t="b">
        <v>0</v>
      </c>
      <c r="BP227">
        <v>2</v>
      </c>
      <c r="BQ227">
        <v>237</v>
      </c>
      <c r="BR227">
        <v>1</v>
      </c>
      <c r="BS227">
        <v>1</v>
      </c>
      <c r="BT227" t="b">
        <v>1</v>
      </c>
      <c r="BU227">
        <v>0</v>
      </c>
      <c r="BV227">
        <v>329</v>
      </c>
      <c r="BW227">
        <v>101370</v>
      </c>
      <c r="BX227">
        <v>3</v>
      </c>
      <c r="BY227" t="s">
        <v>273</v>
      </c>
      <c r="BZ227" t="s">
        <v>270</v>
      </c>
      <c r="CA227" t="s">
        <v>270</v>
      </c>
      <c r="CB227" t="s">
        <v>270</v>
      </c>
      <c r="CC227" t="s">
        <v>1780</v>
      </c>
      <c r="CD227" t="s">
        <v>1781</v>
      </c>
      <c r="CE227" t="s">
        <v>1801</v>
      </c>
      <c r="CF227" t="s">
        <v>1783</v>
      </c>
      <c r="CG227" t="str">
        <f t="shared" si="15"/>
        <v/>
      </c>
      <c r="CH227" t="str">
        <f t="shared" si="16"/>
        <v/>
      </c>
      <c r="CI227" t="str">
        <f t="shared" si="17"/>
        <v/>
      </c>
      <c r="CJ227" t="str">
        <f t="shared" si="18"/>
        <v/>
      </c>
      <c r="CK227" t="str">
        <f t="shared" si="19"/>
        <v/>
      </c>
    </row>
    <row r="228" spans="1:89">
      <c r="A228">
        <v>78010</v>
      </c>
      <c r="B228" t="s">
        <v>1839</v>
      </c>
      <c r="C228">
        <v>5.5314860343933097</v>
      </c>
      <c r="D228" t="s">
        <v>1802</v>
      </c>
      <c r="E228">
        <v>1972</v>
      </c>
      <c r="F228" t="s">
        <v>1788</v>
      </c>
      <c r="G228" t="s">
        <v>169</v>
      </c>
      <c r="H228">
        <v>98125</v>
      </c>
      <c r="I228" t="s">
        <v>1789</v>
      </c>
      <c r="J228" t="s">
        <v>1785</v>
      </c>
      <c r="K228" t="s">
        <v>1774</v>
      </c>
      <c r="L228">
        <v>198</v>
      </c>
      <c r="M228">
        <v>8</v>
      </c>
      <c r="N228">
        <v>0</v>
      </c>
      <c r="O228">
        <v>8</v>
      </c>
      <c r="P228">
        <v>0</v>
      </c>
      <c r="Q228">
        <v>104390</v>
      </c>
      <c r="R228">
        <v>104390</v>
      </c>
      <c r="S228">
        <v>22675</v>
      </c>
      <c r="T228">
        <v>0</v>
      </c>
      <c r="U228">
        <v>0</v>
      </c>
      <c r="V228">
        <v>0</v>
      </c>
      <c r="W228">
        <v>62</v>
      </c>
      <c r="X228">
        <v>136</v>
      </c>
      <c r="Y228">
        <v>0</v>
      </c>
      <c r="Z228" t="b">
        <v>0</v>
      </c>
      <c r="AA228" t="b">
        <v>1</v>
      </c>
      <c r="AB228">
        <v>8</v>
      </c>
      <c r="AE228">
        <v>1792581.375</v>
      </c>
      <c r="AJ228" t="s">
        <v>270</v>
      </c>
      <c r="AK228">
        <v>0</v>
      </c>
      <c r="AL228">
        <v>50</v>
      </c>
      <c r="AM228">
        <v>0</v>
      </c>
      <c r="AN228">
        <v>0</v>
      </c>
      <c r="AO228">
        <v>0</v>
      </c>
      <c r="AP228">
        <v>0</v>
      </c>
      <c r="AQ228">
        <v>0</v>
      </c>
      <c r="AR228">
        <v>0</v>
      </c>
      <c r="AS228">
        <v>50</v>
      </c>
      <c r="AT228" t="b">
        <v>0</v>
      </c>
      <c r="AU228">
        <v>4</v>
      </c>
      <c r="AV228">
        <v>5</v>
      </c>
      <c r="AW228">
        <v>2</v>
      </c>
      <c r="AX228" t="b">
        <v>0</v>
      </c>
      <c r="AY228" t="b">
        <v>0</v>
      </c>
      <c r="AZ228" t="b">
        <v>1</v>
      </c>
      <c r="BA228" t="b">
        <v>1</v>
      </c>
      <c r="BB228" t="s">
        <v>270</v>
      </c>
      <c r="BC228" t="s">
        <v>270</v>
      </c>
      <c r="BD228" t="s">
        <v>270</v>
      </c>
      <c r="BE228" t="s">
        <v>1775</v>
      </c>
      <c r="BF228" t="s">
        <v>1776</v>
      </c>
      <c r="BG228" t="s">
        <v>1777</v>
      </c>
      <c r="BH228" t="s">
        <v>1778</v>
      </c>
      <c r="BI228" t="s">
        <v>1812</v>
      </c>
      <c r="BJ228" t="b">
        <v>1</v>
      </c>
      <c r="BK228" t="b">
        <v>1</v>
      </c>
      <c r="BL228" t="b">
        <v>1</v>
      </c>
      <c r="BM228" t="b">
        <v>0</v>
      </c>
      <c r="BN228" t="b">
        <v>0</v>
      </c>
      <c r="BO228" t="b">
        <v>0</v>
      </c>
      <c r="BP228">
        <v>1</v>
      </c>
      <c r="BQ228">
        <v>2</v>
      </c>
      <c r="BR228">
        <v>1</v>
      </c>
      <c r="BS228">
        <v>1</v>
      </c>
      <c r="BT228" t="b">
        <v>1</v>
      </c>
      <c r="BU228">
        <v>10</v>
      </c>
      <c r="BV228">
        <v>60</v>
      </c>
      <c r="BW228">
        <v>25500</v>
      </c>
      <c r="BX228">
        <v>0</v>
      </c>
      <c r="BY228" t="s">
        <v>270</v>
      </c>
      <c r="BZ228" t="s">
        <v>270</v>
      </c>
      <c r="CA228" t="s">
        <v>270</v>
      </c>
      <c r="CB228" t="s">
        <v>273</v>
      </c>
      <c r="CC228" t="s">
        <v>1780</v>
      </c>
      <c r="CD228" t="s">
        <v>1841</v>
      </c>
      <c r="CE228" t="s">
        <v>1865</v>
      </c>
      <c r="CF228" t="s">
        <v>1842</v>
      </c>
      <c r="CG228" t="str">
        <f t="shared" si="15"/>
        <v/>
      </c>
      <c r="CH228" t="str">
        <f t="shared" si="16"/>
        <v/>
      </c>
      <c r="CI228" t="str">
        <f t="shared" si="17"/>
        <v/>
      </c>
      <c r="CJ228" t="str">
        <f t="shared" si="18"/>
        <v/>
      </c>
      <c r="CK228" t="str">
        <f t="shared" si="19"/>
        <v/>
      </c>
    </row>
    <row r="229" spans="1:89">
      <c r="A229">
        <v>78011</v>
      </c>
      <c r="B229" t="s">
        <v>1839</v>
      </c>
      <c r="C229">
        <v>4.6804881095886204</v>
      </c>
      <c r="D229" t="s">
        <v>1822</v>
      </c>
      <c r="E229">
        <v>1908</v>
      </c>
      <c r="F229" t="s">
        <v>1788</v>
      </c>
      <c r="G229" t="s">
        <v>169</v>
      </c>
      <c r="H229">
        <v>98104</v>
      </c>
      <c r="I229" t="s">
        <v>1789</v>
      </c>
      <c r="K229" t="s">
        <v>1774</v>
      </c>
      <c r="L229">
        <v>234</v>
      </c>
      <c r="M229">
        <v>10</v>
      </c>
      <c r="N229">
        <v>2</v>
      </c>
      <c r="O229">
        <v>11</v>
      </c>
      <c r="P229">
        <v>2</v>
      </c>
      <c r="Q229">
        <v>161208</v>
      </c>
      <c r="R229">
        <v>156011</v>
      </c>
      <c r="S229">
        <v>59862</v>
      </c>
      <c r="T229">
        <v>0</v>
      </c>
      <c r="U229">
        <v>0</v>
      </c>
      <c r="V229">
        <v>0</v>
      </c>
      <c r="W229">
        <v>111</v>
      </c>
      <c r="X229">
        <v>123</v>
      </c>
      <c r="Y229">
        <v>0.85000002384185802</v>
      </c>
      <c r="Z229" t="b">
        <v>1</v>
      </c>
      <c r="AA229" t="b">
        <v>1</v>
      </c>
      <c r="AB229">
        <v>10.25</v>
      </c>
      <c r="AE229">
        <v>1128713.625</v>
      </c>
      <c r="AI229">
        <v>3851171</v>
      </c>
      <c r="AJ229" t="s">
        <v>270</v>
      </c>
      <c r="AK229">
        <v>5197</v>
      </c>
      <c r="AL229">
        <v>38</v>
      </c>
      <c r="AM229">
        <v>0</v>
      </c>
      <c r="AN229">
        <v>41</v>
      </c>
      <c r="AO229">
        <v>0</v>
      </c>
      <c r="AP229">
        <v>14</v>
      </c>
      <c r="AQ229">
        <v>0</v>
      </c>
      <c r="AR229">
        <v>0</v>
      </c>
      <c r="AS229">
        <v>7</v>
      </c>
      <c r="AT229" t="b">
        <v>0</v>
      </c>
      <c r="AU229">
        <v>6</v>
      </c>
      <c r="AV229">
        <v>6</v>
      </c>
      <c r="AW229">
        <v>2</v>
      </c>
      <c r="AX229" t="b">
        <v>1</v>
      </c>
      <c r="AY229" t="b">
        <v>0</v>
      </c>
      <c r="AZ229" t="b">
        <v>0</v>
      </c>
      <c r="BA229" t="b">
        <v>1</v>
      </c>
      <c r="BB229" t="s">
        <v>270</v>
      </c>
      <c r="BC229" t="s">
        <v>270</v>
      </c>
      <c r="BD229" t="s">
        <v>270</v>
      </c>
      <c r="BE229" t="s">
        <v>1813</v>
      </c>
      <c r="BF229" t="s">
        <v>1912</v>
      </c>
      <c r="BG229" t="s">
        <v>1814</v>
      </c>
      <c r="BH229" t="s">
        <v>1778</v>
      </c>
      <c r="BI229" t="s">
        <v>1812</v>
      </c>
      <c r="BJ229" t="b">
        <v>0</v>
      </c>
      <c r="BK229" t="b">
        <v>1</v>
      </c>
      <c r="BL229" t="b">
        <v>0</v>
      </c>
      <c r="BM229" t="b">
        <v>0</v>
      </c>
      <c r="BN229" t="b">
        <v>1</v>
      </c>
      <c r="BO229" t="b">
        <v>0</v>
      </c>
      <c r="BP229">
        <v>1</v>
      </c>
      <c r="BQ229">
        <v>1</v>
      </c>
      <c r="BR229">
        <v>0</v>
      </c>
      <c r="BS229">
        <v>0</v>
      </c>
      <c r="BT229" t="b">
        <v>0</v>
      </c>
      <c r="BV229">
        <v>0</v>
      </c>
      <c r="BW229">
        <v>0</v>
      </c>
      <c r="BX229">
        <v>0</v>
      </c>
      <c r="BY229" t="s">
        <v>270</v>
      </c>
      <c r="BZ229" t="s">
        <v>270</v>
      </c>
      <c r="CA229" t="s">
        <v>270</v>
      </c>
      <c r="CB229" t="s">
        <v>270</v>
      </c>
      <c r="CC229" t="s">
        <v>1855</v>
      </c>
      <c r="CD229" t="s">
        <v>1841</v>
      </c>
      <c r="CE229" t="s">
        <v>1865</v>
      </c>
      <c r="CF229" t="s">
        <v>1903</v>
      </c>
      <c r="CG229" t="str">
        <f t="shared" si="15"/>
        <v/>
      </c>
      <c r="CH229" t="str">
        <f t="shared" si="16"/>
        <v/>
      </c>
      <c r="CI229" t="str">
        <f t="shared" si="17"/>
        <v/>
      </c>
      <c r="CJ229" t="str">
        <f t="shared" si="18"/>
        <v/>
      </c>
      <c r="CK229" t="str">
        <f t="shared" si="19"/>
        <v/>
      </c>
    </row>
    <row r="230" spans="1:89">
      <c r="A230">
        <v>78012</v>
      </c>
      <c r="B230" t="s">
        <v>1839</v>
      </c>
      <c r="C230">
        <v>5.2655491828918501</v>
      </c>
      <c r="D230" t="s">
        <v>1806</v>
      </c>
      <c r="E230">
        <v>2005</v>
      </c>
      <c r="F230" t="s">
        <v>1788</v>
      </c>
      <c r="G230" t="s">
        <v>169</v>
      </c>
      <c r="H230">
        <v>98144</v>
      </c>
      <c r="I230" t="s">
        <v>1789</v>
      </c>
      <c r="J230" t="s">
        <v>1785</v>
      </c>
      <c r="K230" t="s">
        <v>1774</v>
      </c>
      <c r="L230">
        <v>208</v>
      </c>
      <c r="M230">
        <v>6.5</v>
      </c>
      <c r="N230">
        <v>0.5</v>
      </c>
      <c r="O230">
        <v>7</v>
      </c>
      <c r="P230">
        <v>0</v>
      </c>
      <c r="Q230">
        <v>180897</v>
      </c>
      <c r="R230">
        <v>173937</v>
      </c>
      <c r="S230">
        <v>27230</v>
      </c>
      <c r="T230">
        <v>0</v>
      </c>
      <c r="U230">
        <v>0</v>
      </c>
      <c r="V230">
        <v>93</v>
      </c>
      <c r="W230">
        <v>115</v>
      </c>
      <c r="X230">
        <v>0</v>
      </c>
      <c r="Y230">
        <v>5</v>
      </c>
      <c r="Z230" t="b">
        <v>1</v>
      </c>
      <c r="AA230" t="b">
        <v>1</v>
      </c>
      <c r="AB230">
        <v>8</v>
      </c>
      <c r="AC230">
        <v>374569.9375</v>
      </c>
      <c r="AD230">
        <v>1063451.375</v>
      </c>
      <c r="AE230">
        <v>1438021.25</v>
      </c>
      <c r="AJ230" t="s">
        <v>270</v>
      </c>
      <c r="AK230">
        <v>6960</v>
      </c>
      <c r="AL230">
        <v>25</v>
      </c>
      <c r="AM230">
        <v>0</v>
      </c>
      <c r="AN230">
        <v>19</v>
      </c>
      <c r="AO230">
        <v>0</v>
      </c>
      <c r="AP230">
        <v>34</v>
      </c>
      <c r="AQ230">
        <v>0</v>
      </c>
      <c r="AR230">
        <v>0</v>
      </c>
      <c r="AS230">
        <v>22</v>
      </c>
      <c r="AT230" t="b">
        <v>1</v>
      </c>
      <c r="AU230">
        <v>14</v>
      </c>
      <c r="AV230">
        <v>14</v>
      </c>
      <c r="AW230">
        <v>2</v>
      </c>
      <c r="AX230" t="b">
        <v>0</v>
      </c>
      <c r="AY230" t="b">
        <v>0</v>
      </c>
      <c r="AZ230" t="b">
        <v>1</v>
      </c>
      <c r="BA230" t="b">
        <v>1</v>
      </c>
      <c r="BB230" t="s">
        <v>270</v>
      </c>
      <c r="BC230" t="s">
        <v>273</v>
      </c>
      <c r="BD230" t="s">
        <v>270</v>
      </c>
      <c r="BE230" t="s">
        <v>1775</v>
      </c>
      <c r="BF230" t="s">
        <v>1776</v>
      </c>
      <c r="BG230" t="s">
        <v>1777</v>
      </c>
      <c r="BH230" t="s">
        <v>1804</v>
      </c>
      <c r="BI230" t="s">
        <v>1812</v>
      </c>
      <c r="BJ230" t="b">
        <v>1</v>
      </c>
      <c r="BK230" t="b">
        <v>1</v>
      </c>
      <c r="BL230" t="b">
        <v>1</v>
      </c>
      <c r="BM230" t="b">
        <v>0</v>
      </c>
      <c r="BN230" t="b">
        <v>0</v>
      </c>
      <c r="BO230" t="b">
        <v>0</v>
      </c>
      <c r="BP230">
        <v>1</v>
      </c>
      <c r="BQ230">
        <v>209</v>
      </c>
      <c r="BR230">
        <v>1</v>
      </c>
      <c r="BS230">
        <v>2</v>
      </c>
      <c r="BT230" t="b">
        <v>1</v>
      </c>
      <c r="BU230">
        <v>10</v>
      </c>
      <c r="BV230">
        <v>77</v>
      </c>
      <c r="BW230">
        <v>31714</v>
      </c>
      <c r="BX230">
        <v>1</v>
      </c>
      <c r="BY230" t="s">
        <v>273</v>
      </c>
      <c r="BZ230" t="s">
        <v>270</v>
      </c>
      <c r="CA230" t="s">
        <v>270</v>
      </c>
      <c r="CB230" t="s">
        <v>273</v>
      </c>
      <c r="CC230" t="s">
        <v>1787</v>
      </c>
      <c r="CD230" t="s">
        <v>1781</v>
      </c>
      <c r="CE230" t="s">
        <v>1801</v>
      </c>
      <c r="CF230" t="s">
        <v>1783</v>
      </c>
      <c r="CG230" t="str">
        <f t="shared" si="15"/>
        <v/>
      </c>
      <c r="CH230" t="str">
        <f t="shared" si="16"/>
        <v/>
      </c>
      <c r="CI230" t="str">
        <f t="shared" si="17"/>
        <v/>
      </c>
      <c r="CJ230" t="str">
        <f t="shared" si="18"/>
        <v/>
      </c>
      <c r="CK230" t="str">
        <f t="shared" si="19"/>
        <v/>
      </c>
    </row>
    <row r="231" spans="1:89">
      <c r="A231">
        <v>80061</v>
      </c>
      <c r="B231" t="s">
        <v>1770</v>
      </c>
      <c r="C231">
        <v>85.864128112792997</v>
      </c>
      <c r="D231" t="s">
        <v>1792</v>
      </c>
      <c r="E231">
        <v>1968</v>
      </c>
      <c r="F231" t="s">
        <v>1817</v>
      </c>
      <c r="G231" t="s">
        <v>169</v>
      </c>
      <c r="H231">
        <v>98203</v>
      </c>
      <c r="I231" t="s">
        <v>1797</v>
      </c>
      <c r="K231" t="s">
        <v>1774</v>
      </c>
      <c r="L231">
        <v>24</v>
      </c>
      <c r="M231">
        <v>3</v>
      </c>
      <c r="N231">
        <v>0</v>
      </c>
      <c r="O231">
        <v>3</v>
      </c>
      <c r="P231">
        <v>0</v>
      </c>
      <c r="Q231">
        <v>14106</v>
      </c>
      <c r="R231">
        <v>14106</v>
      </c>
      <c r="S231">
        <v>200</v>
      </c>
      <c r="T231">
        <v>0</v>
      </c>
      <c r="U231">
        <v>0</v>
      </c>
      <c r="V231">
        <v>9</v>
      </c>
      <c r="W231">
        <v>15</v>
      </c>
      <c r="X231">
        <v>0</v>
      </c>
      <c r="Y231">
        <v>4</v>
      </c>
      <c r="Z231" t="b">
        <v>0</v>
      </c>
      <c r="AA231" t="b">
        <v>1</v>
      </c>
      <c r="AB231">
        <v>7.6999998092651403</v>
      </c>
      <c r="AD231">
        <v>249940.296875</v>
      </c>
      <c r="AE231">
        <v>249940.296875</v>
      </c>
      <c r="AI231">
        <v>852796.3125</v>
      </c>
      <c r="AJ231" t="s">
        <v>270</v>
      </c>
      <c r="AK231">
        <v>0</v>
      </c>
      <c r="AL231">
        <v>0</v>
      </c>
      <c r="AM231">
        <v>0</v>
      </c>
      <c r="AN231">
        <v>70</v>
      </c>
      <c r="AO231">
        <v>0</v>
      </c>
      <c r="AP231">
        <v>30</v>
      </c>
      <c r="AQ231">
        <v>0</v>
      </c>
      <c r="AR231">
        <v>0</v>
      </c>
      <c r="AS231">
        <v>0</v>
      </c>
      <c r="AT231" t="b">
        <v>1</v>
      </c>
      <c r="AU231">
        <v>3</v>
      </c>
      <c r="AV231">
        <v>3</v>
      </c>
      <c r="AW231">
        <v>0</v>
      </c>
      <c r="AX231" t="b">
        <v>0</v>
      </c>
      <c r="AY231" t="b">
        <v>0</v>
      </c>
      <c r="AZ231" t="b">
        <v>0</v>
      </c>
      <c r="BA231" t="b">
        <v>0</v>
      </c>
      <c r="BB231" t="s">
        <v>270</v>
      </c>
      <c r="BC231" t="s">
        <v>270</v>
      </c>
      <c r="BD231" t="s">
        <v>270</v>
      </c>
      <c r="BE231" t="s">
        <v>1775</v>
      </c>
      <c r="BF231" t="s">
        <v>1776</v>
      </c>
      <c r="BG231" t="s">
        <v>1777</v>
      </c>
      <c r="BH231" t="s">
        <v>1778</v>
      </c>
      <c r="BI231" t="s">
        <v>1790</v>
      </c>
      <c r="BJ231" t="b">
        <v>0</v>
      </c>
      <c r="BK231" t="b">
        <v>1</v>
      </c>
      <c r="BL231" t="b">
        <v>0</v>
      </c>
      <c r="BM231" t="b">
        <v>0</v>
      </c>
      <c r="BN231" t="b">
        <v>0</v>
      </c>
      <c r="BO231" t="b">
        <v>0</v>
      </c>
      <c r="BP231">
        <v>1</v>
      </c>
      <c r="BQ231">
        <v>24</v>
      </c>
      <c r="BR231">
        <v>0</v>
      </c>
      <c r="BS231">
        <v>0</v>
      </c>
      <c r="BT231" t="b">
        <v>1</v>
      </c>
      <c r="BU231">
        <v>0</v>
      </c>
      <c r="BV231">
        <v>25</v>
      </c>
      <c r="BW231">
        <v>10625</v>
      </c>
      <c r="BX231">
        <v>0</v>
      </c>
      <c r="BY231" t="s">
        <v>270</v>
      </c>
      <c r="BZ231" t="s">
        <v>270</v>
      </c>
      <c r="CA231" t="s">
        <v>270</v>
      </c>
      <c r="CB231" t="s">
        <v>273</v>
      </c>
      <c r="CC231" t="s">
        <v>1787</v>
      </c>
      <c r="CD231" t="s">
        <v>1781</v>
      </c>
      <c r="CE231" t="s">
        <v>1782</v>
      </c>
      <c r="CF231" t="s">
        <v>1783</v>
      </c>
      <c r="CG231">
        <f t="shared" si="15"/>
        <v>85.864128112792997</v>
      </c>
      <c r="CH231">
        <f t="shared" si="16"/>
        <v>14106</v>
      </c>
      <c r="CI231">
        <f t="shared" si="17"/>
        <v>3</v>
      </c>
      <c r="CJ231">
        <f t="shared" si="18"/>
        <v>1211199.3911590581</v>
      </c>
      <c r="CK231">
        <f t="shared" si="19"/>
        <v>257.59238433837902</v>
      </c>
    </row>
    <row r="232" spans="1:89">
      <c r="A232">
        <v>80073</v>
      </c>
      <c r="B232" t="s">
        <v>1770</v>
      </c>
      <c r="C232">
        <v>128.79620361328099</v>
      </c>
      <c r="D232" t="s">
        <v>1792</v>
      </c>
      <c r="E232">
        <v>1968</v>
      </c>
      <c r="F232" t="s">
        <v>1817</v>
      </c>
      <c r="G232" t="s">
        <v>169</v>
      </c>
      <c r="H232">
        <v>98201</v>
      </c>
      <c r="I232" t="s">
        <v>1797</v>
      </c>
      <c r="K232" t="s">
        <v>1774</v>
      </c>
      <c r="L232">
        <v>16</v>
      </c>
      <c r="M232">
        <v>3</v>
      </c>
      <c r="N232">
        <v>0</v>
      </c>
      <c r="O232">
        <v>3</v>
      </c>
      <c r="P232">
        <v>2</v>
      </c>
      <c r="Q232">
        <v>12960</v>
      </c>
      <c r="R232">
        <v>12960</v>
      </c>
      <c r="S232">
        <v>0</v>
      </c>
      <c r="T232">
        <v>0</v>
      </c>
      <c r="U232">
        <v>0</v>
      </c>
      <c r="V232">
        <v>16</v>
      </c>
      <c r="W232">
        <v>0</v>
      </c>
      <c r="X232">
        <v>0</v>
      </c>
      <c r="Y232">
        <v>13</v>
      </c>
      <c r="Z232" t="b">
        <v>0</v>
      </c>
      <c r="AA232" t="b">
        <v>0</v>
      </c>
      <c r="AB232">
        <v>7.75</v>
      </c>
      <c r="AD232">
        <v>147000.921875</v>
      </c>
      <c r="AE232">
        <v>147000.921875</v>
      </c>
      <c r="AI232">
        <v>501567.15625</v>
      </c>
      <c r="AJ232" t="s">
        <v>270</v>
      </c>
      <c r="AK232">
        <v>0</v>
      </c>
      <c r="AL232">
        <v>18</v>
      </c>
      <c r="AM232">
        <v>0</v>
      </c>
      <c r="AN232">
        <v>28</v>
      </c>
      <c r="AO232">
        <v>0</v>
      </c>
      <c r="AP232">
        <v>28</v>
      </c>
      <c r="AQ232">
        <v>0</v>
      </c>
      <c r="AR232">
        <v>0</v>
      </c>
      <c r="AS232">
        <v>26</v>
      </c>
      <c r="AT232" t="b">
        <v>1</v>
      </c>
      <c r="AU232">
        <v>0</v>
      </c>
      <c r="AV232">
        <v>0</v>
      </c>
      <c r="AW232">
        <v>0</v>
      </c>
      <c r="AX232" t="b">
        <v>0</v>
      </c>
      <c r="AY232" t="b">
        <v>0</v>
      </c>
      <c r="AZ232" t="b">
        <v>0</v>
      </c>
      <c r="BA232" t="b">
        <v>0</v>
      </c>
      <c r="BB232" t="s">
        <v>270</v>
      </c>
      <c r="BC232" t="s">
        <v>270</v>
      </c>
      <c r="BD232" t="s">
        <v>270</v>
      </c>
      <c r="BE232" t="s">
        <v>1775</v>
      </c>
      <c r="BF232" t="s">
        <v>1776</v>
      </c>
      <c r="BG232" t="s">
        <v>1777</v>
      </c>
      <c r="BH232" t="s">
        <v>1778</v>
      </c>
      <c r="BI232" t="s">
        <v>1779</v>
      </c>
      <c r="BJ232" t="b">
        <v>0</v>
      </c>
      <c r="BK232" t="b">
        <v>1</v>
      </c>
      <c r="BL232" t="b">
        <v>0</v>
      </c>
      <c r="BM232" t="b">
        <v>0</v>
      </c>
      <c r="BN232" t="b">
        <v>0</v>
      </c>
      <c r="BO232" t="b">
        <v>0</v>
      </c>
      <c r="BP232">
        <v>1</v>
      </c>
      <c r="BQ232">
        <v>17</v>
      </c>
      <c r="BR232">
        <v>0</v>
      </c>
      <c r="BS232">
        <v>0</v>
      </c>
      <c r="BT232" t="b">
        <v>1</v>
      </c>
      <c r="BU232">
        <v>0</v>
      </c>
      <c r="BV232">
        <v>16</v>
      </c>
      <c r="BW232">
        <v>6306</v>
      </c>
      <c r="BX232">
        <v>1</v>
      </c>
      <c r="BY232" t="s">
        <v>270</v>
      </c>
      <c r="BZ232" t="s">
        <v>273</v>
      </c>
      <c r="CA232" t="s">
        <v>270</v>
      </c>
      <c r="CB232" t="s">
        <v>273</v>
      </c>
      <c r="CC232" t="s">
        <v>1787</v>
      </c>
      <c r="CD232" t="s">
        <v>1781</v>
      </c>
      <c r="CE232" t="s">
        <v>1791</v>
      </c>
      <c r="CF232" t="s">
        <v>1783</v>
      </c>
      <c r="CG232">
        <f t="shared" si="15"/>
        <v>128.79620361328099</v>
      </c>
      <c r="CH232">
        <f t="shared" si="16"/>
        <v>12960</v>
      </c>
      <c r="CI232">
        <f t="shared" si="17"/>
        <v>3</v>
      </c>
      <c r="CJ232">
        <f t="shared" si="18"/>
        <v>1669198.7988281217</v>
      </c>
      <c r="CK232">
        <f t="shared" si="19"/>
        <v>386.38861083984295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3:H16"/>
  <sheetViews>
    <sheetView workbookViewId="0">
      <selection activeCell="A9" sqref="A9"/>
    </sheetView>
  </sheetViews>
  <sheetFormatPr defaultRowHeight="12.75"/>
  <cols>
    <col min="3" max="3" width="10.140625" bestFit="1" customWidth="1"/>
    <col min="7" max="7" width="15" customWidth="1"/>
    <col min="8" max="8" width="14.7109375" customWidth="1"/>
  </cols>
  <sheetData>
    <row r="3" spans="1:8">
      <c r="A3" t="s">
        <v>319</v>
      </c>
    </row>
    <row r="6" spans="1:8" ht="15">
      <c r="A6" s="94" t="s">
        <v>306</v>
      </c>
      <c r="B6" s="95" t="s">
        <v>307</v>
      </c>
      <c r="C6" s="95" t="s">
        <v>308</v>
      </c>
      <c r="D6" s="95" t="s">
        <v>309</v>
      </c>
      <c r="E6" s="95" t="s">
        <v>310</v>
      </c>
      <c r="F6" s="95" t="s">
        <v>311</v>
      </c>
      <c r="G6" s="95" t="s">
        <v>312</v>
      </c>
      <c r="H6" s="95" t="s">
        <v>313</v>
      </c>
    </row>
    <row r="7" spans="1:8">
      <c r="A7" s="96">
        <v>2010</v>
      </c>
      <c r="B7" s="97" t="s">
        <v>314</v>
      </c>
      <c r="C7" s="97" t="s">
        <v>315</v>
      </c>
      <c r="D7" s="97" t="s">
        <v>316</v>
      </c>
      <c r="E7" s="97" t="s">
        <v>22</v>
      </c>
      <c r="F7" s="97" t="s">
        <v>64</v>
      </c>
      <c r="G7" s="98">
        <v>828347.14044999995</v>
      </c>
      <c r="H7" s="99">
        <v>9.4560175493825227E-2</v>
      </c>
    </row>
    <row r="8" spans="1:8">
      <c r="A8" s="100">
        <v>2011</v>
      </c>
      <c r="B8" s="101" t="s">
        <v>314</v>
      </c>
      <c r="C8" s="101" t="s">
        <v>315</v>
      </c>
      <c r="D8" s="101" t="s">
        <v>316</v>
      </c>
      <c r="E8" s="101" t="s">
        <v>22</v>
      </c>
      <c r="F8" s="101" t="s">
        <v>64</v>
      </c>
      <c r="G8" s="102">
        <v>845608.93059999996</v>
      </c>
      <c r="H8" s="103">
        <v>9.653069959313143E-2</v>
      </c>
    </row>
    <row r="9" spans="1:8">
      <c r="A9" s="104">
        <v>2012</v>
      </c>
      <c r="B9" s="105" t="s">
        <v>314</v>
      </c>
      <c r="C9" s="105" t="s">
        <v>315</v>
      </c>
      <c r="D9" s="105" t="s">
        <v>316</v>
      </c>
      <c r="E9" s="105" t="s">
        <v>22</v>
      </c>
      <c r="F9" s="105" t="s">
        <v>317</v>
      </c>
      <c r="G9" s="106">
        <v>3655</v>
      </c>
      <c r="H9" s="107">
        <v>4.1723744652699679E-4</v>
      </c>
    </row>
    <row r="10" spans="1:8">
      <c r="A10" s="100">
        <v>2010</v>
      </c>
      <c r="B10" s="101" t="s">
        <v>314</v>
      </c>
      <c r="C10" s="101" t="s">
        <v>315</v>
      </c>
      <c r="D10" s="101" t="s">
        <v>316</v>
      </c>
      <c r="E10" s="101" t="s">
        <v>22</v>
      </c>
      <c r="F10" s="101" t="s">
        <v>318</v>
      </c>
      <c r="G10" s="102">
        <v>58927408.463170946</v>
      </c>
      <c r="H10" s="103">
        <v>6.7268730717772343</v>
      </c>
    </row>
    <row r="11" spans="1:8">
      <c r="A11" s="104">
        <v>2011</v>
      </c>
      <c r="B11" s="105" t="s">
        <v>314</v>
      </c>
      <c r="C11" s="105" t="s">
        <v>315</v>
      </c>
      <c r="D11" s="105" t="s">
        <v>316</v>
      </c>
      <c r="E11" s="105" t="s">
        <v>22</v>
      </c>
      <c r="F11" s="105" t="s">
        <v>318</v>
      </c>
      <c r="G11" s="106">
        <v>54274832.52118466</v>
      </c>
      <c r="H11" s="107">
        <v>6.1957571343155209</v>
      </c>
    </row>
    <row r="12" spans="1:8">
      <c r="A12" s="100">
        <v>2012</v>
      </c>
      <c r="B12" s="101" t="s">
        <v>314</v>
      </c>
      <c r="C12" s="101" t="s">
        <v>315</v>
      </c>
      <c r="D12" s="101" t="s">
        <v>316</v>
      </c>
      <c r="E12" s="101" t="s">
        <v>22</v>
      </c>
      <c r="F12" s="101" t="s">
        <v>318</v>
      </c>
      <c r="G12" s="102">
        <v>28845249.352341615</v>
      </c>
      <c r="H12" s="103">
        <v>3.2928366901961112</v>
      </c>
    </row>
    <row r="16" spans="1:8">
      <c r="F16" t="s">
        <v>320</v>
      </c>
      <c r="G16" s="108">
        <f>G9+G12</f>
        <v>28848904.352341615</v>
      </c>
      <c r="H16" s="109">
        <f>H9+H12</f>
        <v>3.2932539276426382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5" tint="0.79998168889431442"/>
  </sheetPr>
  <dimension ref="A1:AD556"/>
  <sheetViews>
    <sheetView topLeftCell="B1" workbookViewId="0">
      <selection activeCell="K5" sqref="K5"/>
    </sheetView>
  </sheetViews>
  <sheetFormatPr defaultRowHeight="12.75"/>
  <cols>
    <col min="1" max="1" width="93.5703125" style="27" bestFit="1" customWidth="1"/>
    <col min="2" max="10" width="9.140625" style="27"/>
    <col min="11" max="12" width="13" style="27" customWidth="1"/>
    <col min="13" max="19" width="9.140625" style="27"/>
    <col min="20" max="20" width="20.7109375" style="27" bestFit="1" customWidth="1"/>
    <col min="21" max="21" width="10" style="27" bestFit="1" customWidth="1"/>
    <col min="22" max="26" width="9.140625" style="27"/>
    <col min="27" max="27" width="13.85546875" style="27" bestFit="1" customWidth="1"/>
    <col min="28" max="28" width="13.5703125" style="27" bestFit="1" customWidth="1"/>
    <col min="29" max="29" width="10.42578125" style="27" bestFit="1" customWidth="1"/>
    <col min="30" max="30" width="9" style="27" bestFit="1" customWidth="1"/>
    <col min="31" max="256" width="9.140625" style="27"/>
    <col min="257" max="257" width="93.5703125" style="27" bestFit="1" customWidth="1"/>
    <col min="258" max="266" width="9.140625" style="27"/>
    <col min="267" max="268" width="13" style="27" customWidth="1"/>
    <col min="269" max="275" width="9.140625" style="27"/>
    <col min="276" max="276" width="20.7109375" style="27" bestFit="1" customWidth="1"/>
    <col min="277" max="277" width="10" style="27" bestFit="1" customWidth="1"/>
    <col min="278" max="282" width="9.140625" style="27"/>
    <col min="283" max="283" width="13.85546875" style="27" bestFit="1" customWidth="1"/>
    <col min="284" max="284" width="13.5703125" style="27" bestFit="1" customWidth="1"/>
    <col min="285" max="285" width="10.42578125" style="27" bestFit="1" customWidth="1"/>
    <col min="286" max="286" width="9" style="27" bestFit="1" customWidth="1"/>
    <col min="287" max="512" width="9.140625" style="27"/>
    <col min="513" max="513" width="93.5703125" style="27" bestFit="1" customWidth="1"/>
    <col min="514" max="522" width="9.140625" style="27"/>
    <col min="523" max="524" width="13" style="27" customWidth="1"/>
    <col min="525" max="531" width="9.140625" style="27"/>
    <col min="532" max="532" width="20.7109375" style="27" bestFit="1" customWidth="1"/>
    <col min="533" max="533" width="10" style="27" bestFit="1" customWidth="1"/>
    <col min="534" max="538" width="9.140625" style="27"/>
    <col min="539" max="539" width="13.85546875" style="27" bestFit="1" customWidth="1"/>
    <col min="540" max="540" width="13.5703125" style="27" bestFit="1" customWidth="1"/>
    <col min="541" max="541" width="10.42578125" style="27" bestFit="1" customWidth="1"/>
    <col min="542" max="542" width="9" style="27" bestFit="1" customWidth="1"/>
    <col min="543" max="768" width="9.140625" style="27"/>
    <col min="769" max="769" width="93.5703125" style="27" bestFit="1" customWidth="1"/>
    <col min="770" max="778" width="9.140625" style="27"/>
    <col min="779" max="780" width="13" style="27" customWidth="1"/>
    <col min="781" max="787" width="9.140625" style="27"/>
    <col min="788" max="788" width="20.7109375" style="27" bestFit="1" customWidth="1"/>
    <col min="789" max="789" width="10" style="27" bestFit="1" customWidth="1"/>
    <col min="790" max="794" width="9.140625" style="27"/>
    <col min="795" max="795" width="13.85546875" style="27" bestFit="1" customWidth="1"/>
    <col min="796" max="796" width="13.5703125" style="27" bestFit="1" customWidth="1"/>
    <col min="797" max="797" width="10.42578125" style="27" bestFit="1" customWidth="1"/>
    <col min="798" max="798" width="9" style="27" bestFit="1" customWidth="1"/>
    <col min="799" max="1024" width="9.140625" style="27"/>
    <col min="1025" max="1025" width="93.5703125" style="27" bestFit="1" customWidth="1"/>
    <col min="1026" max="1034" width="9.140625" style="27"/>
    <col min="1035" max="1036" width="13" style="27" customWidth="1"/>
    <col min="1037" max="1043" width="9.140625" style="27"/>
    <col min="1044" max="1044" width="20.7109375" style="27" bestFit="1" customWidth="1"/>
    <col min="1045" max="1045" width="10" style="27" bestFit="1" customWidth="1"/>
    <col min="1046" max="1050" width="9.140625" style="27"/>
    <col min="1051" max="1051" width="13.85546875" style="27" bestFit="1" customWidth="1"/>
    <col min="1052" max="1052" width="13.5703125" style="27" bestFit="1" customWidth="1"/>
    <col min="1053" max="1053" width="10.42578125" style="27" bestFit="1" customWidth="1"/>
    <col min="1054" max="1054" width="9" style="27" bestFit="1" customWidth="1"/>
    <col min="1055" max="1280" width="9.140625" style="27"/>
    <col min="1281" max="1281" width="93.5703125" style="27" bestFit="1" customWidth="1"/>
    <col min="1282" max="1290" width="9.140625" style="27"/>
    <col min="1291" max="1292" width="13" style="27" customWidth="1"/>
    <col min="1293" max="1299" width="9.140625" style="27"/>
    <col min="1300" max="1300" width="20.7109375" style="27" bestFit="1" customWidth="1"/>
    <col min="1301" max="1301" width="10" style="27" bestFit="1" customWidth="1"/>
    <col min="1302" max="1306" width="9.140625" style="27"/>
    <col min="1307" max="1307" width="13.85546875" style="27" bestFit="1" customWidth="1"/>
    <col min="1308" max="1308" width="13.5703125" style="27" bestFit="1" customWidth="1"/>
    <col min="1309" max="1309" width="10.42578125" style="27" bestFit="1" customWidth="1"/>
    <col min="1310" max="1310" width="9" style="27" bestFit="1" customWidth="1"/>
    <col min="1311" max="1536" width="9.140625" style="27"/>
    <col min="1537" max="1537" width="93.5703125" style="27" bestFit="1" customWidth="1"/>
    <col min="1538" max="1546" width="9.140625" style="27"/>
    <col min="1547" max="1548" width="13" style="27" customWidth="1"/>
    <col min="1549" max="1555" width="9.140625" style="27"/>
    <col min="1556" max="1556" width="20.7109375" style="27" bestFit="1" customWidth="1"/>
    <col min="1557" max="1557" width="10" style="27" bestFit="1" customWidth="1"/>
    <col min="1558" max="1562" width="9.140625" style="27"/>
    <col min="1563" max="1563" width="13.85546875" style="27" bestFit="1" customWidth="1"/>
    <col min="1564" max="1564" width="13.5703125" style="27" bestFit="1" customWidth="1"/>
    <col min="1565" max="1565" width="10.42578125" style="27" bestFit="1" customWidth="1"/>
    <col min="1566" max="1566" width="9" style="27" bestFit="1" customWidth="1"/>
    <col min="1567" max="1792" width="9.140625" style="27"/>
    <col min="1793" max="1793" width="93.5703125" style="27" bestFit="1" customWidth="1"/>
    <col min="1794" max="1802" width="9.140625" style="27"/>
    <col min="1803" max="1804" width="13" style="27" customWidth="1"/>
    <col min="1805" max="1811" width="9.140625" style="27"/>
    <col min="1812" max="1812" width="20.7109375" style="27" bestFit="1" customWidth="1"/>
    <col min="1813" max="1813" width="10" style="27" bestFit="1" customWidth="1"/>
    <col min="1814" max="1818" width="9.140625" style="27"/>
    <col min="1819" max="1819" width="13.85546875" style="27" bestFit="1" customWidth="1"/>
    <col min="1820" max="1820" width="13.5703125" style="27" bestFit="1" customWidth="1"/>
    <col min="1821" max="1821" width="10.42578125" style="27" bestFit="1" customWidth="1"/>
    <col min="1822" max="1822" width="9" style="27" bestFit="1" customWidth="1"/>
    <col min="1823" max="2048" width="9.140625" style="27"/>
    <col min="2049" max="2049" width="93.5703125" style="27" bestFit="1" customWidth="1"/>
    <col min="2050" max="2058" width="9.140625" style="27"/>
    <col min="2059" max="2060" width="13" style="27" customWidth="1"/>
    <col min="2061" max="2067" width="9.140625" style="27"/>
    <col min="2068" max="2068" width="20.7109375" style="27" bestFit="1" customWidth="1"/>
    <col min="2069" max="2069" width="10" style="27" bestFit="1" customWidth="1"/>
    <col min="2070" max="2074" width="9.140625" style="27"/>
    <col min="2075" max="2075" width="13.85546875" style="27" bestFit="1" customWidth="1"/>
    <col min="2076" max="2076" width="13.5703125" style="27" bestFit="1" customWidth="1"/>
    <col min="2077" max="2077" width="10.42578125" style="27" bestFit="1" customWidth="1"/>
    <col min="2078" max="2078" width="9" style="27" bestFit="1" customWidth="1"/>
    <col min="2079" max="2304" width="9.140625" style="27"/>
    <col min="2305" max="2305" width="93.5703125" style="27" bestFit="1" customWidth="1"/>
    <col min="2306" max="2314" width="9.140625" style="27"/>
    <col min="2315" max="2316" width="13" style="27" customWidth="1"/>
    <col min="2317" max="2323" width="9.140625" style="27"/>
    <col min="2324" max="2324" width="20.7109375" style="27" bestFit="1" customWidth="1"/>
    <col min="2325" max="2325" width="10" style="27" bestFit="1" customWidth="1"/>
    <col min="2326" max="2330" width="9.140625" style="27"/>
    <col min="2331" max="2331" width="13.85546875" style="27" bestFit="1" customWidth="1"/>
    <col min="2332" max="2332" width="13.5703125" style="27" bestFit="1" customWidth="1"/>
    <col min="2333" max="2333" width="10.42578125" style="27" bestFit="1" customWidth="1"/>
    <col min="2334" max="2334" width="9" style="27" bestFit="1" customWidth="1"/>
    <col min="2335" max="2560" width="9.140625" style="27"/>
    <col min="2561" max="2561" width="93.5703125" style="27" bestFit="1" customWidth="1"/>
    <col min="2562" max="2570" width="9.140625" style="27"/>
    <col min="2571" max="2572" width="13" style="27" customWidth="1"/>
    <col min="2573" max="2579" width="9.140625" style="27"/>
    <col min="2580" max="2580" width="20.7109375" style="27" bestFit="1" customWidth="1"/>
    <col min="2581" max="2581" width="10" style="27" bestFit="1" customWidth="1"/>
    <col min="2582" max="2586" width="9.140625" style="27"/>
    <col min="2587" max="2587" width="13.85546875" style="27" bestFit="1" customWidth="1"/>
    <col min="2588" max="2588" width="13.5703125" style="27" bestFit="1" customWidth="1"/>
    <col min="2589" max="2589" width="10.42578125" style="27" bestFit="1" customWidth="1"/>
    <col min="2590" max="2590" width="9" style="27" bestFit="1" customWidth="1"/>
    <col min="2591" max="2816" width="9.140625" style="27"/>
    <col min="2817" max="2817" width="93.5703125" style="27" bestFit="1" customWidth="1"/>
    <col min="2818" max="2826" width="9.140625" style="27"/>
    <col min="2827" max="2828" width="13" style="27" customWidth="1"/>
    <col min="2829" max="2835" width="9.140625" style="27"/>
    <col min="2836" max="2836" width="20.7109375" style="27" bestFit="1" customWidth="1"/>
    <col min="2837" max="2837" width="10" style="27" bestFit="1" customWidth="1"/>
    <col min="2838" max="2842" width="9.140625" style="27"/>
    <col min="2843" max="2843" width="13.85546875" style="27" bestFit="1" customWidth="1"/>
    <col min="2844" max="2844" width="13.5703125" style="27" bestFit="1" customWidth="1"/>
    <col min="2845" max="2845" width="10.42578125" style="27" bestFit="1" customWidth="1"/>
    <col min="2846" max="2846" width="9" style="27" bestFit="1" customWidth="1"/>
    <col min="2847" max="3072" width="9.140625" style="27"/>
    <col min="3073" max="3073" width="93.5703125" style="27" bestFit="1" customWidth="1"/>
    <col min="3074" max="3082" width="9.140625" style="27"/>
    <col min="3083" max="3084" width="13" style="27" customWidth="1"/>
    <col min="3085" max="3091" width="9.140625" style="27"/>
    <col min="3092" max="3092" width="20.7109375" style="27" bestFit="1" customWidth="1"/>
    <col min="3093" max="3093" width="10" style="27" bestFit="1" customWidth="1"/>
    <col min="3094" max="3098" width="9.140625" style="27"/>
    <col min="3099" max="3099" width="13.85546875" style="27" bestFit="1" customWidth="1"/>
    <col min="3100" max="3100" width="13.5703125" style="27" bestFit="1" customWidth="1"/>
    <col min="3101" max="3101" width="10.42578125" style="27" bestFit="1" customWidth="1"/>
    <col min="3102" max="3102" width="9" style="27" bestFit="1" customWidth="1"/>
    <col min="3103" max="3328" width="9.140625" style="27"/>
    <col min="3329" max="3329" width="93.5703125" style="27" bestFit="1" customWidth="1"/>
    <col min="3330" max="3338" width="9.140625" style="27"/>
    <col min="3339" max="3340" width="13" style="27" customWidth="1"/>
    <col min="3341" max="3347" width="9.140625" style="27"/>
    <col min="3348" max="3348" width="20.7109375" style="27" bestFit="1" customWidth="1"/>
    <col min="3349" max="3349" width="10" style="27" bestFit="1" customWidth="1"/>
    <col min="3350" max="3354" width="9.140625" style="27"/>
    <col min="3355" max="3355" width="13.85546875" style="27" bestFit="1" customWidth="1"/>
    <col min="3356" max="3356" width="13.5703125" style="27" bestFit="1" customWidth="1"/>
    <col min="3357" max="3357" width="10.42578125" style="27" bestFit="1" customWidth="1"/>
    <col min="3358" max="3358" width="9" style="27" bestFit="1" customWidth="1"/>
    <col min="3359" max="3584" width="9.140625" style="27"/>
    <col min="3585" max="3585" width="93.5703125" style="27" bestFit="1" customWidth="1"/>
    <col min="3586" max="3594" width="9.140625" style="27"/>
    <col min="3595" max="3596" width="13" style="27" customWidth="1"/>
    <col min="3597" max="3603" width="9.140625" style="27"/>
    <col min="3604" max="3604" width="20.7109375" style="27" bestFit="1" customWidth="1"/>
    <col min="3605" max="3605" width="10" style="27" bestFit="1" customWidth="1"/>
    <col min="3606" max="3610" width="9.140625" style="27"/>
    <col min="3611" max="3611" width="13.85546875" style="27" bestFit="1" customWidth="1"/>
    <col min="3612" max="3612" width="13.5703125" style="27" bestFit="1" customWidth="1"/>
    <col min="3613" max="3613" width="10.42578125" style="27" bestFit="1" customWidth="1"/>
    <col min="3614" max="3614" width="9" style="27" bestFit="1" customWidth="1"/>
    <col min="3615" max="3840" width="9.140625" style="27"/>
    <col min="3841" max="3841" width="93.5703125" style="27" bestFit="1" customWidth="1"/>
    <col min="3842" max="3850" width="9.140625" style="27"/>
    <col min="3851" max="3852" width="13" style="27" customWidth="1"/>
    <col min="3853" max="3859" width="9.140625" style="27"/>
    <col min="3860" max="3860" width="20.7109375" style="27" bestFit="1" customWidth="1"/>
    <col min="3861" max="3861" width="10" style="27" bestFit="1" customWidth="1"/>
    <col min="3862" max="3866" width="9.140625" style="27"/>
    <col min="3867" max="3867" width="13.85546875" style="27" bestFit="1" customWidth="1"/>
    <col min="3868" max="3868" width="13.5703125" style="27" bestFit="1" customWidth="1"/>
    <col min="3869" max="3869" width="10.42578125" style="27" bestFit="1" customWidth="1"/>
    <col min="3870" max="3870" width="9" style="27" bestFit="1" customWidth="1"/>
    <col min="3871" max="4096" width="9.140625" style="27"/>
    <col min="4097" max="4097" width="93.5703125" style="27" bestFit="1" customWidth="1"/>
    <col min="4098" max="4106" width="9.140625" style="27"/>
    <col min="4107" max="4108" width="13" style="27" customWidth="1"/>
    <col min="4109" max="4115" width="9.140625" style="27"/>
    <col min="4116" max="4116" width="20.7109375" style="27" bestFit="1" customWidth="1"/>
    <col min="4117" max="4117" width="10" style="27" bestFit="1" customWidth="1"/>
    <col min="4118" max="4122" width="9.140625" style="27"/>
    <col min="4123" max="4123" width="13.85546875" style="27" bestFit="1" customWidth="1"/>
    <col min="4124" max="4124" width="13.5703125" style="27" bestFit="1" customWidth="1"/>
    <col min="4125" max="4125" width="10.42578125" style="27" bestFit="1" customWidth="1"/>
    <col min="4126" max="4126" width="9" style="27" bestFit="1" customWidth="1"/>
    <col min="4127" max="4352" width="9.140625" style="27"/>
    <col min="4353" max="4353" width="93.5703125" style="27" bestFit="1" customWidth="1"/>
    <col min="4354" max="4362" width="9.140625" style="27"/>
    <col min="4363" max="4364" width="13" style="27" customWidth="1"/>
    <col min="4365" max="4371" width="9.140625" style="27"/>
    <col min="4372" max="4372" width="20.7109375" style="27" bestFit="1" customWidth="1"/>
    <col min="4373" max="4373" width="10" style="27" bestFit="1" customWidth="1"/>
    <col min="4374" max="4378" width="9.140625" style="27"/>
    <col min="4379" max="4379" width="13.85546875" style="27" bestFit="1" customWidth="1"/>
    <col min="4380" max="4380" width="13.5703125" style="27" bestFit="1" customWidth="1"/>
    <col min="4381" max="4381" width="10.42578125" style="27" bestFit="1" customWidth="1"/>
    <col min="4382" max="4382" width="9" style="27" bestFit="1" customWidth="1"/>
    <col min="4383" max="4608" width="9.140625" style="27"/>
    <col min="4609" max="4609" width="93.5703125" style="27" bestFit="1" customWidth="1"/>
    <col min="4610" max="4618" width="9.140625" style="27"/>
    <col min="4619" max="4620" width="13" style="27" customWidth="1"/>
    <col min="4621" max="4627" width="9.140625" style="27"/>
    <col min="4628" max="4628" width="20.7109375" style="27" bestFit="1" customWidth="1"/>
    <col min="4629" max="4629" width="10" style="27" bestFit="1" customWidth="1"/>
    <col min="4630" max="4634" width="9.140625" style="27"/>
    <col min="4635" max="4635" width="13.85546875" style="27" bestFit="1" customWidth="1"/>
    <col min="4636" max="4636" width="13.5703125" style="27" bestFit="1" customWidth="1"/>
    <col min="4637" max="4637" width="10.42578125" style="27" bestFit="1" customWidth="1"/>
    <col min="4638" max="4638" width="9" style="27" bestFit="1" customWidth="1"/>
    <col min="4639" max="4864" width="9.140625" style="27"/>
    <col min="4865" max="4865" width="93.5703125" style="27" bestFit="1" customWidth="1"/>
    <col min="4866" max="4874" width="9.140625" style="27"/>
    <col min="4875" max="4876" width="13" style="27" customWidth="1"/>
    <col min="4877" max="4883" width="9.140625" style="27"/>
    <col min="4884" max="4884" width="20.7109375" style="27" bestFit="1" customWidth="1"/>
    <col min="4885" max="4885" width="10" style="27" bestFit="1" customWidth="1"/>
    <col min="4886" max="4890" width="9.140625" style="27"/>
    <col min="4891" max="4891" width="13.85546875" style="27" bestFit="1" customWidth="1"/>
    <col min="4892" max="4892" width="13.5703125" style="27" bestFit="1" customWidth="1"/>
    <col min="4893" max="4893" width="10.42578125" style="27" bestFit="1" customWidth="1"/>
    <col min="4894" max="4894" width="9" style="27" bestFit="1" customWidth="1"/>
    <col min="4895" max="5120" width="9.140625" style="27"/>
    <col min="5121" max="5121" width="93.5703125" style="27" bestFit="1" customWidth="1"/>
    <col min="5122" max="5130" width="9.140625" style="27"/>
    <col min="5131" max="5132" width="13" style="27" customWidth="1"/>
    <col min="5133" max="5139" width="9.140625" style="27"/>
    <col min="5140" max="5140" width="20.7109375" style="27" bestFit="1" customWidth="1"/>
    <col min="5141" max="5141" width="10" style="27" bestFit="1" customWidth="1"/>
    <col min="5142" max="5146" width="9.140625" style="27"/>
    <col min="5147" max="5147" width="13.85546875" style="27" bestFit="1" customWidth="1"/>
    <col min="5148" max="5148" width="13.5703125" style="27" bestFit="1" customWidth="1"/>
    <col min="5149" max="5149" width="10.42578125" style="27" bestFit="1" customWidth="1"/>
    <col min="5150" max="5150" width="9" style="27" bestFit="1" customWidth="1"/>
    <col min="5151" max="5376" width="9.140625" style="27"/>
    <col min="5377" max="5377" width="93.5703125" style="27" bestFit="1" customWidth="1"/>
    <col min="5378" max="5386" width="9.140625" style="27"/>
    <col min="5387" max="5388" width="13" style="27" customWidth="1"/>
    <col min="5389" max="5395" width="9.140625" style="27"/>
    <col min="5396" max="5396" width="20.7109375" style="27" bestFit="1" customWidth="1"/>
    <col min="5397" max="5397" width="10" style="27" bestFit="1" customWidth="1"/>
    <col min="5398" max="5402" width="9.140625" style="27"/>
    <col min="5403" max="5403" width="13.85546875" style="27" bestFit="1" customWidth="1"/>
    <col min="5404" max="5404" width="13.5703125" style="27" bestFit="1" customWidth="1"/>
    <col min="5405" max="5405" width="10.42578125" style="27" bestFit="1" customWidth="1"/>
    <col min="5406" max="5406" width="9" style="27" bestFit="1" customWidth="1"/>
    <col min="5407" max="5632" width="9.140625" style="27"/>
    <col min="5633" max="5633" width="93.5703125" style="27" bestFit="1" customWidth="1"/>
    <col min="5634" max="5642" width="9.140625" style="27"/>
    <col min="5643" max="5644" width="13" style="27" customWidth="1"/>
    <col min="5645" max="5651" width="9.140625" style="27"/>
    <col min="5652" max="5652" width="20.7109375" style="27" bestFit="1" customWidth="1"/>
    <col min="5653" max="5653" width="10" style="27" bestFit="1" customWidth="1"/>
    <col min="5654" max="5658" width="9.140625" style="27"/>
    <col min="5659" max="5659" width="13.85546875" style="27" bestFit="1" customWidth="1"/>
    <col min="5660" max="5660" width="13.5703125" style="27" bestFit="1" customWidth="1"/>
    <col min="5661" max="5661" width="10.42578125" style="27" bestFit="1" customWidth="1"/>
    <col min="5662" max="5662" width="9" style="27" bestFit="1" customWidth="1"/>
    <col min="5663" max="5888" width="9.140625" style="27"/>
    <col min="5889" max="5889" width="93.5703125" style="27" bestFit="1" customWidth="1"/>
    <col min="5890" max="5898" width="9.140625" style="27"/>
    <col min="5899" max="5900" width="13" style="27" customWidth="1"/>
    <col min="5901" max="5907" width="9.140625" style="27"/>
    <col min="5908" max="5908" width="20.7109375" style="27" bestFit="1" customWidth="1"/>
    <col min="5909" max="5909" width="10" style="27" bestFit="1" customWidth="1"/>
    <col min="5910" max="5914" width="9.140625" style="27"/>
    <col min="5915" max="5915" width="13.85546875" style="27" bestFit="1" customWidth="1"/>
    <col min="5916" max="5916" width="13.5703125" style="27" bestFit="1" customWidth="1"/>
    <col min="5917" max="5917" width="10.42578125" style="27" bestFit="1" customWidth="1"/>
    <col min="5918" max="5918" width="9" style="27" bestFit="1" customWidth="1"/>
    <col min="5919" max="6144" width="9.140625" style="27"/>
    <col min="6145" max="6145" width="93.5703125" style="27" bestFit="1" customWidth="1"/>
    <col min="6146" max="6154" width="9.140625" style="27"/>
    <col min="6155" max="6156" width="13" style="27" customWidth="1"/>
    <col min="6157" max="6163" width="9.140625" style="27"/>
    <col min="6164" max="6164" width="20.7109375" style="27" bestFit="1" customWidth="1"/>
    <col min="6165" max="6165" width="10" style="27" bestFit="1" customWidth="1"/>
    <col min="6166" max="6170" width="9.140625" style="27"/>
    <col min="6171" max="6171" width="13.85546875" style="27" bestFit="1" customWidth="1"/>
    <col min="6172" max="6172" width="13.5703125" style="27" bestFit="1" customWidth="1"/>
    <col min="6173" max="6173" width="10.42578125" style="27" bestFit="1" customWidth="1"/>
    <col min="6174" max="6174" width="9" style="27" bestFit="1" customWidth="1"/>
    <col min="6175" max="6400" width="9.140625" style="27"/>
    <col min="6401" max="6401" width="93.5703125" style="27" bestFit="1" customWidth="1"/>
    <col min="6402" max="6410" width="9.140625" style="27"/>
    <col min="6411" max="6412" width="13" style="27" customWidth="1"/>
    <col min="6413" max="6419" width="9.140625" style="27"/>
    <col min="6420" max="6420" width="20.7109375" style="27" bestFit="1" customWidth="1"/>
    <col min="6421" max="6421" width="10" style="27" bestFit="1" customWidth="1"/>
    <col min="6422" max="6426" width="9.140625" style="27"/>
    <col min="6427" max="6427" width="13.85546875" style="27" bestFit="1" customWidth="1"/>
    <col min="6428" max="6428" width="13.5703125" style="27" bestFit="1" customWidth="1"/>
    <col min="6429" max="6429" width="10.42578125" style="27" bestFit="1" customWidth="1"/>
    <col min="6430" max="6430" width="9" style="27" bestFit="1" customWidth="1"/>
    <col min="6431" max="6656" width="9.140625" style="27"/>
    <col min="6657" max="6657" width="93.5703125" style="27" bestFit="1" customWidth="1"/>
    <col min="6658" max="6666" width="9.140625" style="27"/>
    <col min="6667" max="6668" width="13" style="27" customWidth="1"/>
    <col min="6669" max="6675" width="9.140625" style="27"/>
    <col min="6676" max="6676" width="20.7109375" style="27" bestFit="1" customWidth="1"/>
    <col min="6677" max="6677" width="10" style="27" bestFit="1" customWidth="1"/>
    <col min="6678" max="6682" width="9.140625" style="27"/>
    <col min="6683" max="6683" width="13.85546875" style="27" bestFit="1" customWidth="1"/>
    <col min="6684" max="6684" width="13.5703125" style="27" bestFit="1" customWidth="1"/>
    <col min="6685" max="6685" width="10.42578125" style="27" bestFit="1" customWidth="1"/>
    <col min="6686" max="6686" width="9" style="27" bestFit="1" customWidth="1"/>
    <col min="6687" max="6912" width="9.140625" style="27"/>
    <col min="6913" max="6913" width="93.5703125" style="27" bestFit="1" customWidth="1"/>
    <col min="6914" max="6922" width="9.140625" style="27"/>
    <col min="6923" max="6924" width="13" style="27" customWidth="1"/>
    <col min="6925" max="6931" width="9.140625" style="27"/>
    <col min="6932" max="6932" width="20.7109375" style="27" bestFit="1" customWidth="1"/>
    <col min="6933" max="6933" width="10" style="27" bestFit="1" customWidth="1"/>
    <col min="6934" max="6938" width="9.140625" style="27"/>
    <col min="6939" max="6939" width="13.85546875" style="27" bestFit="1" customWidth="1"/>
    <col min="6940" max="6940" width="13.5703125" style="27" bestFit="1" customWidth="1"/>
    <col min="6941" max="6941" width="10.42578125" style="27" bestFit="1" customWidth="1"/>
    <col min="6942" max="6942" width="9" style="27" bestFit="1" customWidth="1"/>
    <col min="6943" max="7168" width="9.140625" style="27"/>
    <col min="7169" max="7169" width="93.5703125" style="27" bestFit="1" customWidth="1"/>
    <col min="7170" max="7178" width="9.140625" style="27"/>
    <col min="7179" max="7180" width="13" style="27" customWidth="1"/>
    <col min="7181" max="7187" width="9.140625" style="27"/>
    <col min="7188" max="7188" width="20.7109375" style="27" bestFit="1" customWidth="1"/>
    <col min="7189" max="7189" width="10" style="27" bestFit="1" customWidth="1"/>
    <col min="7190" max="7194" width="9.140625" style="27"/>
    <col min="7195" max="7195" width="13.85546875" style="27" bestFit="1" customWidth="1"/>
    <col min="7196" max="7196" width="13.5703125" style="27" bestFit="1" customWidth="1"/>
    <col min="7197" max="7197" width="10.42578125" style="27" bestFit="1" customWidth="1"/>
    <col min="7198" max="7198" width="9" style="27" bestFit="1" customWidth="1"/>
    <col min="7199" max="7424" width="9.140625" style="27"/>
    <col min="7425" max="7425" width="93.5703125" style="27" bestFit="1" customWidth="1"/>
    <col min="7426" max="7434" width="9.140625" style="27"/>
    <col min="7435" max="7436" width="13" style="27" customWidth="1"/>
    <col min="7437" max="7443" width="9.140625" style="27"/>
    <col min="7444" max="7444" width="20.7109375" style="27" bestFit="1" customWidth="1"/>
    <col min="7445" max="7445" width="10" style="27" bestFit="1" customWidth="1"/>
    <col min="7446" max="7450" width="9.140625" style="27"/>
    <col min="7451" max="7451" width="13.85546875" style="27" bestFit="1" customWidth="1"/>
    <col min="7452" max="7452" width="13.5703125" style="27" bestFit="1" customWidth="1"/>
    <col min="7453" max="7453" width="10.42578125" style="27" bestFit="1" customWidth="1"/>
    <col min="7454" max="7454" width="9" style="27" bestFit="1" customWidth="1"/>
    <col min="7455" max="7680" width="9.140625" style="27"/>
    <col min="7681" max="7681" width="93.5703125" style="27" bestFit="1" customWidth="1"/>
    <col min="7682" max="7690" width="9.140625" style="27"/>
    <col min="7691" max="7692" width="13" style="27" customWidth="1"/>
    <col min="7693" max="7699" width="9.140625" style="27"/>
    <col min="7700" max="7700" width="20.7109375" style="27" bestFit="1" customWidth="1"/>
    <col min="7701" max="7701" width="10" style="27" bestFit="1" customWidth="1"/>
    <col min="7702" max="7706" width="9.140625" style="27"/>
    <col min="7707" max="7707" width="13.85546875" style="27" bestFit="1" customWidth="1"/>
    <col min="7708" max="7708" width="13.5703125" style="27" bestFit="1" customWidth="1"/>
    <col min="7709" max="7709" width="10.42578125" style="27" bestFit="1" customWidth="1"/>
    <col min="7710" max="7710" width="9" style="27" bestFit="1" customWidth="1"/>
    <col min="7711" max="7936" width="9.140625" style="27"/>
    <col min="7937" max="7937" width="93.5703125" style="27" bestFit="1" customWidth="1"/>
    <col min="7938" max="7946" width="9.140625" style="27"/>
    <col min="7947" max="7948" width="13" style="27" customWidth="1"/>
    <col min="7949" max="7955" width="9.140625" style="27"/>
    <col min="7956" max="7956" width="20.7109375" style="27" bestFit="1" customWidth="1"/>
    <col min="7957" max="7957" width="10" style="27" bestFit="1" customWidth="1"/>
    <col min="7958" max="7962" width="9.140625" style="27"/>
    <col min="7963" max="7963" width="13.85546875" style="27" bestFit="1" customWidth="1"/>
    <col min="7964" max="7964" width="13.5703125" style="27" bestFit="1" customWidth="1"/>
    <col min="7965" max="7965" width="10.42578125" style="27" bestFit="1" customWidth="1"/>
    <col min="7966" max="7966" width="9" style="27" bestFit="1" customWidth="1"/>
    <col min="7967" max="8192" width="9.140625" style="27"/>
    <col min="8193" max="8193" width="93.5703125" style="27" bestFit="1" customWidth="1"/>
    <col min="8194" max="8202" width="9.140625" style="27"/>
    <col min="8203" max="8204" width="13" style="27" customWidth="1"/>
    <col min="8205" max="8211" width="9.140625" style="27"/>
    <col min="8212" max="8212" width="20.7109375" style="27" bestFit="1" customWidth="1"/>
    <col min="8213" max="8213" width="10" style="27" bestFit="1" customWidth="1"/>
    <col min="8214" max="8218" width="9.140625" style="27"/>
    <col min="8219" max="8219" width="13.85546875" style="27" bestFit="1" customWidth="1"/>
    <col min="8220" max="8220" width="13.5703125" style="27" bestFit="1" customWidth="1"/>
    <col min="8221" max="8221" width="10.42578125" style="27" bestFit="1" customWidth="1"/>
    <col min="8222" max="8222" width="9" style="27" bestFit="1" customWidth="1"/>
    <col min="8223" max="8448" width="9.140625" style="27"/>
    <col min="8449" max="8449" width="93.5703125" style="27" bestFit="1" customWidth="1"/>
    <col min="8450" max="8458" width="9.140625" style="27"/>
    <col min="8459" max="8460" width="13" style="27" customWidth="1"/>
    <col min="8461" max="8467" width="9.140625" style="27"/>
    <col min="8468" max="8468" width="20.7109375" style="27" bestFit="1" customWidth="1"/>
    <col min="8469" max="8469" width="10" style="27" bestFit="1" customWidth="1"/>
    <col min="8470" max="8474" width="9.140625" style="27"/>
    <col min="8475" max="8475" width="13.85546875" style="27" bestFit="1" customWidth="1"/>
    <col min="8476" max="8476" width="13.5703125" style="27" bestFit="1" customWidth="1"/>
    <col min="8477" max="8477" width="10.42578125" style="27" bestFit="1" customWidth="1"/>
    <col min="8478" max="8478" width="9" style="27" bestFit="1" customWidth="1"/>
    <col min="8479" max="8704" width="9.140625" style="27"/>
    <col min="8705" max="8705" width="93.5703125" style="27" bestFit="1" customWidth="1"/>
    <col min="8706" max="8714" width="9.140625" style="27"/>
    <col min="8715" max="8716" width="13" style="27" customWidth="1"/>
    <col min="8717" max="8723" width="9.140625" style="27"/>
    <col min="8724" max="8724" width="20.7109375" style="27" bestFit="1" customWidth="1"/>
    <col min="8725" max="8725" width="10" style="27" bestFit="1" customWidth="1"/>
    <col min="8726" max="8730" width="9.140625" style="27"/>
    <col min="8731" max="8731" width="13.85546875" style="27" bestFit="1" customWidth="1"/>
    <col min="8732" max="8732" width="13.5703125" style="27" bestFit="1" customWidth="1"/>
    <col min="8733" max="8733" width="10.42578125" style="27" bestFit="1" customWidth="1"/>
    <col min="8734" max="8734" width="9" style="27" bestFit="1" customWidth="1"/>
    <col min="8735" max="8960" width="9.140625" style="27"/>
    <col min="8961" max="8961" width="93.5703125" style="27" bestFit="1" customWidth="1"/>
    <col min="8962" max="8970" width="9.140625" style="27"/>
    <col min="8971" max="8972" width="13" style="27" customWidth="1"/>
    <col min="8973" max="8979" width="9.140625" style="27"/>
    <col min="8980" max="8980" width="20.7109375" style="27" bestFit="1" customWidth="1"/>
    <col min="8981" max="8981" width="10" style="27" bestFit="1" customWidth="1"/>
    <col min="8982" max="8986" width="9.140625" style="27"/>
    <col min="8987" max="8987" width="13.85546875" style="27" bestFit="1" customWidth="1"/>
    <col min="8988" max="8988" width="13.5703125" style="27" bestFit="1" customWidth="1"/>
    <col min="8989" max="8989" width="10.42578125" style="27" bestFit="1" customWidth="1"/>
    <col min="8990" max="8990" width="9" style="27" bestFit="1" customWidth="1"/>
    <col min="8991" max="9216" width="9.140625" style="27"/>
    <col min="9217" max="9217" width="93.5703125" style="27" bestFit="1" customWidth="1"/>
    <col min="9218" max="9226" width="9.140625" style="27"/>
    <col min="9227" max="9228" width="13" style="27" customWidth="1"/>
    <col min="9229" max="9235" width="9.140625" style="27"/>
    <col min="9236" max="9236" width="20.7109375" style="27" bestFit="1" customWidth="1"/>
    <col min="9237" max="9237" width="10" style="27" bestFit="1" customWidth="1"/>
    <col min="9238" max="9242" width="9.140625" style="27"/>
    <col min="9243" max="9243" width="13.85546875" style="27" bestFit="1" customWidth="1"/>
    <col min="9244" max="9244" width="13.5703125" style="27" bestFit="1" customWidth="1"/>
    <col min="9245" max="9245" width="10.42578125" style="27" bestFit="1" customWidth="1"/>
    <col min="9246" max="9246" width="9" style="27" bestFit="1" customWidth="1"/>
    <col min="9247" max="9472" width="9.140625" style="27"/>
    <col min="9473" max="9473" width="93.5703125" style="27" bestFit="1" customWidth="1"/>
    <col min="9474" max="9482" width="9.140625" style="27"/>
    <col min="9483" max="9484" width="13" style="27" customWidth="1"/>
    <col min="9485" max="9491" width="9.140625" style="27"/>
    <col min="9492" max="9492" width="20.7109375" style="27" bestFit="1" customWidth="1"/>
    <col min="9493" max="9493" width="10" style="27" bestFit="1" customWidth="1"/>
    <col min="9494" max="9498" width="9.140625" style="27"/>
    <col min="9499" max="9499" width="13.85546875" style="27" bestFit="1" customWidth="1"/>
    <col min="9500" max="9500" width="13.5703125" style="27" bestFit="1" customWidth="1"/>
    <col min="9501" max="9501" width="10.42578125" style="27" bestFit="1" customWidth="1"/>
    <col min="9502" max="9502" width="9" style="27" bestFit="1" customWidth="1"/>
    <col min="9503" max="9728" width="9.140625" style="27"/>
    <col min="9729" max="9729" width="93.5703125" style="27" bestFit="1" customWidth="1"/>
    <col min="9730" max="9738" width="9.140625" style="27"/>
    <col min="9739" max="9740" width="13" style="27" customWidth="1"/>
    <col min="9741" max="9747" width="9.140625" style="27"/>
    <col min="9748" max="9748" width="20.7109375" style="27" bestFit="1" customWidth="1"/>
    <col min="9749" max="9749" width="10" style="27" bestFit="1" customWidth="1"/>
    <col min="9750" max="9754" width="9.140625" style="27"/>
    <col min="9755" max="9755" width="13.85546875" style="27" bestFit="1" customWidth="1"/>
    <col min="9756" max="9756" width="13.5703125" style="27" bestFit="1" customWidth="1"/>
    <col min="9757" max="9757" width="10.42578125" style="27" bestFit="1" customWidth="1"/>
    <col min="9758" max="9758" width="9" style="27" bestFit="1" customWidth="1"/>
    <col min="9759" max="9984" width="9.140625" style="27"/>
    <col min="9985" max="9985" width="93.5703125" style="27" bestFit="1" customWidth="1"/>
    <col min="9986" max="9994" width="9.140625" style="27"/>
    <col min="9995" max="9996" width="13" style="27" customWidth="1"/>
    <col min="9997" max="10003" width="9.140625" style="27"/>
    <col min="10004" max="10004" width="20.7109375" style="27" bestFit="1" customWidth="1"/>
    <col min="10005" max="10005" width="10" style="27" bestFit="1" customWidth="1"/>
    <col min="10006" max="10010" width="9.140625" style="27"/>
    <col min="10011" max="10011" width="13.85546875" style="27" bestFit="1" customWidth="1"/>
    <col min="10012" max="10012" width="13.5703125" style="27" bestFit="1" customWidth="1"/>
    <col min="10013" max="10013" width="10.42578125" style="27" bestFit="1" customWidth="1"/>
    <col min="10014" max="10014" width="9" style="27" bestFit="1" customWidth="1"/>
    <col min="10015" max="10240" width="9.140625" style="27"/>
    <col min="10241" max="10241" width="93.5703125" style="27" bestFit="1" customWidth="1"/>
    <col min="10242" max="10250" width="9.140625" style="27"/>
    <col min="10251" max="10252" width="13" style="27" customWidth="1"/>
    <col min="10253" max="10259" width="9.140625" style="27"/>
    <col min="10260" max="10260" width="20.7109375" style="27" bestFit="1" customWidth="1"/>
    <col min="10261" max="10261" width="10" style="27" bestFit="1" customWidth="1"/>
    <col min="10262" max="10266" width="9.140625" style="27"/>
    <col min="10267" max="10267" width="13.85546875" style="27" bestFit="1" customWidth="1"/>
    <col min="10268" max="10268" width="13.5703125" style="27" bestFit="1" customWidth="1"/>
    <col min="10269" max="10269" width="10.42578125" style="27" bestFit="1" customWidth="1"/>
    <col min="10270" max="10270" width="9" style="27" bestFit="1" customWidth="1"/>
    <col min="10271" max="10496" width="9.140625" style="27"/>
    <col min="10497" max="10497" width="93.5703125" style="27" bestFit="1" customWidth="1"/>
    <col min="10498" max="10506" width="9.140625" style="27"/>
    <col min="10507" max="10508" width="13" style="27" customWidth="1"/>
    <col min="10509" max="10515" width="9.140625" style="27"/>
    <col min="10516" max="10516" width="20.7109375" style="27" bestFit="1" customWidth="1"/>
    <col min="10517" max="10517" width="10" style="27" bestFit="1" customWidth="1"/>
    <col min="10518" max="10522" width="9.140625" style="27"/>
    <col min="10523" max="10523" width="13.85546875" style="27" bestFit="1" customWidth="1"/>
    <col min="10524" max="10524" width="13.5703125" style="27" bestFit="1" customWidth="1"/>
    <col min="10525" max="10525" width="10.42578125" style="27" bestFit="1" customWidth="1"/>
    <col min="10526" max="10526" width="9" style="27" bestFit="1" customWidth="1"/>
    <col min="10527" max="10752" width="9.140625" style="27"/>
    <col min="10753" max="10753" width="93.5703125" style="27" bestFit="1" customWidth="1"/>
    <col min="10754" max="10762" width="9.140625" style="27"/>
    <col min="10763" max="10764" width="13" style="27" customWidth="1"/>
    <col min="10765" max="10771" width="9.140625" style="27"/>
    <col min="10772" max="10772" width="20.7109375" style="27" bestFit="1" customWidth="1"/>
    <col min="10773" max="10773" width="10" style="27" bestFit="1" customWidth="1"/>
    <col min="10774" max="10778" width="9.140625" style="27"/>
    <col min="10779" max="10779" width="13.85546875" style="27" bestFit="1" customWidth="1"/>
    <col min="10780" max="10780" width="13.5703125" style="27" bestFit="1" customWidth="1"/>
    <col min="10781" max="10781" width="10.42578125" style="27" bestFit="1" customWidth="1"/>
    <col min="10782" max="10782" width="9" style="27" bestFit="1" customWidth="1"/>
    <col min="10783" max="11008" width="9.140625" style="27"/>
    <col min="11009" max="11009" width="93.5703125" style="27" bestFit="1" customWidth="1"/>
    <col min="11010" max="11018" width="9.140625" style="27"/>
    <col min="11019" max="11020" width="13" style="27" customWidth="1"/>
    <col min="11021" max="11027" width="9.140625" style="27"/>
    <col min="11028" max="11028" width="20.7109375" style="27" bestFit="1" customWidth="1"/>
    <col min="11029" max="11029" width="10" style="27" bestFit="1" customWidth="1"/>
    <col min="11030" max="11034" width="9.140625" style="27"/>
    <col min="11035" max="11035" width="13.85546875" style="27" bestFit="1" customWidth="1"/>
    <col min="11036" max="11036" width="13.5703125" style="27" bestFit="1" customWidth="1"/>
    <col min="11037" max="11037" width="10.42578125" style="27" bestFit="1" customWidth="1"/>
    <col min="11038" max="11038" width="9" style="27" bestFit="1" customWidth="1"/>
    <col min="11039" max="11264" width="9.140625" style="27"/>
    <col min="11265" max="11265" width="93.5703125" style="27" bestFit="1" customWidth="1"/>
    <col min="11266" max="11274" width="9.140625" style="27"/>
    <col min="11275" max="11276" width="13" style="27" customWidth="1"/>
    <col min="11277" max="11283" width="9.140625" style="27"/>
    <col min="11284" max="11284" width="20.7109375" style="27" bestFit="1" customWidth="1"/>
    <col min="11285" max="11285" width="10" style="27" bestFit="1" customWidth="1"/>
    <col min="11286" max="11290" width="9.140625" style="27"/>
    <col min="11291" max="11291" width="13.85546875" style="27" bestFit="1" customWidth="1"/>
    <col min="11292" max="11292" width="13.5703125" style="27" bestFit="1" customWidth="1"/>
    <col min="11293" max="11293" width="10.42578125" style="27" bestFit="1" customWidth="1"/>
    <col min="11294" max="11294" width="9" style="27" bestFit="1" customWidth="1"/>
    <col min="11295" max="11520" width="9.140625" style="27"/>
    <col min="11521" max="11521" width="93.5703125" style="27" bestFit="1" customWidth="1"/>
    <col min="11522" max="11530" width="9.140625" style="27"/>
    <col min="11531" max="11532" width="13" style="27" customWidth="1"/>
    <col min="11533" max="11539" width="9.140625" style="27"/>
    <col min="11540" max="11540" width="20.7109375" style="27" bestFit="1" customWidth="1"/>
    <col min="11541" max="11541" width="10" style="27" bestFit="1" customWidth="1"/>
    <col min="11542" max="11546" width="9.140625" style="27"/>
    <col min="11547" max="11547" width="13.85546875" style="27" bestFit="1" customWidth="1"/>
    <col min="11548" max="11548" width="13.5703125" style="27" bestFit="1" customWidth="1"/>
    <col min="11549" max="11549" width="10.42578125" style="27" bestFit="1" customWidth="1"/>
    <col min="11550" max="11550" width="9" style="27" bestFit="1" customWidth="1"/>
    <col min="11551" max="11776" width="9.140625" style="27"/>
    <col min="11777" max="11777" width="93.5703125" style="27" bestFit="1" customWidth="1"/>
    <col min="11778" max="11786" width="9.140625" style="27"/>
    <col min="11787" max="11788" width="13" style="27" customWidth="1"/>
    <col min="11789" max="11795" width="9.140625" style="27"/>
    <col min="11796" max="11796" width="20.7109375" style="27" bestFit="1" customWidth="1"/>
    <col min="11797" max="11797" width="10" style="27" bestFit="1" customWidth="1"/>
    <col min="11798" max="11802" width="9.140625" style="27"/>
    <col min="11803" max="11803" width="13.85546875" style="27" bestFit="1" customWidth="1"/>
    <col min="11804" max="11804" width="13.5703125" style="27" bestFit="1" customWidth="1"/>
    <col min="11805" max="11805" width="10.42578125" style="27" bestFit="1" customWidth="1"/>
    <col min="11806" max="11806" width="9" style="27" bestFit="1" customWidth="1"/>
    <col min="11807" max="12032" width="9.140625" style="27"/>
    <col min="12033" max="12033" width="93.5703125" style="27" bestFit="1" customWidth="1"/>
    <col min="12034" max="12042" width="9.140625" style="27"/>
    <col min="12043" max="12044" width="13" style="27" customWidth="1"/>
    <col min="12045" max="12051" width="9.140625" style="27"/>
    <col min="12052" max="12052" width="20.7109375" style="27" bestFit="1" customWidth="1"/>
    <col min="12053" max="12053" width="10" style="27" bestFit="1" customWidth="1"/>
    <col min="12054" max="12058" width="9.140625" style="27"/>
    <col min="12059" max="12059" width="13.85546875" style="27" bestFit="1" customWidth="1"/>
    <col min="12060" max="12060" width="13.5703125" style="27" bestFit="1" customWidth="1"/>
    <col min="12061" max="12061" width="10.42578125" style="27" bestFit="1" customWidth="1"/>
    <col min="12062" max="12062" width="9" style="27" bestFit="1" customWidth="1"/>
    <col min="12063" max="12288" width="9.140625" style="27"/>
    <col min="12289" max="12289" width="93.5703125" style="27" bestFit="1" customWidth="1"/>
    <col min="12290" max="12298" width="9.140625" style="27"/>
    <col min="12299" max="12300" width="13" style="27" customWidth="1"/>
    <col min="12301" max="12307" width="9.140625" style="27"/>
    <col min="12308" max="12308" width="20.7109375" style="27" bestFit="1" customWidth="1"/>
    <col min="12309" max="12309" width="10" style="27" bestFit="1" customWidth="1"/>
    <col min="12310" max="12314" width="9.140625" style="27"/>
    <col min="12315" max="12315" width="13.85546875" style="27" bestFit="1" customWidth="1"/>
    <col min="12316" max="12316" width="13.5703125" style="27" bestFit="1" customWidth="1"/>
    <col min="12317" max="12317" width="10.42578125" style="27" bestFit="1" customWidth="1"/>
    <col min="12318" max="12318" width="9" style="27" bestFit="1" customWidth="1"/>
    <col min="12319" max="12544" width="9.140625" style="27"/>
    <col min="12545" max="12545" width="93.5703125" style="27" bestFit="1" customWidth="1"/>
    <col min="12546" max="12554" width="9.140625" style="27"/>
    <col min="12555" max="12556" width="13" style="27" customWidth="1"/>
    <col min="12557" max="12563" width="9.140625" style="27"/>
    <col min="12564" max="12564" width="20.7109375" style="27" bestFit="1" customWidth="1"/>
    <col min="12565" max="12565" width="10" style="27" bestFit="1" customWidth="1"/>
    <col min="12566" max="12570" width="9.140625" style="27"/>
    <col min="12571" max="12571" width="13.85546875" style="27" bestFit="1" customWidth="1"/>
    <col min="12572" max="12572" width="13.5703125" style="27" bestFit="1" customWidth="1"/>
    <col min="12573" max="12573" width="10.42578125" style="27" bestFit="1" customWidth="1"/>
    <col min="12574" max="12574" width="9" style="27" bestFit="1" customWidth="1"/>
    <col min="12575" max="12800" width="9.140625" style="27"/>
    <col min="12801" max="12801" width="93.5703125" style="27" bestFit="1" customWidth="1"/>
    <col min="12802" max="12810" width="9.140625" style="27"/>
    <col min="12811" max="12812" width="13" style="27" customWidth="1"/>
    <col min="12813" max="12819" width="9.140625" style="27"/>
    <col min="12820" max="12820" width="20.7109375" style="27" bestFit="1" customWidth="1"/>
    <col min="12821" max="12821" width="10" style="27" bestFit="1" customWidth="1"/>
    <col min="12822" max="12826" width="9.140625" style="27"/>
    <col min="12827" max="12827" width="13.85546875" style="27" bestFit="1" customWidth="1"/>
    <col min="12828" max="12828" width="13.5703125" style="27" bestFit="1" customWidth="1"/>
    <col min="12829" max="12829" width="10.42578125" style="27" bestFit="1" customWidth="1"/>
    <col min="12830" max="12830" width="9" style="27" bestFit="1" customWidth="1"/>
    <col min="12831" max="13056" width="9.140625" style="27"/>
    <col min="13057" max="13057" width="93.5703125" style="27" bestFit="1" customWidth="1"/>
    <col min="13058" max="13066" width="9.140625" style="27"/>
    <col min="13067" max="13068" width="13" style="27" customWidth="1"/>
    <col min="13069" max="13075" width="9.140625" style="27"/>
    <col min="13076" max="13076" width="20.7109375" style="27" bestFit="1" customWidth="1"/>
    <col min="13077" max="13077" width="10" style="27" bestFit="1" customWidth="1"/>
    <col min="13078" max="13082" width="9.140625" style="27"/>
    <col min="13083" max="13083" width="13.85546875" style="27" bestFit="1" customWidth="1"/>
    <col min="13084" max="13084" width="13.5703125" style="27" bestFit="1" customWidth="1"/>
    <col min="13085" max="13085" width="10.42578125" style="27" bestFit="1" customWidth="1"/>
    <col min="13086" max="13086" width="9" style="27" bestFit="1" customWidth="1"/>
    <col min="13087" max="13312" width="9.140625" style="27"/>
    <col min="13313" max="13313" width="93.5703125" style="27" bestFit="1" customWidth="1"/>
    <col min="13314" max="13322" width="9.140625" style="27"/>
    <col min="13323" max="13324" width="13" style="27" customWidth="1"/>
    <col min="13325" max="13331" width="9.140625" style="27"/>
    <col min="13332" max="13332" width="20.7109375" style="27" bestFit="1" customWidth="1"/>
    <col min="13333" max="13333" width="10" style="27" bestFit="1" customWidth="1"/>
    <col min="13334" max="13338" width="9.140625" style="27"/>
    <col min="13339" max="13339" width="13.85546875" style="27" bestFit="1" customWidth="1"/>
    <col min="13340" max="13340" width="13.5703125" style="27" bestFit="1" customWidth="1"/>
    <col min="13341" max="13341" width="10.42578125" style="27" bestFit="1" customWidth="1"/>
    <col min="13342" max="13342" width="9" style="27" bestFit="1" customWidth="1"/>
    <col min="13343" max="13568" width="9.140625" style="27"/>
    <col min="13569" max="13569" width="93.5703125" style="27" bestFit="1" customWidth="1"/>
    <col min="13570" max="13578" width="9.140625" style="27"/>
    <col min="13579" max="13580" width="13" style="27" customWidth="1"/>
    <col min="13581" max="13587" width="9.140625" style="27"/>
    <col min="13588" max="13588" width="20.7109375" style="27" bestFit="1" customWidth="1"/>
    <col min="13589" max="13589" width="10" style="27" bestFit="1" customWidth="1"/>
    <col min="13590" max="13594" width="9.140625" style="27"/>
    <col min="13595" max="13595" width="13.85546875" style="27" bestFit="1" customWidth="1"/>
    <col min="13596" max="13596" width="13.5703125" style="27" bestFit="1" customWidth="1"/>
    <col min="13597" max="13597" width="10.42578125" style="27" bestFit="1" customWidth="1"/>
    <col min="13598" max="13598" width="9" style="27" bestFit="1" customWidth="1"/>
    <col min="13599" max="13824" width="9.140625" style="27"/>
    <col min="13825" max="13825" width="93.5703125" style="27" bestFit="1" customWidth="1"/>
    <col min="13826" max="13834" width="9.140625" style="27"/>
    <col min="13835" max="13836" width="13" style="27" customWidth="1"/>
    <col min="13837" max="13843" width="9.140625" style="27"/>
    <col min="13844" max="13844" width="20.7109375" style="27" bestFit="1" customWidth="1"/>
    <col min="13845" max="13845" width="10" style="27" bestFit="1" customWidth="1"/>
    <col min="13846" max="13850" width="9.140625" style="27"/>
    <col min="13851" max="13851" width="13.85546875" style="27" bestFit="1" customWidth="1"/>
    <col min="13852" max="13852" width="13.5703125" style="27" bestFit="1" customWidth="1"/>
    <col min="13853" max="13853" width="10.42578125" style="27" bestFit="1" customWidth="1"/>
    <col min="13854" max="13854" width="9" style="27" bestFit="1" customWidth="1"/>
    <col min="13855" max="14080" width="9.140625" style="27"/>
    <col min="14081" max="14081" width="93.5703125" style="27" bestFit="1" customWidth="1"/>
    <col min="14082" max="14090" width="9.140625" style="27"/>
    <col min="14091" max="14092" width="13" style="27" customWidth="1"/>
    <col min="14093" max="14099" width="9.140625" style="27"/>
    <col min="14100" max="14100" width="20.7109375" style="27" bestFit="1" customWidth="1"/>
    <col min="14101" max="14101" width="10" style="27" bestFit="1" customWidth="1"/>
    <col min="14102" max="14106" width="9.140625" style="27"/>
    <col min="14107" max="14107" width="13.85546875" style="27" bestFit="1" customWidth="1"/>
    <col min="14108" max="14108" width="13.5703125" style="27" bestFit="1" customWidth="1"/>
    <col min="14109" max="14109" width="10.42578125" style="27" bestFit="1" customWidth="1"/>
    <col min="14110" max="14110" width="9" style="27" bestFit="1" customWidth="1"/>
    <col min="14111" max="14336" width="9.140625" style="27"/>
    <col min="14337" max="14337" width="93.5703125" style="27" bestFit="1" customWidth="1"/>
    <col min="14338" max="14346" width="9.140625" style="27"/>
    <col min="14347" max="14348" width="13" style="27" customWidth="1"/>
    <col min="14349" max="14355" width="9.140625" style="27"/>
    <col min="14356" max="14356" width="20.7109375" style="27" bestFit="1" customWidth="1"/>
    <col min="14357" max="14357" width="10" style="27" bestFit="1" customWidth="1"/>
    <col min="14358" max="14362" width="9.140625" style="27"/>
    <col min="14363" max="14363" width="13.85546875" style="27" bestFit="1" customWidth="1"/>
    <col min="14364" max="14364" width="13.5703125" style="27" bestFit="1" customWidth="1"/>
    <col min="14365" max="14365" width="10.42578125" style="27" bestFit="1" customWidth="1"/>
    <col min="14366" max="14366" width="9" style="27" bestFit="1" customWidth="1"/>
    <col min="14367" max="14592" width="9.140625" style="27"/>
    <col min="14593" max="14593" width="93.5703125" style="27" bestFit="1" customWidth="1"/>
    <col min="14594" max="14602" width="9.140625" style="27"/>
    <col min="14603" max="14604" width="13" style="27" customWidth="1"/>
    <col min="14605" max="14611" width="9.140625" style="27"/>
    <col min="14612" max="14612" width="20.7109375" style="27" bestFit="1" customWidth="1"/>
    <col min="14613" max="14613" width="10" style="27" bestFit="1" customWidth="1"/>
    <col min="14614" max="14618" width="9.140625" style="27"/>
    <col min="14619" max="14619" width="13.85546875" style="27" bestFit="1" customWidth="1"/>
    <col min="14620" max="14620" width="13.5703125" style="27" bestFit="1" customWidth="1"/>
    <col min="14621" max="14621" width="10.42578125" style="27" bestFit="1" customWidth="1"/>
    <col min="14622" max="14622" width="9" style="27" bestFit="1" customWidth="1"/>
    <col min="14623" max="14848" width="9.140625" style="27"/>
    <col min="14849" max="14849" width="93.5703125" style="27" bestFit="1" customWidth="1"/>
    <col min="14850" max="14858" width="9.140625" style="27"/>
    <col min="14859" max="14860" width="13" style="27" customWidth="1"/>
    <col min="14861" max="14867" width="9.140625" style="27"/>
    <col min="14868" max="14868" width="20.7109375" style="27" bestFit="1" customWidth="1"/>
    <col min="14869" max="14869" width="10" style="27" bestFit="1" customWidth="1"/>
    <col min="14870" max="14874" width="9.140625" style="27"/>
    <col min="14875" max="14875" width="13.85546875" style="27" bestFit="1" customWidth="1"/>
    <col min="14876" max="14876" width="13.5703125" style="27" bestFit="1" customWidth="1"/>
    <col min="14877" max="14877" width="10.42578125" style="27" bestFit="1" customWidth="1"/>
    <col min="14878" max="14878" width="9" style="27" bestFit="1" customWidth="1"/>
    <col min="14879" max="15104" width="9.140625" style="27"/>
    <col min="15105" max="15105" width="93.5703125" style="27" bestFit="1" customWidth="1"/>
    <col min="15106" max="15114" width="9.140625" style="27"/>
    <col min="15115" max="15116" width="13" style="27" customWidth="1"/>
    <col min="15117" max="15123" width="9.140625" style="27"/>
    <col min="15124" max="15124" width="20.7109375" style="27" bestFit="1" customWidth="1"/>
    <col min="15125" max="15125" width="10" style="27" bestFit="1" customWidth="1"/>
    <col min="15126" max="15130" width="9.140625" style="27"/>
    <col min="15131" max="15131" width="13.85546875" style="27" bestFit="1" customWidth="1"/>
    <col min="15132" max="15132" width="13.5703125" style="27" bestFit="1" customWidth="1"/>
    <col min="15133" max="15133" width="10.42578125" style="27" bestFit="1" customWidth="1"/>
    <col min="15134" max="15134" width="9" style="27" bestFit="1" customWidth="1"/>
    <col min="15135" max="15360" width="9.140625" style="27"/>
    <col min="15361" max="15361" width="93.5703125" style="27" bestFit="1" customWidth="1"/>
    <col min="15362" max="15370" width="9.140625" style="27"/>
    <col min="15371" max="15372" width="13" style="27" customWidth="1"/>
    <col min="15373" max="15379" width="9.140625" style="27"/>
    <col min="15380" max="15380" width="20.7109375" style="27" bestFit="1" customWidth="1"/>
    <col min="15381" max="15381" width="10" style="27" bestFit="1" customWidth="1"/>
    <col min="15382" max="15386" width="9.140625" style="27"/>
    <col min="15387" max="15387" width="13.85546875" style="27" bestFit="1" customWidth="1"/>
    <col min="15388" max="15388" width="13.5703125" style="27" bestFit="1" customWidth="1"/>
    <col min="15389" max="15389" width="10.42578125" style="27" bestFit="1" customWidth="1"/>
    <col min="15390" max="15390" width="9" style="27" bestFit="1" customWidth="1"/>
    <col min="15391" max="15616" width="9.140625" style="27"/>
    <col min="15617" max="15617" width="93.5703125" style="27" bestFit="1" customWidth="1"/>
    <col min="15618" max="15626" width="9.140625" style="27"/>
    <col min="15627" max="15628" width="13" style="27" customWidth="1"/>
    <col min="15629" max="15635" width="9.140625" style="27"/>
    <col min="15636" max="15636" width="20.7109375" style="27" bestFit="1" customWidth="1"/>
    <col min="15637" max="15637" width="10" style="27" bestFit="1" customWidth="1"/>
    <col min="15638" max="15642" width="9.140625" style="27"/>
    <col min="15643" max="15643" width="13.85546875" style="27" bestFit="1" customWidth="1"/>
    <col min="15644" max="15644" width="13.5703125" style="27" bestFit="1" customWidth="1"/>
    <col min="15645" max="15645" width="10.42578125" style="27" bestFit="1" customWidth="1"/>
    <col min="15646" max="15646" width="9" style="27" bestFit="1" customWidth="1"/>
    <col min="15647" max="15872" width="9.140625" style="27"/>
    <col min="15873" max="15873" width="93.5703125" style="27" bestFit="1" customWidth="1"/>
    <col min="15874" max="15882" width="9.140625" style="27"/>
    <col min="15883" max="15884" width="13" style="27" customWidth="1"/>
    <col min="15885" max="15891" width="9.140625" style="27"/>
    <col min="15892" max="15892" width="20.7109375" style="27" bestFit="1" customWidth="1"/>
    <col min="15893" max="15893" width="10" style="27" bestFit="1" customWidth="1"/>
    <col min="15894" max="15898" width="9.140625" style="27"/>
    <col min="15899" max="15899" width="13.85546875" style="27" bestFit="1" customWidth="1"/>
    <col min="15900" max="15900" width="13.5703125" style="27" bestFit="1" customWidth="1"/>
    <col min="15901" max="15901" width="10.42578125" style="27" bestFit="1" customWidth="1"/>
    <col min="15902" max="15902" width="9" style="27" bestFit="1" customWidth="1"/>
    <col min="15903" max="16128" width="9.140625" style="27"/>
    <col min="16129" max="16129" width="93.5703125" style="27" bestFit="1" customWidth="1"/>
    <col min="16130" max="16138" width="9.140625" style="27"/>
    <col min="16139" max="16140" width="13" style="27" customWidth="1"/>
    <col min="16141" max="16147" width="9.140625" style="27"/>
    <col min="16148" max="16148" width="20.7109375" style="27" bestFit="1" customWidth="1"/>
    <col min="16149" max="16149" width="10" style="27" bestFit="1" customWidth="1"/>
    <col min="16150" max="16154" width="9.140625" style="27"/>
    <col min="16155" max="16155" width="13.85546875" style="27" bestFit="1" customWidth="1"/>
    <col min="16156" max="16156" width="13.5703125" style="27" bestFit="1" customWidth="1"/>
    <col min="16157" max="16157" width="10.42578125" style="27" bestFit="1" customWidth="1"/>
    <col min="16158" max="16158" width="9" style="27" bestFit="1" customWidth="1"/>
    <col min="16159" max="16384" width="9.140625" style="27"/>
  </cols>
  <sheetData>
    <row r="1" spans="1:30" ht="19.5" thickBot="1">
      <c r="B1" s="216" t="s">
        <v>510</v>
      </c>
      <c r="C1" s="217"/>
      <c r="D1" s="217"/>
      <c r="E1" s="217"/>
      <c r="F1" s="218"/>
      <c r="G1" s="217" t="s">
        <v>511</v>
      </c>
      <c r="H1" s="217"/>
      <c r="I1" s="217"/>
      <c r="J1" s="217"/>
      <c r="K1" s="218"/>
      <c r="L1" s="218"/>
      <c r="M1" s="216"/>
      <c r="N1" s="217"/>
      <c r="O1" s="217"/>
      <c r="P1" s="217"/>
      <c r="Q1" s="217"/>
      <c r="R1" s="217"/>
      <c r="S1" s="217"/>
      <c r="T1" s="217"/>
      <c r="U1" s="217"/>
      <c r="V1" s="217"/>
      <c r="W1" s="217"/>
    </row>
    <row r="2" spans="1:30" ht="19.5" thickBot="1">
      <c r="B2" s="216" t="s">
        <v>512</v>
      </c>
      <c r="C2"/>
      <c r="D2"/>
      <c r="E2"/>
      <c r="F2" s="219"/>
      <c r="G2" t="s">
        <v>513</v>
      </c>
      <c r="H2"/>
      <c r="I2"/>
      <c r="J2"/>
      <c r="M2" t="s">
        <v>1197</v>
      </c>
      <c r="N2"/>
      <c r="O2"/>
      <c r="P2"/>
      <c r="Q2"/>
      <c r="R2"/>
      <c r="S2"/>
      <c r="T2" s="220" t="s">
        <v>321</v>
      </c>
      <c r="U2" s="221" t="s">
        <v>322</v>
      </c>
      <c r="V2"/>
      <c r="W2"/>
    </row>
    <row r="3" spans="1:30" ht="15.75" thickBot="1">
      <c r="A3" s="27" t="s">
        <v>514</v>
      </c>
      <c r="B3"/>
      <c r="C3"/>
      <c r="D3"/>
      <c r="E3" s="219"/>
      <c r="F3"/>
      <c r="G3"/>
      <c r="H3"/>
      <c r="I3"/>
      <c r="J3"/>
      <c r="K3" s="650" t="s">
        <v>515</v>
      </c>
      <c r="L3" s="651"/>
      <c r="M3"/>
      <c r="N3"/>
      <c r="O3"/>
      <c r="P3"/>
      <c r="Q3"/>
      <c r="R3"/>
      <c r="S3"/>
      <c r="T3" s="222">
        <v>1500</v>
      </c>
      <c r="U3" s="223" t="s">
        <v>187</v>
      </c>
      <c r="V3"/>
      <c r="W3"/>
    </row>
    <row r="4" spans="1:30" ht="13.5" thickBot="1">
      <c r="B4" s="224" t="s">
        <v>516</v>
      </c>
      <c r="C4" s="225" t="s">
        <v>6</v>
      </c>
      <c r="D4" s="225" t="s">
        <v>517</v>
      </c>
      <c r="E4" s="226" t="s">
        <v>518</v>
      </c>
      <c r="F4" s="225" t="s">
        <v>519</v>
      </c>
      <c r="G4" s="227" t="s">
        <v>520</v>
      </c>
      <c r="H4" s="228" t="s">
        <v>521</v>
      </c>
      <c r="I4" s="228" t="s">
        <v>6</v>
      </c>
      <c r="J4" s="229" t="s">
        <v>180</v>
      </c>
      <c r="K4" s="230" t="s">
        <v>522</v>
      </c>
      <c r="L4" s="231" t="s">
        <v>523</v>
      </c>
      <c r="M4"/>
      <c r="N4"/>
      <c r="O4"/>
      <c r="P4"/>
      <c r="Q4"/>
      <c r="R4"/>
      <c r="S4"/>
      <c r="T4" s="222">
        <v>1500</v>
      </c>
      <c r="U4" s="223" t="s">
        <v>186</v>
      </c>
      <c r="V4"/>
      <c r="W4"/>
    </row>
    <row r="5" spans="1:30" ht="15.75" thickBot="1">
      <c r="A5" s="27" t="s">
        <v>524</v>
      </c>
      <c r="B5" s="232" t="str">
        <f>Results!A7</f>
        <v>Walls10</v>
      </c>
      <c r="C5" s="233" t="str">
        <f>Results!B7</f>
        <v>Walls10</v>
      </c>
      <c r="D5" s="233" t="str">
        <f>Results!C7</f>
        <v>Walls</v>
      </c>
      <c r="E5" s="233">
        <f>Results!D7</f>
        <v>10</v>
      </c>
      <c r="F5" s="233" t="str">
        <f>Results!E7</f>
        <v>R-0</v>
      </c>
      <c r="G5" s="233" t="str">
        <f>Results!F7</f>
        <v>R-11</v>
      </c>
      <c r="H5" s="234" t="str">
        <f>Results!G7</f>
        <v>Heating Zone 1</v>
      </c>
      <c r="I5" s="233" t="str">
        <f>Results!H7</f>
        <v>Multi Family Weatherization - Insulate Walls - R-0 to R-11 - Heating Zone 1</v>
      </c>
      <c r="J5" s="233" t="s">
        <v>529</v>
      </c>
      <c r="K5" s="235">
        <f>Results!I7</f>
        <v>1.2397086483100268</v>
      </c>
      <c r="L5" s="236">
        <f>Results!J7</f>
        <v>-1.3928888865429034E-3</v>
      </c>
      <c r="M5"/>
      <c r="N5"/>
      <c r="O5"/>
      <c r="P5"/>
      <c r="Q5"/>
      <c r="R5"/>
      <c r="S5"/>
      <c r="T5" s="237">
        <v>1000</v>
      </c>
      <c r="U5" s="238" t="s">
        <v>187</v>
      </c>
      <c r="V5">
        <v>0</v>
      </c>
      <c r="W5"/>
    </row>
    <row r="6" spans="1:30" ht="15.75" thickBot="1">
      <c r="A6" s="27" t="s">
        <v>530</v>
      </c>
      <c r="B6" s="239" t="str">
        <f>Results!A8</f>
        <v>BGWal10</v>
      </c>
      <c r="C6" s="240" t="str">
        <f>Results!B8</f>
        <v>BGWalls10</v>
      </c>
      <c r="D6" s="240" t="str">
        <f>Results!C8</f>
        <v>BGWalls</v>
      </c>
      <c r="E6" s="240">
        <f>Results!D8</f>
        <v>10</v>
      </c>
      <c r="F6" s="240" t="str">
        <f>Results!E8</f>
        <v>R-0</v>
      </c>
      <c r="G6" s="240" t="str">
        <f>Results!F8</f>
        <v>R-11</v>
      </c>
      <c r="H6" s="241" t="str">
        <f>Results!G8</f>
        <v>Heating Zone 1</v>
      </c>
      <c r="I6" s="240" t="str">
        <f>Results!H8</f>
        <v>Multi Family Weatherization - Insulate BGWalls - R-0 to R-11 - Heating Zone 1</v>
      </c>
      <c r="J6" s="233" t="s">
        <v>529</v>
      </c>
      <c r="K6" s="242">
        <f>Results!I8</f>
        <v>0</v>
      </c>
      <c r="L6" s="243">
        <f>Results!J8</f>
        <v>0</v>
      </c>
      <c r="Q6"/>
      <c r="R6"/>
      <c r="S6"/>
      <c r="T6"/>
      <c r="U6"/>
      <c r="V6"/>
      <c r="W6"/>
    </row>
    <row r="7" spans="1:30" ht="15.75" thickBot="1">
      <c r="A7" s="27" t="s">
        <v>534</v>
      </c>
      <c r="B7" s="244" t="str">
        <f>Results!A9</f>
        <v>Floor10</v>
      </c>
      <c r="C7" s="245" t="str">
        <f>Results!B9</f>
        <v>Floors10</v>
      </c>
      <c r="D7" s="245" t="str">
        <f>Results!C9</f>
        <v>Floors</v>
      </c>
      <c r="E7" s="245">
        <f>Results!D9</f>
        <v>10</v>
      </c>
      <c r="F7" s="245" t="str">
        <f>Results!E9</f>
        <v>R-0</v>
      </c>
      <c r="G7" s="245" t="str">
        <f>Results!F9</f>
        <v>R-19</v>
      </c>
      <c r="H7" s="246" t="str">
        <f>Results!G9</f>
        <v>Heating Zone 1</v>
      </c>
      <c r="I7" s="245" t="str">
        <f>Results!H9</f>
        <v>Multi Family Weatherization - Insulate Floors - R-0 to R-19 - Heating Zone 1</v>
      </c>
      <c r="J7" s="233" t="s">
        <v>529</v>
      </c>
      <c r="K7" s="247">
        <f>Results!I9</f>
        <v>0.54904464777548367</v>
      </c>
      <c r="L7" s="248">
        <f>Results!J9</f>
        <v>-8.6879628014648828E-3</v>
      </c>
      <c r="Q7"/>
      <c r="R7"/>
      <c r="S7"/>
      <c r="T7" s="249" t="s">
        <v>539</v>
      </c>
      <c r="U7" s="250" t="s">
        <v>526</v>
      </c>
      <c r="V7" s="251" t="s">
        <v>533</v>
      </c>
      <c r="W7" s="251" t="s">
        <v>537</v>
      </c>
      <c r="X7" s="251" t="s">
        <v>540</v>
      </c>
      <c r="Y7" s="251" t="s">
        <v>176</v>
      </c>
      <c r="Z7" s="251" t="s">
        <v>58</v>
      </c>
      <c r="AA7" s="251" t="s">
        <v>541</v>
      </c>
      <c r="AB7" s="251" t="s">
        <v>542</v>
      </c>
      <c r="AC7" s="251" t="s">
        <v>543</v>
      </c>
      <c r="AD7" s="252" t="s">
        <v>544</v>
      </c>
    </row>
    <row r="8" spans="1:30" ht="15.75" thickBot="1">
      <c r="A8" s="27" t="s">
        <v>545</v>
      </c>
      <c r="B8" s="253" t="str">
        <f>Results!A10</f>
        <v>Floor11</v>
      </c>
      <c r="C8" s="254" t="str">
        <f>Results!B10</f>
        <v>Floors11</v>
      </c>
      <c r="D8" s="254" t="str">
        <f>Results!C10</f>
        <v>Floors</v>
      </c>
      <c r="E8" s="254">
        <f>Results!D10</f>
        <v>11</v>
      </c>
      <c r="F8" s="254" t="str">
        <f>Results!E10</f>
        <v>R-0</v>
      </c>
      <c r="G8" s="254" t="str">
        <f>Results!F10</f>
        <v>R-25</v>
      </c>
      <c r="H8" s="255" t="str">
        <f>Results!G10</f>
        <v>Heating Zone 1</v>
      </c>
      <c r="I8" s="254" t="str">
        <f>Results!H10</f>
        <v>Multi Family Weatherization - Insulate Floors - R-0 to R-25 - Heating Zone 1</v>
      </c>
      <c r="J8" s="233" t="s">
        <v>529</v>
      </c>
      <c r="K8" s="256">
        <f>Results!I10</f>
        <v>0.629222122367877</v>
      </c>
      <c r="L8" s="257">
        <f>Results!J10</f>
        <v>-1.0072624961514117E-2</v>
      </c>
      <c r="Q8"/>
      <c r="R8"/>
      <c r="S8"/>
      <c r="T8" s="258">
        <v>1344</v>
      </c>
      <c r="U8" s="259">
        <v>1258.75</v>
      </c>
      <c r="V8" s="260">
        <v>0</v>
      </c>
      <c r="W8" s="261">
        <v>500</v>
      </c>
      <c r="X8" s="262">
        <v>500</v>
      </c>
      <c r="Y8" s="262">
        <v>195</v>
      </c>
      <c r="Z8" s="260">
        <v>1500</v>
      </c>
      <c r="AA8" s="260">
        <v>1</v>
      </c>
      <c r="AB8" s="260">
        <v>1</v>
      </c>
      <c r="AC8" s="260">
        <v>1</v>
      </c>
      <c r="AD8" s="263">
        <v>1</v>
      </c>
    </row>
    <row r="9" spans="1:30" ht="15.75" thickBot="1">
      <c r="A9" s="27" t="s">
        <v>549</v>
      </c>
      <c r="B9" s="244" t="str">
        <f>Results!A11</f>
        <v>Floor12</v>
      </c>
      <c r="C9" s="245" t="str">
        <f>Results!B11</f>
        <v>Floors12</v>
      </c>
      <c r="D9" s="245" t="str">
        <f>Results!C11</f>
        <v>Floors</v>
      </c>
      <c r="E9" s="245">
        <f>Results!D11</f>
        <v>12</v>
      </c>
      <c r="F9" s="245" t="str">
        <f>Results!E11</f>
        <v>R-0</v>
      </c>
      <c r="G9" s="245" t="str">
        <f>Results!F11</f>
        <v>R-30</v>
      </c>
      <c r="H9" s="246" t="str">
        <f>Results!G11</f>
        <v>Heating Zone 1</v>
      </c>
      <c r="I9" s="245" t="str">
        <f>Results!H11</f>
        <v>Multi Family Weatherization - Insulate Floors - R-0 to R-30 - Heating Zone 1</v>
      </c>
      <c r="J9" s="233" t="s">
        <v>529</v>
      </c>
      <c r="K9" s="247">
        <f>Results!I11</f>
        <v>0.71360642334571189</v>
      </c>
      <c r="L9" s="248">
        <f>Results!J11</f>
        <v>-1.1565756036803973E-2</v>
      </c>
      <c r="Q9"/>
      <c r="R9"/>
      <c r="S9"/>
      <c r="T9" s="264">
        <v>2200</v>
      </c>
      <c r="U9" s="265">
        <v>1258.75</v>
      </c>
      <c r="V9" s="266">
        <v>0</v>
      </c>
      <c r="W9" s="267">
        <v>500</v>
      </c>
      <c r="X9" s="268">
        <v>500</v>
      </c>
      <c r="Y9" s="268">
        <v>195</v>
      </c>
      <c r="Z9" s="266">
        <v>1500</v>
      </c>
      <c r="AA9" s="266">
        <v>1</v>
      </c>
      <c r="AB9" s="266">
        <v>1</v>
      </c>
      <c r="AC9" s="266">
        <v>1</v>
      </c>
      <c r="AD9" s="269">
        <v>1</v>
      </c>
    </row>
    <row r="10" spans="1:30" ht="15.75" thickBot="1">
      <c r="A10" s="27" t="s">
        <v>553</v>
      </c>
      <c r="B10" s="253" t="str">
        <f>Results!A12</f>
        <v>Floor13</v>
      </c>
      <c r="C10" s="254" t="str">
        <f>Results!B12</f>
        <v>Floors13</v>
      </c>
      <c r="D10" s="254" t="str">
        <f>Results!C12</f>
        <v>Floors</v>
      </c>
      <c r="E10" s="254">
        <f>Results!D12</f>
        <v>13</v>
      </c>
      <c r="F10" s="254" t="str">
        <f>Results!E12</f>
        <v>R-0</v>
      </c>
      <c r="G10" s="254" t="str">
        <f>Results!F12</f>
        <v>R-38</v>
      </c>
      <c r="H10" s="255" t="str">
        <f>Results!G12</f>
        <v>Heating Zone 1</v>
      </c>
      <c r="I10" s="254" t="str">
        <f>Results!H12</f>
        <v>Multi Family Weatherization - Insulate Floors - R-0 to R-38 - Heating Zone 1</v>
      </c>
      <c r="J10" s="233" t="s">
        <v>529</v>
      </c>
      <c r="K10" s="256">
        <f>Results!I12</f>
        <v>0.73603185698061679</v>
      </c>
      <c r="L10" s="257">
        <f>Results!J12</f>
        <v>-1.1968762310279761E-2</v>
      </c>
      <c r="Q10"/>
      <c r="R10"/>
      <c r="S10"/>
      <c r="T10" s="270">
        <v>2688</v>
      </c>
      <c r="U10" s="271">
        <v>10152</v>
      </c>
      <c r="V10" s="272">
        <v>1</v>
      </c>
      <c r="W10" s="273">
        <v>8800</v>
      </c>
      <c r="X10" s="274">
        <v>8800</v>
      </c>
      <c r="Y10" s="274">
        <v>3960</v>
      </c>
      <c r="Z10" s="272">
        <v>26400</v>
      </c>
      <c r="AA10" s="272">
        <v>1</v>
      </c>
      <c r="AB10" s="272">
        <v>1</v>
      </c>
      <c r="AC10" s="272">
        <v>1</v>
      </c>
      <c r="AD10" s="275">
        <v>1</v>
      </c>
    </row>
    <row r="11" spans="1:30" ht="15.75" thickBot="1">
      <c r="A11" s="27" t="s">
        <v>557</v>
      </c>
      <c r="B11" s="253" t="str">
        <f>Results!A13</f>
        <v>Floor14</v>
      </c>
      <c r="C11" s="254" t="str">
        <f>Results!B13</f>
        <v>Floors14</v>
      </c>
      <c r="D11" s="254" t="str">
        <f>Results!C13</f>
        <v>Floors</v>
      </c>
      <c r="E11" s="254">
        <f>Results!D13</f>
        <v>14</v>
      </c>
      <c r="F11" s="254" t="str">
        <f>Results!E13</f>
        <v>R-19</v>
      </c>
      <c r="G11" s="254" t="str">
        <f>Results!F13</f>
        <v>R-25</v>
      </c>
      <c r="H11" s="255" t="str">
        <f>Results!G13</f>
        <v>Heating Zone 1</v>
      </c>
      <c r="I11" s="254" t="str">
        <f>Results!H13</f>
        <v>Multi Family Weatherization - Insulate Floors - R-19 to R-25 - Heating Zone 1</v>
      </c>
      <c r="J11" s="233" t="s">
        <v>529</v>
      </c>
      <c r="K11" s="256">
        <f>Results!I13</f>
        <v>8.0177474592393327E-2</v>
      </c>
      <c r="L11" s="257">
        <f>Results!J13</f>
        <v>-1.384662160049233E-3</v>
      </c>
      <c r="Q11"/>
      <c r="R11"/>
      <c r="S11"/>
      <c r="T11" s="276" t="s">
        <v>560</v>
      </c>
      <c r="U11" s="277">
        <v>0</v>
      </c>
      <c r="V11" s="278">
        <v>1</v>
      </c>
      <c r="W11" s="278">
        <v>0</v>
      </c>
      <c r="X11" s="278">
        <v>0</v>
      </c>
      <c r="Y11" s="278">
        <v>0</v>
      </c>
      <c r="Z11" s="279">
        <v>0</v>
      </c>
    </row>
    <row r="12" spans="1:30" ht="15.75" thickBot="1">
      <c r="A12" s="27" t="s">
        <v>561</v>
      </c>
      <c r="B12" s="244" t="str">
        <f>Results!A14</f>
        <v>Floor15</v>
      </c>
      <c r="C12" s="245" t="str">
        <f>Results!B14</f>
        <v>Floors15</v>
      </c>
      <c r="D12" s="245" t="str">
        <f>Results!C14</f>
        <v>Floors</v>
      </c>
      <c r="E12" s="245">
        <f>Results!D14</f>
        <v>15</v>
      </c>
      <c r="F12" s="245" t="str">
        <f>Results!E14</f>
        <v>R-19</v>
      </c>
      <c r="G12" s="245" t="str">
        <f>Results!F14</f>
        <v>R-30</v>
      </c>
      <c r="H12" s="246" t="str">
        <f>Results!G14</f>
        <v>Heating Zone 1</v>
      </c>
      <c r="I12" s="245" t="str">
        <f>Results!H14</f>
        <v>Multi Family Weatherization - Insulate Floors - R-19 to R-30 - Heating Zone 1</v>
      </c>
      <c r="J12" s="233" t="s">
        <v>529</v>
      </c>
      <c r="K12" s="247">
        <f>Results!I14</f>
        <v>0.16456177557022819</v>
      </c>
      <c r="L12" s="248">
        <f>Results!J14</f>
        <v>-2.8777932353390902E-3</v>
      </c>
      <c r="Q12"/>
      <c r="R12"/>
      <c r="S12"/>
      <c r="T12"/>
      <c r="U12"/>
      <c r="V12"/>
      <c r="W12"/>
    </row>
    <row r="13" spans="1:30" ht="15.75" thickBot="1">
      <c r="A13" s="27" t="s">
        <v>564</v>
      </c>
      <c r="B13" s="253" t="str">
        <f>Results!A15</f>
        <v>Floor16</v>
      </c>
      <c r="C13" s="254" t="str">
        <f>Results!B15</f>
        <v>Floors16</v>
      </c>
      <c r="D13" s="254" t="str">
        <f>Results!C15</f>
        <v>Floors</v>
      </c>
      <c r="E13" s="254">
        <f>Results!D15</f>
        <v>16</v>
      </c>
      <c r="F13" s="254" t="str">
        <f>Results!E15</f>
        <v>R-19</v>
      </c>
      <c r="G13" s="254" t="str">
        <f>Results!F15</f>
        <v>R-38</v>
      </c>
      <c r="H13" s="255" t="str">
        <f>Results!G15</f>
        <v>Heating Zone 1</v>
      </c>
      <c r="I13" s="254" t="str">
        <f>Results!H15</f>
        <v>Multi Family Weatherization - Insulate Floors - R-19 to R-38 - Heating Zone 1</v>
      </c>
      <c r="J13" s="233" t="s">
        <v>529</v>
      </c>
      <c r="K13" s="256">
        <f>Results!I15</f>
        <v>0.18698720920513304</v>
      </c>
      <c r="L13" s="257">
        <f>Results!J15</f>
        <v>-3.2807995088148792E-3</v>
      </c>
      <c r="Q13"/>
      <c r="R13"/>
      <c r="S13"/>
      <c r="T13"/>
      <c r="U13"/>
      <c r="V13"/>
      <c r="W13"/>
    </row>
    <row r="14" spans="1:30" ht="15.75" thickBot="1">
      <c r="A14" s="27" t="s">
        <v>567</v>
      </c>
      <c r="B14" s="253" t="str">
        <f>Results!A16</f>
        <v>Floor17</v>
      </c>
      <c r="C14" s="254" t="str">
        <f>Results!B16</f>
        <v>Floors17</v>
      </c>
      <c r="D14" s="254" t="str">
        <f>Results!C16</f>
        <v>Floors</v>
      </c>
      <c r="E14" s="254">
        <f>Results!D16</f>
        <v>17</v>
      </c>
      <c r="F14" s="254" t="str">
        <f>Results!E16</f>
        <v>R-11</v>
      </c>
      <c r="G14" s="254" t="str">
        <f>Results!F16</f>
        <v>R-30</v>
      </c>
      <c r="H14" s="255" t="str">
        <f>Results!G16</f>
        <v>Heating Zone 1</v>
      </c>
      <c r="I14" s="254" t="str">
        <f>Results!H16</f>
        <v>Multi Family Weatherization - Insulate Floors - R-11 to R-30 - Heating Zone 1</v>
      </c>
      <c r="J14" s="233" t="s">
        <v>529</v>
      </c>
      <c r="K14" s="256">
        <f>Results!I16</f>
        <v>1.6030093442071243</v>
      </c>
      <c r="L14" s="257">
        <f>Results!J16</f>
        <v>-2.320864680527707E-2</v>
      </c>
      <c r="Q14"/>
      <c r="R14"/>
      <c r="S14"/>
      <c r="T14"/>
      <c r="U14"/>
      <c r="V14"/>
      <c r="W14"/>
    </row>
    <row r="15" spans="1:30" ht="15.75" thickBot="1">
      <c r="A15" s="27" t="s">
        <v>534</v>
      </c>
      <c r="B15" s="253" t="str">
        <f>Results!A17</f>
        <v>Floor18</v>
      </c>
      <c r="C15" s="254" t="str">
        <f>Results!B17</f>
        <v>Floors18</v>
      </c>
      <c r="D15" s="254" t="str">
        <f>Results!C17</f>
        <v>Floors</v>
      </c>
      <c r="E15" s="254">
        <f>Results!D17</f>
        <v>18</v>
      </c>
      <c r="F15" s="254" t="str">
        <f>Results!E17</f>
        <v>R-0</v>
      </c>
      <c r="G15" s="254" t="str">
        <f>Results!F17</f>
        <v>R-19</v>
      </c>
      <c r="H15" s="255" t="str">
        <f>Results!G17</f>
        <v>Heating Zone 1</v>
      </c>
      <c r="I15" s="254" t="str">
        <f>Results!H17</f>
        <v>Multi Family Weatherization - Insulate Floors - R-0 to R-19 - Heating Zone 1</v>
      </c>
      <c r="J15" s="233" t="s">
        <v>529</v>
      </c>
      <c r="K15" s="256">
        <f>Results!I17</f>
        <v>0.54904464777548367</v>
      </c>
      <c r="L15" s="257">
        <f>Results!J17</f>
        <v>-8.6879628014648828E-3</v>
      </c>
      <c r="Q15"/>
      <c r="R15"/>
      <c r="S15"/>
      <c r="T15"/>
      <c r="U15"/>
      <c r="V15"/>
      <c r="W15"/>
    </row>
    <row r="16" spans="1:30" ht="15.75" thickBot="1">
      <c r="A16" s="27" t="s">
        <v>572</v>
      </c>
      <c r="B16" s="280" t="str">
        <f>Results!A18</f>
        <v>Ceili10</v>
      </c>
      <c r="C16" s="281" t="str">
        <f>Results!B18</f>
        <v>Ceiling10</v>
      </c>
      <c r="D16" s="281" t="str">
        <f>Results!C18</f>
        <v>Ceiling</v>
      </c>
      <c r="E16" s="281">
        <f>Results!D18</f>
        <v>10</v>
      </c>
      <c r="F16" s="281" t="str">
        <f>Results!E18</f>
        <v>R-0</v>
      </c>
      <c r="G16" s="281" t="str">
        <f>Results!F18</f>
        <v>R-19</v>
      </c>
      <c r="H16" s="282" t="str">
        <f>Results!G18</f>
        <v>Heating Zone 1</v>
      </c>
      <c r="I16" s="281" t="str">
        <f>Results!H18</f>
        <v>Multi Family Weatherization - Insulate Attic - R-0 to R-19 - Heating Zone 1</v>
      </c>
      <c r="J16" s="233" t="s">
        <v>529</v>
      </c>
      <c r="K16" s="283">
        <f>Results!I18</f>
        <v>0.45217427081960204</v>
      </c>
      <c r="L16" s="284">
        <f>Results!J18</f>
        <v>7.762726858501612E-3</v>
      </c>
      <c r="Q16"/>
      <c r="R16"/>
      <c r="S16"/>
      <c r="T16"/>
      <c r="U16"/>
      <c r="V16"/>
      <c r="W16"/>
    </row>
    <row r="17" spans="1:23" ht="15.75" thickBot="1">
      <c r="A17" s="27" t="s">
        <v>575</v>
      </c>
      <c r="B17" s="244" t="str">
        <f>Results!A19</f>
        <v>Ceili11</v>
      </c>
      <c r="C17" s="245" t="str">
        <f>Results!B19</f>
        <v>Ceiling11</v>
      </c>
      <c r="D17" s="245" t="str">
        <f>Results!C19</f>
        <v>Ceiling</v>
      </c>
      <c r="E17" s="245">
        <f>Results!D19</f>
        <v>11</v>
      </c>
      <c r="F17" s="245" t="str">
        <f>Results!E19</f>
        <v>R-0</v>
      </c>
      <c r="G17" s="245" t="str">
        <f>Results!F19</f>
        <v>R-38</v>
      </c>
      <c r="H17" s="246" t="str">
        <f>Results!G19</f>
        <v>Heating Zone 1</v>
      </c>
      <c r="I17" s="245" t="str">
        <f>Results!H19</f>
        <v>Multi Family Weatherization - Insulate Attic - R-0 to R-38 - Heating Zone 1</v>
      </c>
      <c r="J17" s="233" t="s">
        <v>529</v>
      </c>
      <c r="K17" s="247">
        <f>Results!I19</f>
        <v>0.61510352765702936</v>
      </c>
      <c r="L17" s="248">
        <f>Results!J19</f>
        <v>1.0606700724409222E-2</v>
      </c>
      <c r="Q17"/>
      <c r="R17"/>
      <c r="S17"/>
      <c r="T17"/>
      <c r="U17"/>
      <c r="V17"/>
      <c r="W17"/>
    </row>
    <row r="18" spans="1:23" ht="15.75" thickBot="1">
      <c r="A18" s="27" t="s">
        <v>578</v>
      </c>
      <c r="B18" s="244" t="str">
        <f>Results!A20</f>
        <v>Ceili12</v>
      </c>
      <c r="C18" s="245" t="str">
        <f>Results!B20</f>
        <v>Ceiling12</v>
      </c>
      <c r="D18" s="245" t="str">
        <f>Results!C20</f>
        <v>Ceiling</v>
      </c>
      <c r="E18" s="245">
        <f>Results!D20</f>
        <v>12</v>
      </c>
      <c r="F18" s="245" t="str">
        <f>Results!E20</f>
        <v>R-0</v>
      </c>
      <c r="G18" s="245" t="str">
        <f>Results!F20</f>
        <v>R-49</v>
      </c>
      <c r="H18" s="246" t="str">
        <f>Results!G20</f>
        <v>Heating Zone 1</v>
      </c>
      <c r="I18" s="245" t="str">
        <f>Results!H20</f>
        <v>Multi Family Weatherization - Insulate Attic - R-0 to R-49 - Heating Zone 1</v>
      </c>
      <c r="J18" s="233" t="s">
        <v>529</v>
      </c>
      <c r="K18" s="247">
        <f>Results!I20</f>
        <v>0.65278341033317866</v>
      </c>
      <c r="L18" s="248">
        <f>Results!J20</f>
        <v>1.1270546169371481E-2</v>
      </c>
      <c r="Q18"/>
      <c r="R18"/>
      <c r="S18"/>
      <c r="T18"/>
      <c r="U18"/>
      <c r="V18"/>
      <c r="W18"/>
    </row>
    <row r="19" spans="1:23" ht="15.75" thickBot="1">
      <c r="A19" s="27" t="s">
        <v>582</v>
      </c>
      <c r="B19" s="244" t="str">
        <f>Results!A21</f>
        <v>Ceili13</v>
      </c>
      <c r="C19" s="245" t="str">
        <f>Results!B21</f>
        <v>Ceiling13</v>
      </c>
      <c r="D19" s="245" t="str">
        <f>Results!C21</f>
        <v>Ceiling</v>
      </c>
      <c r="E19" s="245">
        <f>Results!D21</f>
        <v>13</v>
      </c>
      <c r="F19" s="245" t="str">
        <f>Results!E21</f>
        <v>R-30</v>
      </c>
      <c r="G19" s="245" t="str">
        <f>Results!F21</f>
        <v>R-38</v>
      </c>
      <c r="H19" s="246" t="str">
        <f>Results!G21</f>
        <v>Heating Zone 1</v>
      </c>
      <c r="I19" s="245" t="str">
        <f>Results!H21</f>
        <v>Multi Family Weatherization - Insulate Attic - R-30 to R-38 - Heating Zone 1</v>
      </c>
      <c r="J19" s="233" t="s">
        <v>529</v>
      </c>
      <c r="K19" s="247">
        <f>Results!I21</f>
        <v>4.4801566119385752E-2</v>
      </c>
      <c r="L19" s="248">
        <f>Results!J21</f>
        <v>7.8583615048332506E-4</v>
      </c>
      <c r="Q19"/>
      <c r="R19"/>
      <c r="S19"/>
      <c r="T19"/>
      <c r="U19"/>
      <c r="V19"/>
      <c r="W19"/>
    </row>
    <row r="20" spans="1:23" ht="15.75" thickBot="1">
      <c r="A20" s="27" t="s">
        <v>585</v>
      </c>
      <c r="B20" s="244" t="str">
        <f>Results!A22</f>
        <v>Ceili14</v>
      </c>
      <c r="C20" s="245" t="str">
        <f>Results!B22</f>
        <v>Ceiling14</v>
      </c>
      <c r="D20" s="245" t="str">
        <f>Results!C22</f>
        <v>Ceiling</v>
      </c>
      <c r="E20" s="245">
        <f>Results!D22</f>
        <v>14</v>
      </c>
      <c r="F20" s="245" t="str">
        <f>Results!E22</f>
        <v>R-30</v>
      </c>
      <c r="G20" s="245" t="str">
        <f>Results!F22</f>
        <v>R-49</v>
      </c>
      <c r="H20" s="246" t="str">
        <f>Results!G22</f>
        <v>Heating Zone 1</v>
      </c>
      <c r="I20" s="245" t="str">
        <f>Results!H22</f>
        <v>Multi Family Weatherization - Insulate Attic - R-30 to R-49 - Heating Zone 1</v>
      </c>
      <c r="J20" s="233" t="s">
        <v>529</v>
      </c>
      <c r="K20" s="247">
        <f>Results!I22</f>
        <v>8.2481448795535053E-2</v>
      </c>
      <c r="L20" s="248">
        <f>Results!J22</f>
        <v>1.449681595445586E-3</v>
      </c>
      <c r="Q20"/>
      <c r="R20"/>
      <c r="S20"/>
      <c r="T20"/>
      <c r="U20"/>
      <c r="V20"/>
      <c r="W20"/>
    </row>
    <row r="21" spans="1:23" ht="15.75" thickBot="1">
      <c r="A21" s="27" t="s">
        <v>588</v>
      </c>
      <c r="B21" s="244" t="str">
        <f>Results!A23</f>
        <v>Ceili15</v>
      </c>
      <c r="C21" s="245" t="str">
        <f>Results!B23</f>
        <v>Ceiling15</v>
      </c>
      <c r="D21" s="245" t="str">
        <f>Results!C23</f>
        <v>Ceiling</v>
      </c>
      <c r="E21" s="245">
        <f>Results!D23</f>
        <v>15</v>
      </c>
      <c r="F21" s="245" t="str">
        <f>Results!E23</f>
        <v>R-19</v>
      </c>
      <c r="G21" s="245" t="str">
        <f>Results!F23</f>
        <v>R-30</v>
      </c>
      <c r="H21" s="246" t="str">
        <f>Results!G23</f>
        <v>Heating Zone 1</v>
      </c>
      <c r="I21" s="245" t="str">
        <f>Results!H23</f>
        <v>Multi Family Weatherization - Insulate Attic - R-19 to R-30 - Heating Zone 1</v>
      </c>
      <c r="J21" s="233" t="s">
        <v>529</v>
      </c>
      <c r="K21" s="247">
        <f>Results!I23</f>
        <v>0.11812769071804162</v>
      </c>
      <c r="L21" s="248">
        <f>Results!J23</f>
        <v>2.0581377154242865E-3</v>
      </c>
      <c r="Q21"/>
      <c r="R21"/>
      <c r="S21"/>
      <c r="T21"/>
      <c r="U21"/>
      <c r="V21"/>
      <c r="W21"/>
    </row>
    <row r="22" spans="1:23" ht="15.75" thickBot="1">
      <c r="A22" s="27" t="s">
        <v>591</v>
      </c>
      <c r="B22" s="244" t="str">
        <f>Results!A24</f>
        <v>Ceili16</v>
      </c>
      <c r="C22" s="245" t="str">
        <f>Results!B24</f>
        <v>Ceiling16</v>
      </c>
      <c r="D22" s="245" t="str">
        <f>Results!C24</f>
        <v>Ceiling</v>
      </c>
      <c r="E22" s="245">
        <f>Results!D24</f>
        <v>16</v>
      </c>
      <c r="F22" s="245" t="str">
        <f>Results!E24</f>
        <v>R-19</v>
      </c>
      <c r="G22" s="245" t="str">
        <f>Results!F24</f>
        <v>R-38</v>
      </c>
      <c r="H22" s="246" t="str">
        <f>Results!G24</f>
        <v>Heating Zone 1</v>
      </c>
      <c r="I22" s="245" t="str">
        <f>Results!H24</f>
        <v>Multi Family Weatherization - Insulate Attic - R-19 to R-38 - Heating Zone 1</v>
      </c>
      <c r="J22" s="233" t="s">
        <v>529</v>
      </c>
      <c r="K22" s="247">
        <f>Results!I24</f>
        <v>0.16292925683742737</v>
      </c>
      <c r="L22" s="248">
        <f>Results!J24</f>
        <v>2.8439738659076113E-3</v>
      </c>
      <c r="Q22"/>
      <c r="R22"/>
      <c r="S22"/>
      <c r="T22"/>
      <c r="U22"/>
      <c r="V22"/>
      <c r="W22"/>
    </row>
    <row r="23" spans="1:23" ht="15.75" thickBot="1">
      <c r="A23" s="27" t="s">
        <v>594</v>
      </c>
      <c r="B23" s="244" t="str">
        <f>Results!A25</f>
        <v>Ceili17</v>
      </c>
      <c r="C23" s="245" t="str">
        <f>Results!B25</f>
        <v>Ceiling17</v>
      </c>
      <c r="D23" s="245" t="str">
        <f>Results!C25</f>
        <v>Ceiling</v>
      </c>
      <c r="E23" s="245">
        <f>Results!D25</f>
        <v>17</v>
      </c>
      <c r="F23" s="245" t="str">
        <f>Results!E25</f>
        <v>R-19</v>
      </c>
      <c r="G23" s="245" t="str">
        <f>Results!F25</f>
        <v>R-49</v>
      </c>
      <c r="H23" s="246" t="str">
        <f>Results!G25</f>
        <v>Heating Zone 1</v>
      </c>
      <c r="I23" s="245" t="str">
        <f>Results!H25</f>
        <v>Multi Family Weatherization - Insulate Attic - R-19 to R-49 - Heating Zone 1</v>
      </c>
      <c r="J23" s="233" t="s">
        <v>529</v>
      </c>
      <c r="K23" s="247">
        <f>Results!I25</f>
        <v>0.20060913951357665</v>
      </c>
      <c r="L23" s="248">
        <f>Results!J25</f>
        <v>3.5078193108698729E-3</v>
      </c>
      <c r="Q23"/>
      <c r="R23"/>
      <c r="S23"/>
      <c r="T23"/>
      <c r="U23"/>
      <c r="V23"/>
      <c r="W23"/>
    </row>
    <row r="24" spans="1:23" ht="15.75" thickBot="1">
      <c r="A24" s="27" t="s">
        <v>597</v>
      </c>
      <c r="B24" s="285" t="str">
        <f>Results!A26</f>
        <v>Ceili18</v>
      </c>
      <c r="C24" s="286" t="str">
        <f>Results!B26</f>
        <v>Ceiling18</v>
      </c>
      <c r="D24" s="286" t="str">
        <f>Results!C26</f>
        <v>Ceiling</v>
      </c>
      <c r="E24" s="286">
        <f>Results!D26</f>
        <v>18</v>
      </c>
      <c r="F24" s="286" t="str">
        <f>Results!E26</f>
        <v>R-38</v>
      </c>
      <c r="G24" s="286" t="str">
        <f>Results!F26</f>
        <v>R-49</v>
      </c>
      <c r="H24" s="287" t="str">
        <f>Results!G26</f>
        <v>Heating Zone 1</v>
      </c>
      <c r="I24" s="286" t="str">
        <f>Results!H26</f>
        <v>Multi Family Weatherization - Insulate Attic - R-38 to R-49 - Heating Zone 1</v>
      </c>
      <c r="J24" s="233" t="s">
        <v>529</v>
      </c>
      <c r="K24" s="288">
        <f>Results!I26</f>
        <v>3.767988267614928E-2</v>
      </c>
      <c r="L24" s="289">
        <f>Results!J26</f>
        <v>6.6384544496226109E-4</v>
      </c>
      <c r="Q24"/>
      <c r="R24"/>
      <c r="S24"/>
      <c r="T24"/>
      <c r="U24"/>
      <c r="V24"/>
      <c r="W24"/>
    </row>
    <row r="25" spans="1:23" ht="15.75" thickBot="1">
      <c r="A25" s="27" t="s">
        <v>600</v>
      </c>
      <c r="B25" s="253" t="str">
        <f>Results!A27</f>
        <v>Windo10</v>
      </c>
      <c r="C25" s="254" t="str">
        <f>Results!B27</f>
        <v>Windows10</v>
      </c>
      <c r="D25" s="254" t="str">
        <f>Results!C27</f>
        <v>Windows</v>
      </c>
      <c r="E25" s="254">
        <f>Results!D27</f>
        <v>10</v>
      </c>
      <c r="F25" s="254" t="str">
        <f>Results!E27</f>
        <v>Class 85</v>
      </c>
      <c r="G25" s="254" t="str">
        <f>Results!F27</f>
        <v>Class 35</v>
      </c>
      <c r="H25" s="255" t="str">
        <f>Results!G27</f>
        <v>Heating Zone 1</v>
      </c>
      <c r="I25" s="254" t="str">
        <f>Results!H27</f>
        <v>Windows - Class 85 to Class 35 - Heating Zone 1</v>
      </c>
      <c r="J25" s="233" t="s">
        <v>529</v>
      </c>
      <c r="K25" s="256">
        <f>Results!I27</f>
        <v>-6.9524591278587629</v>
      </c>
      <c r="L25" s="257">
        <f>Results!J27</f>
        <v>-0.10414659506102675</v>
      </c>
      <c r="Q25"/>
      <c r="R25"/>
      <c r="S25"/>
      <c r="T25"/>
      <c r="U25"/>
      <c r="V25"/>
      <c r="W25"/>
    </row>
    <row r="26" spans="1:23" ht="15.75" thickBot="1">
      <c r="A26" s="27" t="s">
        <v>605</v>
      </c>
      <c r="B26" s="253" t="str">
        <f>Results!A28</f>
        <v>Windo11</v>
      </c>
      <c r="C26" s="254" t="str">
        <f>Results!B28</f>
        <v>Windows11</v>
      </c>
      <c r="D26" s="254" t="str">
        <f>Results!C28</f>
        <v>Windows</v>
      </c>
      <c r="E26" s="254">
        <f>Results!D28</f>
        <v>11</v>
      </c>
      <c r="F26" s="254" t="str">
        <f>Results!E28</f>
        <v>Class 85</v>
      </c>
      <c r="G26" s="254" t="str">
        <f>Results!F28</f>
        <v>Class 30</v>
      </c>
      <c r="H26" s="255" t="str">
        <f>Results!G28</f>
        <v>Heating Zone 1</v>
      </c>
      <c r="I26" s="254" t="str">
        <f>Results!H28</f>
        <v>Windows - Class 85 to Class 30 - Heating Zone 1</v>
      </c>
      <c r="J26" s="233" t="s">
        <v>529</v>
      </c>
      <c r="K26" s="256">
        <f>Results!I28</f>
        <v>-5.7127269671468444</v>
      </c>
      <c r="L26" s="257">
        <f>Results!J28</f>
        <v>-0.10310920899909645</v>
      </c>
      <c r="Q26"/>
      <c r="R26"/>
      <c r="S26"/>
      <c r="T26"/>
      <c r="U26"/>
      <c r="V26"/>
      <c r="W26"/>
    </row>
    <row r="27" spans="1:23" ht="15.75" thickBot="1">
      <c r="A27" s="27" t="s">
        <v>609</v>
      </c>
      <c r="B27" s="253" t="str">
        <f>Results!A29</f>
        <v>Windo12</v>
      </c>
      <c r="C27" s="254" t="str">
        <f>Results!B29</f>
        <v>Windows12</v>
      </c>
      <c r="D27" s="254" t="str">
        <f>Results!C29</f>
        <v>Windows</v>
      </c>
      <c r="E27" s="254">
        <f>Results!D29</f>
        <v>12</v>
      </c>
      <c r="F27" s="254" t="str">
        <f>Results!E29</f>
        <v>Class 85</v>
      </c>
      <c r="G27" s="254" t="str">
        <f>Results!F29</f>
        <v>Class 25</v>
      </c>
      <c r="H27" s="255" t="str">
        <f>Results!G29</f>
        <v>Heating Zone 1</v>
      </c>
      <c r="I27" s="254" t="str">
        <f>Results!H29</f>
        <v>Windows - Class 85 to Class 25 - Heating Zone 1</v>
      </c>
      <c r="J27" s="233" t="s">
        <v>529</v>
      </c>
      <c r="K27" s="256">
        <f>Results!I29</f>
        <v>0</v>
      </c>
      <c r="L27" s="257">
        <f>Results!J29</f>
        <v>0</v>
      </c>
      <c r="Q27"/>
      <c r="R27"/>
      <c r="S27"/>
      <c r="T27"/>
      <c r="U27"/>
      <c r="V27"/>
      <c r="W27"/>
    </row>
    <row r="28" spans="1:23" ht="15.75" thickBot="1">
      <c r="A28" s="27" t="s">
        <v>613</v>
      </c>
      <c r="B28" s="253" t="str">
        <f>Results!A30</f>
        <v>Windo13</v>
      </c>
      <c r="C28" s="254" t="str">
        <f>Results!B30</f>
        <v>Windows13</v>
      </c>
      <c r="D28" s="254" t="str">
        <f>Results!C30</f>
        <v>Windows</v>
      </c>
      <c r="E28" s="254">
        <f>Results!D30</f>
        <v>13</v>
      </c>
      <c r="F28" s="254" t="str">
        <f>Results!E30</f>
        <v>Class 85</v>
      </c>
      <c r="G28" s="254" t="str">
        <f>Results!F30</f>
        <v>Class 20</v>
      </c>
      <c r="H28" s="255" t="str">
        <f>Results!G30</f>
        <v>Heating Zone 1</v>
      </c>
      <c r="I28" s="254" t="str">
        <f>Results!H30</f>
        <v>Windows - Class 85 to Class 20 - Heating Zone 1</v>
      </c>
      <c r="J28" s="233" t="s">
        <v>529</v>
      </c>
      <c r="K28" s="256">
        <f>Results!I30</f>
        <v>-3.4198957342844878</v>
      </c>
      <c r="L28" s="257">
        <f>Results!J30</f>
        <v>-9.6272055483609453E-2</v>
      </c>
      <c r="Q28"/>
      <c r="R28"/>
      <c r="S28"/>
      <c r="T28"/>
      <c r="U28"/>
      <c r="V28"/>
      <c r="W28"/>
    </row>
    <row r="29" spans="1:23" ht="15.75" thickBot="1">
      <c r="A29" s="27" t="s">
        <v>617</v>
      </c>
      <c r="B29" s="253" t="str">
        <f>Results!A31</f>
        <v>Windo14</v>
      </c>
      <c r="C29" s="254" t="str">
        <f>Results!B31</f>
        <v>Windows14</v>
      </c>
      <c r="D29" s="254" t="str">
        <f>Results!C31</f>
        <v>Windows</v>
      </c>
      <c r="E29" s="254">
        <f>Results!D31</f>
        <v>14</v>
      </c>
      <c r="F29" s="254" t="str">
        <f>Results!E31</f>
        <v>Class 85</v>
      </c>
      <c r="G29" s="254" t="str">
        <f>Results!F31</f>
        <v>Class 15</v>
      </c>
      <c r="H29" s="255" t="str">
        <f>Results!G31</f>
        <v>Heating Zone 1</v>
      </c>
      <c r="I29" s="254" t="str">
        <f>Results!H31</f>
        <v>Windows - Class 85 to Class 15 - Heating Zone 1</v>
      </c>
      <c r="J29" s="233" t="s">
        <v>529</v>
      </c>
      <c r="K29" s="256">
        <f>Results!I31</f>
        <v>-2.0643117658016785</v>
      </c>
      <c r="L29" s="257">
        <f>Results!J31</f>
        <v>-0.10388808536178759</v>
      </c>
      <c r="Q29"/>
      <c r="R29"/>
      <c r="S29"/>
      <c r="T29"/>
      <c r="U29"/>
      <c r="V29"/>
      <c r="W29"/>
    </row>
    <row r="30" spans="1:23" ht="15.75" thickBot="1">
      <c r="A30" s="27" t="s">
        <v>621</v>
      </c>
      <c r="B30" s="253" t="str">
        <f>Results!A32</f>
        <v>Windo15</v>
      </c>
      <c r="C30" s="254" t="str">
        <f>Results!B32</f>
        <v>Windows15</v>
      </c>
      <c r="D30" s="254" t="str">
        <f>Results!C32</f>
        <v>Windows</v>
      </c>
      <c r="E30" s="254">
        <f>Results!D32</f>
        <v>15</v>
      </c>
      <c r="F30" s="254" t="str">
        <f>Results!E32</f>
        <v>Class 50</v>
      </c>
      <c r="G30" s="254" t="str">
        <f>Results!F32</f>
        <v>Class 35</v>
      </c>
      <c r="H30" s="255" t="str">
        <f>Results!G32</f>
        <v>Heating Zone 1</v>
      </c>
      <c r="I30" s="254" t="str">
        <f>Results!H32</f>
        <v>Windows - Class 50 to Class 35 - Heating Zone 1</v>
      </c>
      <c r="J30" s="233" t="s">
        <v>529</v>
      </c>
      <c r="K30" s="256">
        <f>Results!I32</f>
        <v>1.1999180397858424</v>
      </c>
      <c r="L30" s="257">
        <f>Results!J32</f>
        <v>0.16926158815862349</v>
      </c>
      <c r="Q30"/>
      <c r="R30"/>
      <c r="S30"/>
      <c r="T30"/>
      <c r="U30"/>
      <c r="V30"/>
      <c r="W30"/>
    </row>
    <row r="31" spans="1:23" ht="15.75" thickBot="1">
      <c r="A31" s="27" t="s">
        <v>625</v>
      </c>
      <c r="B31" s="253" t="str">
        <f>Results!A33</f>
        <v>Windo16</v>
      </c>
      <c r="C31" s="254" t="str">
        <f>Results!B33</f>
        <v>Windows16</v>
      </c>
      <c r="D31" s="254" t="str">
        <f>Results!C33</f>
        <v>Windows</v>
      </c>
      <c r="E31" s="254">
        <f>Results!D33</f>
        <v>16</v>
      </c>
      <c r="F31" s="254" t="str">
        <f>Results!E33</f>
        <v>Class 50</v>
      </c>
      <c r="G31" s="254" t="str">
        <f>Results!F33</f>
        <v>Class 30</v>
      </c>
      <c r="H31" s="255" t="str">
        <f>Results!G33</f>
        <v>Heating Zone 1</v>
      </c>
      <c r="I31" s="254" t="str">
        <f>Results!H33</f>
        <v>Windows - Class 50 to Class 30 - Heating Zone 1</v>
      </c>
      <c r="J31" s="233" t="s">
        <v>529</v>
      </c>
      <c r="K31" s="256">
        <f>Results!I33</f>
        <v>2.4396502004977618</v>
      </c>
      <c r="L31" s="257">
        <f>Results!J33</f>
        <v>0.17029897422055379</v>
      </c>
      <c r="Q31"/>
      <c r="R31"/>
      <c r="S31"/>
      <c r="T31"/>
      <c r="U31"/>
      <c r="V31"/>
      <c r="W31"/>
    </row>
    <row r="32" spans="1:23" ht="15.75" thickBot="1">
      <c r="A32" s="27" t="s">
        <v>628</v>
      </c>
      <c r="B32" s="253" t="str">
        <f>Results!A34</f>
        <v>Windo17</v>
      </c>
      <c r="C32" s="254" t="str">
        <f>Results!B34</f>
        <v>Windows17</v>
      </c>
      <c r="D32" s="254" t="str">
        <f>Results!C34</f>
        <v>Windows</v>
      </c>
      <c r="E32" s="254">
        <f>Results!D34</f>
        <v>17</v>
      </c>
      <c r="F32" s="254" t="str">
        <f>Results!E34</f>
        <v>Class 50</v>
      </c>
      <c r="G32" s="254" t="str">
        <f>Results!F34</f>
        <v>Class 25</v>
      </c>
      <c r="H32" s="255" t="str">
        <f>Results!G34</f>
        <v>Heating Zone 1</v>
      </c>
      <c r="I32" s="254" t="str">
        <f>Results!H34</f>
        <v>Windows - Class 50 to Class 25 - Heating Zone 1</v>
      </c>
      <c r="J32" s="233" t="s">
        <v>529</v>
      </c>
      <c r="K32" s="256">
        <f>Results!I34</f>
        <v>8.1523771676446053</v>
      </c>
      <c r="L32" s="257">
        <f>Results!J34</f>
        <v>0.27340818321965021</v>
      </c>
      <c r="Q32"/>
      <c r="R32"/>
      <c r="S32"/>
      <c r="T32"/>
      <c r="U32"/>
      <c r="V32"/>
      <c r="W32"/>
    </row>
    <row r="33" spans="1:23" ht="15.75" thickBot="1">
      <c r="A33" s="27" t="s">
        <v>631</v>
      </c>
      <c r="B33" s="253" t="str">
        <f>Results!A35</f>
        <v>Windo18</v>
      </c>
      <c r="C33" s="254" t="str">
        <f>Results!B35</f>
        <v>Windows18</v>
      </c>
      <c r="D33" s="254" t="str">
        <f>Results!C35</f>
        <v>Windows</v>
      </c>
      <c r="E33" s="254">
        <f>Results!D35</f>
        <v>18</v>
      </c>
      <c r="F33" s="254" t="str">
        <f>Results!E35</f>
        <v>Class 50</v>
      </c>
      <c r="G33" s="254" t="str">
        <f>Results!F35</f>
        <v>Class 20</v>
      </c>
      <c r="H33" s="255" t="str">
        <f>Results!G35</f>
        <v>Heating Zone 1</v>
      </c>
      <c r="I33" s="254" t="str">
        <f>Results!H35</f>
        <v>Windows - Class 50 to Class 20 - Heating Zone 1</v>
      </c>
      <c r="J33" s="233" t="s">
        <v>529</v>
      </c>
      <c r="K33" s="256">
        <f>Results!I35</f>
        <v>4.7324814333601175</v>
      </c>
      <c r="L33" s="257">
        <f>Results!J35</f>
        <v>0.17713612773604079</v>
      </c>
      <c r="Q33"/>
      <c r="R33"/>
      <c r="S33"/>
      <c r="T33"/>
      <c r="U33"/>
      <c r="V33"/>
      <c r="W33"/>
    </row>
    <row r="34" spans="1:23" ht="15.75" thickBot="1">
      <c r="A34" s="27" t="s">
        <v>634</v>
      </c>
      <c r="B34" s="253" t="str">
        <f>Results!A36</f>
        <v>Windo19</v>
      </c>
      <c r="C34" s="254" t="str">
        <f>Results!B36</f>
        <v>Windows19</v>
      </c>
      <c r="D34" s="254" t="str">
        <f>Results!C36</f>
        <v>Windows</v>
      </c>
      <c r="E34" s="254">
        <f>Results!D36</f>
        <v>19</v>
      </c>
      <c r="F34" s="254" t="str">
        <f>Results!E36</f>
        <v>Class 35</v>
      </c>
      <c r="G34" s="254" t="str">
        <f>Results!F36</f>
        <v>Class 22</v>
      </c>
      <c r="H34" s="255" t="str">
        <f>Results!G36</f>
        <v>Heating Zone 1</v>
      </c>
      <c r="I34" s="254" t="str">
        <f>Results!H36</f>
        <v>Windows - Class 35 to Class 22 - Heating Zone 1</v>
      </c>
      <c r="J34" s="233" t="s">
        <v>529</v>
      </c>
      <c r="K34" s="256">
        <f>Results!I36</f>
        <v>3.0382567843239148</v>
      </c>
      <c r="L34" s="257">
        <f>Results!J36</f>
        <v>7.0146565301512035E-3</v>
      </c>
      <c r="Q34"/>
      <c r="R34"/>
      <c r="S34"/>
      <c r="T34"/>
      <c r="U34"/>
      <c r="V34"/>
      <c r="W34"/>
    </row>
    <row r="35" spans="1:23" ht="15.75" thickBot="1">
      <c r="A35" s="27" t="s">
        <v>638</v>
      </c>
      <c r="B35" s="253" t="str">
        <f>Results!A37</f>
        <v>Windo20</v>
      </c>
      <c r="C35" s="254" t="str">
        <f>Results!B37</f>
        <v>Windows20</v>
      </c>
      <c r="D35" s="254" t="str">
        <f>Results!C37</f>
        <v>Windows</v>
      </c>
      <c r="E35" s="254">
        <f>Results!D37</f>
        <v>20</v>
      </c>
      <c r="F35" s="254" t="str">
        <f>Results!E37</f>
        <v>Single Pane</v>
      </c>
      <c r="G35" s="254" t="str">
        <f>Results!F37</f>
        <v>Class 22</v>
      </c>
      <c r="H35" s="255" t="str">
        <f>Results!G37</f>
        <v>Heating Zone 1</v>
      </c>
      <c r="I35" s="254" t="str">
        <f>Results!H37</f>
        <v>Windows - Single Pane to Class 22 - Heating Zone 1</v>
      </c>
      <c r="J35" s="233" t="s">
        <v>529</v>
      </c>
      <c r="K35" s="256">
        <f>Results!I37</f>
        <v>22.76789263770026</v>
      </c>
      <c r="L35" s="257">
        <f>Results!J37</f>
        <v>0.1181340338892458</v>
      </c>
      <c r="Q35"/>
      <c r="R35"/>
      <c r="S35"/>
      <c r="T35"/>
      <c r="U35"/>
      <c r="V35"/>
      <c r="W35"/>
    </row>
    <row r="36" spans="1:23" ht="15.75" thickBot="1">
      <c r="A36" s="27" t="s">
        <v>642</v>
      </c>
      <c r="B36" s="253" t="str">
        <f>Results!A38</f>
        <v>Windo21</v>
      </c>
      <c r="C36" s="254" t="str">
        <f>Results!B38</f>
        <v>Windows21</v>
      </c>
      <c r="D36" s="254" t="str">
        <f>Results!C38</f>
        <v>Windows</v>
      </c>
      <c r="E36" s="254">
        <f>Results!D38</f>
        <v>21</v>
      </c>
      <c r="F36" s="254" t="str">
        <f>Results!E38</f>
        <v>Double Pane</v>
      </c>
      <c r="G36" s="254" t="str">
        <f>Results!F38</f>
        <v>Class 22</v>
      </c>
      <c r="H36" s="255" t="str">
        <f>Results!G38</f>
        <v>Heating Zone 1</v>
      </c>
      <c r="I36" s="254" t="str">
        <f>Results!H38</f>
        <v>Windows - Double Pane to Class 22 - Heating Zone 1</v>
      </c>
      <c r="J36" s="233" t="s">
        <v>529</v>
      </c>
      <c r="K36" s="256">
        <f>Results!I38</f>
        <v>13.317916529208338</v>
      </c>
      <c r="L36" s="257">
        <f>Results!J38</f>
        <v>0.16465903547126498</v>
      </c>
      <c r="Q36"/>
      <c r="R36"/>
      <c r="S36"/>
      <c r="T36"/>
      <c r="U36"/>
      <c r="V36"/>
      <c r="W36"/>
    </row>
    <row r="37" spans="1:23" ht="15.75" thickBot="1">
      <c r="A37" s="27" t="s">
        <v>646</v>
      </c>
      <c r="B37" s="244" t="str">
        <f>Results!A39</f>
        <v>Windo22</v>
      </c>
      <c r="C37" s="245" t="str">
        <f>Results!B39</f>
        <v>Windows22</v>
      </c>
      <c r="D37" s="245" t="str">
        <f>Results!C39</f>
        <v>Windows</v>
      </c>
      <c r="E37" s="245">
        <f>Results!D39</f>
        <v>22</v>
      </c>
      <c r="F37" s="245" t="str">
        <f>Results!E39</f>
        <v>Single Pane</v>
      </c>
      <c r="G37" s="245" t="str">
        <f>Results!F39</f>
        <v>Class 30</v>
      </c>
      <c r="H37" s="246" t="str">
        <f>Results!G39</f>
        <v>Heating Zone 1</v>
      </c>
      <c r="I37" s="245" t="str">
        <f>Results!H39</f>
        <v>Windows - Single Pane to Class 30 - Heating Zone 1</v>
      </c>
      <c r="J37" s="233" t="s">
        <v>529</v>
      </c>
      <c r="K37" s="247">
        <f>Results!I39</f>
        <v>20.969368014088261</v>
      </c>
      <c r="L37" s="248">
        <f>Results!J39</f>
        <v>0.1121567634210249</v>
      </c>
      <c r="Q37"/>
      <c r="R37"/>
      <c r="S37"/>
      <c r="T37"/>
      <c r="U37"/>
      <c r="V37"/>
      <c r="W37"/>
    </row>
    <row r="38" spans="1:23" ht="15.75" thickBot="1">
      <c r="A38" s="27" t="s">
        <v>649</v>
      </c>
      <c r="B38" s="244" t="str">
        <f>Results!A40</f>
        <v>Windo23</v>
      </c>
      <c r="C38" s="245" t="str">
        <f>Results!B40</f>
        <v>Windows23</v>
      </c>
      <c r="D38" s="245" t="str">
        <f>Results!C40</f>
        <v>Windows</v>
      </c>
      <c r="E38" s="245">
        <f>Results!D40</f>
        <v>23</v>
      </c>
      <c r="F38" s="245" t="str">
        <f>Results!E40</f>
        <v>Double Pane</v>
      </c>
      <c r="G38" s="245" t="str">
        <f>Results!F40</f>
        <v>Class 30</v>
      </c>
      <c r="H38" s="246" t="str">
        <f>Results!G40</f>
        <v>Heating Zone 1</v>
      </c>
      <c r="I38" s="245" t="str">
        <f>Results!H40</f>
        <v>Windows - Double Pane to Class 30 - Heating Zone 1</v>
      </c>
      <c r="J38" s="233" t="s">
        <v>529</v>
      </c>
      <c r="K38" s="247">
        <f>Results!I40</f>
        <v>11.519391905596343</v>
      </c>
      <c r="L38" s="248">
        <f>Results!J40</f>
        <v>0.15868176500304404</v>
      </c>
      <c r="Q38"/>
      <c r="R38"/>
      <c r="S38"/>
      <c r="T38"/>
      <c r="U38"/>
      <c r="V38"/>
      <c r="W38"/>
    </row>
    <row r="39" spans="1:23" ht="15.75" thickBot="1">
      <c r="A39" s="27" t="s">
        <v>652</v>
      </c>
      <c r="B39" s="244" t="str">
        <f>Results!A41</f>
        <v>Windo24</v>
      </c>
      <c r="C39" s="245" t="str">
        <f>Results!B41</f>
        <v>Windows24</v>
      </c>
      <c r="D39" s="245" t="str">
        <f>Results!C41</f>
        <v>Windows</v>
      </c>
      <c r="E39" s="245">
        <f>Results!D41</f>
        <v>24</v>
      </c>
      <c r="F39" s="245" t="str">
        <f>Results!E41</f>
        <v>Class 35</v>
      </c>
      <c r="G39" s="245" t="str">
        <f>Results!F41</f>
        <v>Class 30</v>
      </c>
      <c r="H39" s="246" t="str">
        <f>Results!G41</f>
        <v>Heating Zone 1</v>
      </c>
      <c r="I39" s="245" t="str">
        <f>Results!H41</f>
        <v>Windows - Class 35 to Class 30 - Heating Zone 1</v>
      </c>
      <c r="J39" s="233" t="s">
        <v>529</v>
      </c>
      <c r="K39" s="247">
        <f>Results!I41</f>
        <v>1.2397321607119192</v>
      </c>
      <c r="L39" s="248">
        <f>Results!J41</f>
        <v>1.0373860619302931E-3</v>
      </c>
      <c r="Q39"/>
      <c r="R39"/>
      <c r="S39"/>
      <c r="T39"/>
      <c r="U39"/>
      <c r="V39"/>
      <c r="W39"/>
    </row>
    <row r="40" spans="1:23" ht="15.75" thickBot="1">
      <c r="A40" s="27" t="s">
        <v>514</v>
      </c>
      <c r="B40" s="280" t="str">
        <f>Results!A42</f>
        <v>Infil10</v>
      </c>
      <c r="C40" s="281" t="str">
        <f>Results!B42</f>
        <v>Infiltration10</v>
      </c>
      <c r="D40" s="281" t="str">
        <f>Results!C42</f>
        <v>Infiltration</v>
      </c>
      <c r="E40" s="281">
        <f>Results!D42</f>
        <v>10</v>
      </c>
      <c r="F40" s="281" t="str">
        <f>Results!E42</f>
        <v>0.45 ACHn</v>
      </c>
      <c r="G40" s="281" t="str">
        <f>Results!F42</f>
        <v>0.35 ACHn</v>
      </c>
      <c r="H40" s="282" t="str">
        <f>Results!G42</f>
        <v>Heating Zone 1</v>
      </c>
      <c r="I40" s="281" t="str">
        <f>Results!H42</f>
        <v>Infiltration Reduction - 0.45 ACHn to 0.35 ACHn - Heating Zone 1</v>
      </c>
      <c r="J40" s="233" t="s">
        <v>529</v>
      </c>
      <c r="K40" s="283">
        <f>Results!I42</f>
        <v>0</v>
      </c>
      <c r="L40" s="284">
        <f>Results!J42</f>
        <v>0</v>
      </c>
      <c r="Q40"/>
      <c r="R40"/>
      <c r="S40"/>
      <c r="T40"/>
      <c r="U40"/>
      <c r="V40"/>
      <c r="W40"/>
    </row>
    <row r="41" spans="1:23" ht="15.75" thickBot="1">
      <c r="A41" s="27" t="s">
        <v>658</v>
      </c>
      <c r="B41" s="253" t="str">
        <f>Results!A43</f>
        <v>Infil11</v>
      </c>
      <c r="C41" s="254" t="str">
        <f>Results!B43</f>
        <v>Infiltration11</v>
      </c>
      <c r="D41" s="254" t="str">
        <f>Results!C43</f>
        <v>Infiltration</v>
      </c>
      <c r="E41" s="254">
        <f>Results!D43</f>
        <v>11</v>
      </c>
      <c r="F41" s="254" t="str">
        <f>Results!E43</f>
        <v>0.45 ACHn</v>
      </c>
      <c r="G41" s="254" t="str">
        <f>Results!F43</f>
        <v>0.20 ACHn</v>
      </c>
      <c r="H41" s="255" t="str">
        <f>Results!G43</f>
        <v>Heating Zone 1</v>
      </c>
      <c r="I41" s="254" t="str">
        <f>Results!H43</f>
        <v>Infiltration Reduction - 0.45 ACHn to 0.20 ACHn - Heating Zone 1</v>
      </c>
      <c r="J41" s="233" t="s">
        <v>529</v>
      </c>
      <c r="K41" s="256">
        <f>Results!I43</f>
        <v>0</v>
      </c>
      <c r="L41" s="257">
        <f>Results!J43</f>
        <v>0</v>
      </c>
      <c r="Q41"/>
      <c r="R41"/>
      <c r="S41"/>
      <c r="T41"/>
      <c r="U41"/>
      <c r="V41"/>
      <c r="W41"/>
    </row>
    <row r="42" spans="1:23" ht="15.75" thickBot="1">
      <c r="A42" s="27" t="s">
        <v>662</v>
      </c>
      <c r="B42" s="290" t="str">
        <f>Results!A44</f>
        <v>Infil12</v>
      </c>
      <c r="C42" s="291" t="str">
        <f>Results!B44</f>
        <v>Infiltration12</v>
      </c>
      <c r="D42" s="291" t="str">
        <f>Results!C44</f>
        <v>Infiltration</v>
      </c>
      <c r="E42" s="291">
        <f>Results!D44</f>
        <v>12</v>
      </c>
      <c r="F42" s="291" t="str">
        <f>Results!E44</f>
        <v>0.35 ACHn</v>
      </c>
      <c r="G42" s="291" t="str">
        <f>Results!F44</f>
        <v>0.20 ACHn</v>
      </c>
      <c r="H42" s="292" t="str">
        <f>Results!G44</f>
        <v>Heating Zone 1</v>
      </c>
      <c r="I42" s="291" t="str">
        <f>Results!H44</f>
        <v>Infiltration Reduction - 0.35 ACHn to 0.20 ACHn - Heating Zone 1</v>
      </c>
      <c r="J42" s="233" t="s">
        <v>529</v>
      </c>
      <c r="K42" s="293">
        <f>Results!I44</f>
        <v>0</v>
      </c>
      <c r="L42" s="294">
        <f>Results!J44</f>
        <v>0</v>
      </c>
      <c r="Q42"/>
      <c r="R42"/>
      <c r="S42"/>
      <c r="T42"/>
      <c r="U42"/>
      <c r="V42"/>
      <c r="W42"/>
    </row>
    <row r="43" spans="1:23" ht="15.75" thickBot="1">
      <c r="A43" s="27" t="s">
        <v>665</v>
      </c>
      <c r="B43" s="244" t="str">
        <f>Results!A45</f>
        <v>DuctT10</v>
      </c>
      <c r="C43" s="245" t="str">
        <f>Results!B45</f>
        <v>DuctTightness10</v>
      </c>
      <c r="D43" s="245" t="str">
        <f>Results!C45</f>
        <v>DuctTightness</v>
      </c>
      <c r="E43" s="245">
        <f>Results!D45</f>
        <v>10</v>
      </c>
      <c r="F43" s="245" t="str">
        <f>Results!E45</f>
        <v>Std-crawl</v>
      </c>
      <c r="G43" s="245" t="str">
        <f>Results!F45</f>
        <v>PTCS-crawl</v>
      </c>
      <c r="H43" s="245" t="str">
        <f>Results!G45</f>
        <v>Heating Zone 1</v>
      </c>
      <c r="I43" s="245" t="str">
        <f>Results!H45</f>
        <v>DuctTightness - Std-crawl to PTCS-crawl - Heating Zone 1</v>
      </c>
      <c r="J43" s="233" t="s">
        <v>529</v>
      </c>
      <c r="K43" s="295">
        <f>Results!I45</f>
        <v>755.99683996331123</v>
      </c>
      <c r="L43" s="296">
        <f>Results!J45</f>
        <v>32.474121440545531</v>
      </c>
      <c r="Q43"/>
      <c r="R43"/>
      <c r="S43"/>
      <c r="T43"/>
      <c r="U43"/>
      <c r="V43"/>
      <c r="W43"/>
    </row>
    <row r="44" spans="1:23" ht="15.75" thickBot="1">
      <c r="A44" s="27" t="s">
        <v>670</v>
      </c>
      <c r="B44" s="297" t="str">
        <f>Results!A46</f>
        <v>DuctI10</v>
      </c>
      <c r="C44" s="298" t="str">
        <f>Results!B46</f>
        <v>DuctInsulation10</v>
      </c>
      <c r="D44" s="298" t="str">
        <f>Results!C46</f>
        <v>DuctInsulation</v>
      </c>
      <c r="E44" s="298">
        <f>Results!D46</f>
        <v>10</v>
      </c>
      <c r="F44" s="298" t="str">
        <f>Results!E46</f>
        <v>R-0</v>
      </c>
      <c r="G44" s="298" t="str">
        <f>Results!F46</f>
        <v>R-4.2</v>
      </c>
      <c r="H44" s="298" t="str">
        <f>Results!G46</f>
        <v>Heating Zone 1</v>
      </c>
      <c r="I44" s="298" t="str">
        <f>Results!H46</f>
        <v>DuctInsulation - R-0 to R-4.2 - Heating Zone 1</v>
      </c>
      <c r="J44" s="233" t="s">
        <v>529</v>
      </c>
      <c r="K44" s="299">
        <f>Results!I46</f>
        <v>82.144301963985185</v>
      </c>
      <c r="L44" s="300">
        <f>Results!J46</f>
        <v>2.112430683642621</v>
      </c>
      <c r="Q44"/>
      <c r="R44"/>
      <c r="S44"/>
      <c r="T44"/>
      <c r="U44"/>
      <c r="V44"/>
      <c r="W44"/>
    </row>
    <row r="45" spans="1:23" ht="15.75" thickBot="1">
      <c r="A45" s="27" t="s">
        <v>674</v>
      </c>
      <c r="B45" s="253" t="str">
        <f>Results!A47</f>
        <v>DuctI11</v>
      </c>
      <c r="C45" s="254" t="str">
        <f>Results!B47</f>
        <v>DuctInsulation11</v>
      </c>
      <c r="D45" s="254" t="str">
        <f>Results!C47</f>
        <v>DuctInsulation</v>
      </c>
      <c r="E45" s="254">
        <f>Results!D47</f>
        <v>11</v>
      </c>
      <c r="F45" s="254" t="str">
        <f>Results!E47</f>
        <v>R-0</v>
      </c>
      <c r="G45" s="254" t="str">
        <f>Results!F47</f>
        <v>R-11</v>
      </c>
      <c r="H45" s="254" t="str">
        <f>Results!G47</f>
        <v>Heating Zone 1</v>
      </c>
      <c r="I45" s="254" t="str">
        <f>Results!H47</f>
        <v>DuctInsulation - R-0 to R-11 - Heating Zone 1</v>
      </c>
      <c r="J45" s="233" t="s">
        <v>529</v>
      </c>
      <c r="K45" s="301">
        <f>Results!I47</f>
        <v>113.6121526793531</v>
      </c>
      <c r="L45" s="302">
        <f>Results!J47</f>
        <v>2.9292750282794584</v>
      </c>
      <c r="Q45"/>
      <c r="R45"/>
      <c r="S45"/>
      <c r="T45"/>
      <c r="U45"/>
      <c r="V45"/>
      <c r="W45"/>
    </row>
    <row r="46" spans="1:23" ht="15.75" thickBot="1">
      <c r="A46" s="27" t="s">
        <v>677</v>
      </c>
      <c r="B46" s="290" t="str">
        <f>Results!A48</f>
        <v>DuctI12</v>
      </c>
      <c r="C46" s="291" t="str">
        <f>Results!B48</f>
        <v>DuctInsulation12</v>
      </c>
      <c r="D46" s="291" t="str">
        <f>Results!C48</f>
        <v>DuctInsulation</v>
      </c>
      <c r="E46" s="291">
        <f>Results!D48</f>
        <v>12</v>
      </c>
      <c r="F46" s="291" t="str">
        <f>Results!E48</f>
        <v>R-4.2</v>
      </c>
      <c r="G46" s="291" t="str">
        <f>Results!F48</f>
        <v>R-11</v>
      </c>
      <c r="H46" s="291" t="str">
        <f>Results!G48</f>
        <v>Heating Zone 1</v>
      </c>
      <c r="I46" s="291" t="str">
        <f>Results!H48</f>
        <v>DuctInsulation - R-4.2 to R-11 - Heating Zone 1</v>
      </c>
      <c r="J46" s="233" t="s">
        <v>529</v>
      </c>
      <c r="K46" s="303">
        <f>Results!I48</f>
        <v>31.467850715367931</v>
      </c>
      <c r="L46" s="304">
        <f>Results!J48</f>
        <v>0.81684434463683742</v>
      </c>
      <c r="Q46"/>
      <c r="R46"/>
      <c r="S46"/>
      <c r="T46"/>
      <c r="U46"/>
      <c r="V46"/>
      <c r="W46"/>
    </row>
    <row r="47" spans="1:23" ht="15.75" thickBot="1">
      <c r="A47" s="27" t="s">
        <v>680</v>
      </c>
      <c r="B47" s="253" t="str">
        <f>Results!A49</f>
        <v>HeatP10</v>
      </c>
      <c r="C47" s="254" t="str">
        <f>Results!B49</f>
        <v>HeatPump10</v>
      </c>
      <c r="D47" s="254" t="str">
        <f>Results!C49</f>
        <v>HeatPump</v>
      </c>
      <c r="E47" s="254">
        <f>Results!D49</f>
        <v>10</v>
      </c>
      <c r="F47" s="254" t="str">
        <f>Results!E49</f>
        <v>7.7/13</v>
      </c>
      <c r="G47" s="254" t="str">
        <f>Results!F49</f>
        <v>8.5/13</v>
      </c>
      <c r="H47" s="254" t="str">
        <f>Results!G49</f>
        <v>Heating Zone 1</v>
      </c>
      <c r="I47" s="254" t="str">
        <f>Results!H49</f>
        <v>HeatPump Upgrade - 7.7/13 to 8.5/13 - Heating Zone 1</v>
      </c>
      <c r="J47" s="233" t="s">
        <v>529</v>
      </c>
      <c r="K47" s="301">
        <f>Results!I49</f>
        <v>0</v>
      </c>
      <c r="L47" s="302">
        <f>Results!J49</f>
        <v>0</v>
      </c>
      <c r="Q47"/>
      <c r="R47"/>
      <c r="S47"/>
      <c r="T47"/>
      <c r="U47"/>
      <c r="V47"/>
      <c r="W47"/>
    </row>
    <row r="48" spans="1:23" ht="15.75" thickBot="1">
      <c r="A48" s="27" t="s">
        <v>685</v>
      </c>
      <c r="B48" s="253" t="str">
        <f>Results!A50</f>
        <v>HeatP11</v>
      </c>
      <c r="C48" s="254" t="str">
        <f>Results!B50</f>
        <v>HeatPump11</v>
      </c>
      <c r="D48" s="254" t="str">
        <f>Results!C50</f>
        <v>HeatPump</v>
      </c>
      <c r="E48" s="254">
        <f>Results!D50</f>
        <v>11</v>
      </c>
      <c r="F48" s="254" t="str">
        <f>Results!E50</f>
        <v>7.7/13</v>
      </c>
      <c r="G48" s="254" t="str">
        <f>Results!F50</f>
        <v>9.0/14</v>
      </c>
      <c r="H48" s="254" t="str">
        <f>Results!G50</f>
        <v>Heating Zone 1</v>
      </c>
      <c r="I48" s="254" t="str">
        <f>Results!H50</f>
        <v>HeatPump Upgrade - 7.7/13 to 9.0/14 - Heating Zone 1</v>
      </c>
      <c r="J48" s="233" t="s">
        <v>529</v>
      </c>
      <c r="K48" s="301">
        <f>Results!I50</f>
        <v>0</v>
      </c>
      <c r="L48" s="302">
        <f>Results!J50</f>
        <v>0</v>
      </c>
      <c r="Q48"/>
      <c r="R48"/>
      <c r="S48"/>
      <c r="T48"/>
      <c r="U48"/>
      <c r="V48"/>
      <c r="W48"/>
    </row>
    <row r="49" spans="1:23" ht="15.75" thickBot="1">
      <c r="A49" s="27" t="s">
        <v>689</v>
      </c>
      <c r="B49" s="290" t="str">
        <f>Results!A51</f>
        <v>HeatP12</v>
      </c>
      <c r="C49" s="291" t="str">
        <f>Results!B51</f>
        <v>HeatPump12</v>
      </c>
      <c r="D49" s="291" t="str">
        <f>Results!C51</f>
        <v>HeatPump</v>
      </c>
      <c r="E49" s="291">
        <f>Results!D51</f>
        <v>12</v>
      </c>
      <c r="F49" s="291" t="str">
        <f>Results!E51</f>
        <v>7.7/13</v>
      </c>
      <c r="G49" s="291" t="str">
        <f>Results!F51</f>
        <v>8.2/13</v>
      </c>
      <c r="H49" s="291" t="str">
        <f>Results!G51</f>
        <v>Heating Zone 1</v>
      </c>
      <c r="I49" s="291" t="str">
        <f>Results!H51</f>
        <v>HeatPump Upgrade - 7.7/13 to 8.2/13 - Heating Zone 1</v>
      </c>
      <c r="J49" s="233" t="s">
        <v>529</v>
      </c>
      <c r="K49" s="303">
        <f>Results!I51</f>
        <v>0</v>
      </c>
      <c r="L49" s="304">
        <f>Results!J51</f>
        <v>0</v>
      </c>
      <c r="Q49"/>
      <c r="R49"/>
      <c r="S49"/>
      <c r="T49"/>
      <c r="U49"/>
      <c r="V49"/>
      <c r="W49"/>
    </row>
    <row r="50" spans="1:23" ht="15.75" thickBot="1">
      <c r="A50" s="27" t="s">
        <v>693</v>
      </c>
      <c r="B50" s="305" t="str">
        <f>Results!A52</f>
        <v>HPCnt10</v>
      </c>
      <c r="C50" s="306" t="str">
        <f>Results!B52</f>
        <v>HPCntrls10</v>
      </c>
      <c r="D50" s="306" t="str">
        <f>Results!C52</f>
        <v>HPCntrls</v>
      </c>
      <c r="E50" s="306">
        <f>Results!D52</f>
        <v>10</v>
      </c>
      <c r="F50" s="306" t="str">
        <f>Results!E52</f>
        <v>Standard</v>
      </c>
      <c r="G50" s="306" t="str">
        <f>Results!F52</f>
        <v>PTCS</v>
      </c>
      <c r="H50" s="306" t="str">
        <f>Results!G52</f>
        <v>Heating Zone 1</v>
      </c>
      <c r="I50" s="306" t="str">
        <f>Results!H52</f>
        <v>HPCntrls Upgrade - Standard to PTCS - Heating Zone 1</v>
      </c>
      <c r="J50" s="233" t="s">
        <v>529</v>
      </c>
      <c r="K50" s="307">
        <f>Results!I52</f>
        <v>0</v>
      </c>
      <c r="L50" s="308">
        <f>Results!J52</f>
        <v>0</v>
      </c>
      <c r="Q50"/>
      <c r="R50"/>
      <c r="S50"/>
      <c r="T50"/>
      <c r="U50"/>
      <c r="V50"/>
      <c r="W50"/>
    </row>
    <row r="51" spans="1:23" ht="15.75" thickBot="1">
      <c r="A51" s="27" t="s">
        <v>697</v>
      </c>
      <c r="B51" s="309" t="str">
        <f>Results!A53</f>
        <v>Walls10</v>
      </c>
      <c r="C51" s="310" t="str">
        <f>Results!B53</f>
        <v>Walls10</v>
      </c>
      <c r="D51" s="310" t="str">
        <f>Results!C53</f>
        <v>Walls</v>
      </c>
      <c r="E51" s="310">
        <f>Results!D53</f>
        <v>10</v>
      </c>
      <c r="F51" s="310" t="str">
        <f>Results!E53</f>
        <v>R-0</v>
      </c>
      <c r="G51" s="310" t="str">
        <f>Results!F53</f>
        <v>R-11</v>
      </c>
      <c r="H51" s="311" t="str">
        <f>Results!G53</f>
        <v>Heating Zone 2</v>
      </c>
      <c r="I51" s="310" t="str">
        <f>Results!H53</f>
        <v>Multi Family Weatherization - Insulate Walls - R-0 to R-11 - Heating Zone 2</v>
      </c>
      <c r="J51" s="233" t="s">
        <v>529</v>
      </c>
      <c r="K51" s="235">
        <f>Results!I53</f>
        <v>1.7363106022210568</v>
      </c>
      <c r="L51" s="236">
        <f>Results!J53</f>
        <v>5.1495971186650211E-4</v>
      </c>
      <c r="Q51"/>
      <c r="R51"/>
      <c r="S51"/>
      <c r="T51"/>
      <c r="U51"/>
      <c r="V51"/>
      <c r="W51"/>
    </row>
    <row r="52" spans="1:23" ht="15.75" thickBot="1">
      <c r="A52" s="27" t="s">
        <v>698</v>
      </c>
      <c r="B52" s="239" t="str">
        <f>Results!A54</f>
        <v>BGWal10</v>
      </c>
      <c r="C52" s="240" t="str">
        <f>Results!B54</f>
        <v>BGWalls10</v>
      </c>
      <c r="D52" s="240" t="str">
        <f>Results!C54</f>
        <v>BGWalls</v>
      </c>
      <c r="E52" s="240">
        <f>Results!D54</f>
        <v>10</v>
      </c>
      <c r="F52" s="240" t="str">
        <f>Results!E54</f>
        <v>R-0</v>
      </c>
      <c r="G52" s="240" t="str">
        <f>Results!F54</f>
        <v>R-11</v>
      </c>
      <c r="H52" s="312" t="str">
        <f>Results!G54</f>
        <v>Heating Zone 2</v>
      </c>
      <c r="I52" s="240" t="str">
        <f>Results!H54</f>
        <v>Multi Family Weatherization - Insulate BGWalls - R-0 to R-11 - Heating Zone 2</v>
      </c>
      <c r="J52" s="233" t="s">
        <v>529</v>
      </c>
      <c r="K52" s="242">
        <f>Results!I54</f>
        <v>0</v>
      </c>
      <c r="L52" s="243">
        <f>Results!J54</f>
        <v>0</v>
      </c>
      <c r="Q52"/>
      <c r="R52"/>
      <c r="S52"/>
      <c r="T52"/>
      <c r="U52"/>
      <c r="V52"/>
      <c r="W52"/>
    </row>
    <row r="53" spans="1:23" ht="15.75" thickBot="1">
      <c r="A53" s="27" t="s">
        <v>699</v>
      </c>
      <c r="B53" s="253" t="str">
        <f>Results!A55</f>
        <v>Floor10</v>
      </c>
      <c r="C53" s="254" t="str">
        <f>Results!B55</f>
        <v>Floors10</v>
      </c>
      <c r="D53" s="254" t="str">
        <f>Results!C55</f>
        <v>Floors</v>
      </c>
      <c r="E53" s="254">
        <f>Results!D55</f>
        <v>10</v>
      </c>
      <c r="F53" s="254" t="str">
        <f>Results!E55</f>
        <v>R-0</v>
      </c>
      <c r="G53" s="254" t="str">
        <f>Results!F55</f>
        <v>R-19</v>
      </c>
      <c r="H53" s="313" t="str">
        <f>Results!G55</f>
        <v>Heating Zone 2</v>
      </c>
      <c r="I53" s="254" t="str">
        <f>Results!H55</f>
        <v>Multi Family Weatherization - Insulate Floors - R-0 to R-19 - Heating Zone 2</v>
      </c>
      <c r="J53" s="233" t="s">
        <v>529</v>
      </c>
      <c r="K53" s="247">
        <f>Results!I55</f>
        <v>0.70330588692933904</v>
      </c>
      <c r="L53" s="248">
        <f>Results!J55</f>
        <v>-8.3965021580551698E-3</v>
      </c>
      <c r="Q53"/>
      <c r="R53"/>
      <c r="S53"/>
      <c r="T53"/>
      <c r="U53"/>
      <c r="V53"/>
      <c r="W53"/>
    </row>
    <row r="54" spans="1:23" ht="15.75" thickBot="1">
      <c r="A54" s="27" t="s">
        <v>700</v>
      </c>
      <c r="B54" s="253" t="str">
        <f>Results!A56</f>
        <v>Floor11</v>
      </c>
      <c r="C54" s="254" t="str">
        <f>Results!B56</f>
        <v>Floors11</v>
      </c>
      <c r="D54" s="254" t="str">
        <f>Results!C56</f>
        <v>Floors</v>
      </c>
      <c r="E54" s="254">
        <f>Results!D56</f>
        <v>11</v>
      </c>
      <c r="F54" s="254" t="str">
        <f>Results!E56</f>
        <v>R-0</v>
      </c>
      <c r="G54" s="254" t="str">
        <f>Results!F56</f>
        <v>R-25</v>
      </c>
      <c r="H54" s="313" t="str">
        <f>Results!G56</f>
        <v>Heating Zone 2</v>
      </c>
      <c r="I54" s="254" t="str">
        <f>Results!H56</f>
        <v>Multi Family Weatherization - Insulate Floors - R-0 to R-25 - Heating Zone 2</v>
      </c>
      <c r="J54" s="233" t="s">
        <v>529</v>
      </c>
      <c r="K54" s="256">
        <f>Results!I56</f>
        <v>0.80723068116241437</v>
      </c>
      <c r="L54" s="257">
        <f>Results!J56</f>
        <v>-9.7451281056555473E-3</v>
      </c>
      <c r="Q54"/>
      <c r="R54"/>
      <c r="S54"/>
      <c r="T54"/>
      <c r="U54"/>
      <c r="V54"/>
      <c r="W54"/>
    </row>
    <row r="55" spans="1:23" ht="15.75" thickBot="1">
      <c r="A55" s="27" t="s">
        <v>701</v>
      </c>
      <c r="B55" s="253" t="str">
        <f>Results!A57</f>
        <v>Floor12</v>
      </c>
      <c r="C55" s="254" t="str">
        <f>Results!B57</f>
        <v>Floors12</v>
      </c>
      <c r="D55" s="254" t="str">
        <f>Results!C57</f>
        <v>Floors</v>
      </c>
      <c r="E55" s="254">
        <f>Results!D57</f>
        <v>12</v>
      </c>
      <c r="F55" s="254" t="str">
        <f>Results!E57</f>
        <v>R-0</v>
      </c>
      <c r="G55" s="254" t="str">
        <f>Results!F57</f>
        <v>R-30</v>
      </c>
      <c r="H55" s="313" t="str">
        <f>Results!G57</f>
        <v>Heating Zone 2</v>
      </c>
      <c r="I55" s="254" t="str">
        <f>Results!H57</f>
        <v>Multi Family Weatherization - Insulate Floors - R-0 to R-30 - Heating Zone 2</v>
      </c>
      <c r="J55" s="233" t="s">
        <v>529</v>
      </c>
      <c r="K55" s="247">
        <f>Results!I57</f>
        <v>0.91705522577031573</v>
      </c>
      <c r="L55" s="248">
        <f>Results!J57</f>
        <v>-1.1201175382685504E-2</v>
      </c>
      <c r="Q55"/>
      <c r="R55"/>
      <c r="S55"/>
      <c r="T55"/>
      <c r="U55"/>
      <c r="V55"/>
      <c r="W55"/>
    </row>
    <row r="56" spans="1:23" ht="15.75" thickBot="1">
      <c r="A56" s="27" t="s">
        <v>702</v>
      </c>
      <c r="B56" s="253" t="str">
        <f>Results!A58</f>
        <v>Floor13</v>
      </c>
      <c r="C56" s="254" t="str">
        <f>Results!B58</f>
        <v>Floors13</v>
      </c>
      <c r="D56" s="254" t="str">
        <f>Results!C58</f>
        <v>Floors</v>
      </c>
      <c r="E56" s="254">
        <f>Results!D58</f>
        <v>13</v>
      </c>
      <c r="F56" s="254" t="str">
        <f>Results!E58</f>
        <v>R-0</v>
      </c>
      <c r="G56" s="254" t="str">
        <f>Results!F58</f>
        <v>R-38</v>
      </c>
      <c r="H56" s="313" t="str">
        <f>Results!G58</f>
        <v>Heating Zone 2</v>
      </c>
      <c r="I56" s="254" t="str">
        <f>Results!H58</f>
        <v>Multi Family Weatherization - Insulate Floors - R-0 to R-38 - Heating Zone 2</v>
      </c>
      <c r="J56" s="233" t="s">
        <v>529</v>
      </c>
      <c r="K56" s="256">
        <f>Results!I58</f>
        <v>0.94632193781577401</v>
      </c>
      <c r="L56" s="257">
        <f>Results!J58</f>
        <v>-1.1595089799543984E-2</v>
      </c>
      <c r="Q56"/>
      <c r="R56"/>
      <c r="S56"/>
      <c r="T56"/>
      <c r="U56"/>
      <c r="V56"/>
      <c r="W56"/>
    </row>
    <row r="57" spans="1:23" ht="15.75" thickBot="1">
      <c r="A57" s="27" t="s">
        <v>703</v>
      </c>
      <c r="B57" s="253" t="str">
        <f>Results!A59</f>
        <v>Floor14</v>
      </c>
      <c r="C57" s="254" t="str">
        <f>Results!B59</f>
        <v>Floors14</v>
      </c>
      <c r="D57" s="254" t="str">
        <f>Results!C59</f>
        <v>Floors</v>
      </c>
      <c r="E57" s="254">
        <f>Results!D59</f>
        <v>14</v>
      </c>
      <c r="F57" s="254" t="str">
        <f>Results!E59</f>
        <v>R-19</v>
      </c>
      <c r="G57" s="254" t="str">
        <f>Results!F59</f>
        <v>R-25</v>
      </c>
      <c r="H57" s="313" t="str">
        <f>Results!G59</f>
        <v>Heating Zone 2</v>
      </c>
      <c r="I57" s="254" t="str">
        <f>Results!H59</f>
        <v>Multi Family Weatherization - Insulate Floors - R-19 to R-25 - Heating Zone 2</v>
      </c>
      <c r="J57" s="233" t="s">
        <v>529</v>
      </c>
      <c r="K57" s="256">
        <f>Results!I59</f>
        <v>0.10392479423307531</v>
      </c>
      <c r="L57" s="257">
        <f>Results!J59</f>
        <v>-1.3486259476003773E-3</v>
      </c>
      <c r="Q57"/>
      <c r="R57"/>
      <c r="S57"/>
      <c r="T57"/>
      <c r="U57"/>
      <c r="V57"/>
      <c r="W57"/>
    </row>
    <row r="58" spans="1:23" ht="15.75" thickBot="1">
      <c r="A58" s="27" t="s">
        <v>704</v>
      </c>
      <c r="B58" s="253" t="str">
        <f>Results!A60</f>
        <v>Floor15</v>
      </c>
      <c r="C58" s="254" t="str">
        <f>Results!B60</f>
        <v>Floors15</v>
      </c>
      <c r="D58" s="254" t="str">
        <f>Results!C60</f>
        <v>Floors</v>
      </c>
      <c r="E58" s="254">
        <f>Results!D60</f>
        <v>15</v>
      </c>
      <c r="F58" s="254" t="str">
        <f>Results!E60</f>
        <v>R-19</v>
      </c>
      <c r="G58" s="254" t="str">
        <f>Results!F60</f>
        <v>R-30</v>
      </c>
      <c r="H58" s="313" t="str">
        <f>Results!G60</f>
        <v>Heating Zone 2</v>
      </c>
      <c r="I58" s="254" t="str">
        <f>Results!H60</f>
        <v>Multi Family Weatherization - Insulate Floors - R-19 to R-30 - Heating Zone 2</v>
      </c>
      <c r="J58" s="233" t="s">
        <v>529</v>
      </c>
      <c r="K58" s="247">
        <f>Results!I60</f>
        <v>0.21374933884097663</v>
      </c>
      <c r="L58" s="248">
        <f>Results!J60</f>
        <v>-2.8046732246303336E-3</v>
      </c>
      <c r="Q58"/>
      <c r="S58"/>
      <c r="T58"/>
      <c r="U58"/>
      <c r="V58"/>
      <c r="W58"/>
    </row>
    <row r="59" spans="1:23" ht="15.75" thickBot="1">
      <c r="A59" s="27" t="s">
        <v>705</v>
      </c>
      <c r="B59" s="253" t="str">
        <f>Results!A61</f>
        <v>Floor16</v>
      </c>
      <c r="C59" s="254" t="str">
        <f>Results!B61</f>
        <v>Floors16</v>
      </c>
      <c r="D59" s="254" t="str">
        <f>Results!C61</f>
        <v>Floors</v>
      </c>
      <c r="E59" s="254">
        <f>Results!D61</f>
        <v>16</v>
      </c>
      <c r="F59" s="254" t="str">
        <f>Results!E61</f>
        <v>R-19</v>
      </c>
      <c r="G59" s="254" t="str">
        <f>Results!F61</f>
        <v>R-38</v>
      </c>
      <c r="H59" s="313" t="str">
        <f>Results!G61</f>
        <v>Heating Zone 2</v>
      </c>
      <c r="I59" s="254" t="str">
        <f>Results!H61</f>
        <v>Multi Family Weatherization - Insulate Floors - R-19 to R-38 - Heating Zone 2</v>
      </c>
      <c r="J59" s="233" t="s">
        <v>529</v>
      </c>
      <c r="K59" s="256">
        <f>Results!I61</f>
        <v>0.24301605088643469</v>
      </c>
      <c r="L59" s="257">
        <f>Results!J61</f>
        <v>-3.1985876414888153E-3</v>
      </c>
      <c r="Q59"/>
      <c r="S59"/>
      <c r="T59"/>
      <c r="U59"/>
      <c r="V59"/>
      <c r="W59"/>
    </row>
    <row r="60" spans="1:23" ht="15.75" thickBot="1">
      <c r="A60" s="27" t="s">
        <v>706</v>
      </c>
      <c r="B60" s="253" t="str">
        <f>Results!A62</f>
        <v>Floor17</v>
      </c>
      <c r="C60" s="254" t="str">
        <f>Results!B62</f>
        <v>Floors17</v>
      </c>
      <c r="D60" s="254" t="str">
        <f>Results!C62</f>
        <v>Floors</v>
      </c>
      <c r="E60" s="254">
        <f>Results!D62</f>
        <v>17</v>
      </c>
      <c r="F60" s="254" t="str">
        <f>Results!E62</f>
        <v>R-11</v>
      </c>
      <c r="G60" s="254" t="str">
        <f>Results!F62</f>
        <v>R-30</v>
      </c>
      <c r="H60" s="313" t="str">
        <f>Results!G62</f>
        <v>Heating Zone 2</v>
      </c>
      <c r="I60" s="254" t="str">
        <f>Results!H62</f>
        <v>Multi Family Weatherization - Insulate Floors - R-11 to R-30 - Heating Zone 2</v>
      </c>
      <c r="J60" s="233" t="s">
        <v>529</v>
      </c>
      <c r="K60" s="256">
        <f>Results!I62</f>
        <v>2.0312985423580558</v>
      </c>
      <c r="L60" s="257">
        <f>Results!J62</f>
        <v>-2.2193815739167386E-2</v>
      </c>
      <c r="Q60"/>
      <c r="S60"/>
      <c r="T60"/>
      <c r="U60"/>
      <c r="V60"/>
      <c r="W60"/>
    </row>
    <row r="61" spans="1:23" ht="15.75" thickBot="1">
      <c r="A61" s="27" t="s">
        <v>699</v>
      </c>
      <c r="B61" s="253" t="str">
        <f>Results!A63</f>
        <v>Floor18</v>
      </c>
      <c r="C61" s="254" t="str">
        <f>Results!B63</f>
        <v>Floors18</v>
      </c>
      <c r="D61" s="254" t="str">
        <f>Results!C63</f>
        <v>Floors</v>
      </c>
      <c r="E61" s="254">
        <f>Results!D63</f>
        <v>18</v>
      </c>
      <c r="F61" s="254" t="str">
        <f>Results!E63</f>
        <v>R-0</v>
      </c>
      <c r="G61" s="254" t="str">
        <f>Results!F63</f>
        <v>R-19</v>
      </c>
      <c r="H61" s="313" t="str">
        <f>Results!G63</f>
        <v>Heating Zone 2</v>
      </c>
      <c r="I61" s="254" t="str">
        <f>Results!H63</f>
        <v>Multi Family Weatherization - Insulate Floors - R-0 to R-19 - Heating Zone 2</v>
      </c>
      <c r="J61" s="233" t="s">
        <v>529</v>
      </c>
      <c r="K61" s="256">
        <f>Results!I63</f>
        <v>0.70330588692933904</v>
      </c>
      <c r="L61" s="257">
        <f>Results!J63</f>
        <v>-8.3965021580551698E-3</v>
      </c>
      <c r="Q61"/>
      <c r="S61"/>
      <c r="T61"/>
      <c r="U61"/>
      <c r="V61"/>
      <c r="W61"/>
    </row>
    <row r="62" spans="1:23" ht="15.75" thickBot="1">
      <c r="A62" s="27" t="s">
        <v>707</v>
      </c>
      <c r="B62" s="297" t="str">
        <f>Results!A64</f>
        <v>Ceili10</v>
      </c>
      <c r="C62" s="298" t="str">
        <f>Results!B64</f>
        <v>Ceiling10</v>
      </c>
      <c r="D62" s="298" t="str">
        <f>Results!C64</f>
        <v>Ceiling</v>
      </c>
      <c r="E62" s="298">
        <f>Results!D64</f>
        <v>10</v>
      </c>
      <c r="F62" s="298" t="str">
        <f>Results!E64</f>
        <v>R-0</v>
      </c>
      <c r="G62" s="298" t="str">
        <f>Results!F64</f>
        <v>R-19</v>
      </c>
      <c r="H62" s="314" t="str">
        <f>Results!G64</f>
        <v>Heating Zone 2</v>
      </c>
      <c r="I62" s="298" t="str">
        <f>Results!H64</f>
        <v>Multi Family Weatherization - Insulate Attic - R-0 to R-19 - Heating Zone 2</v>
      </c>
      <c r="J62" s="233" t="s">
        <v>529</v>
      </c>
      <c r="K62" s="283">
        <f>Results!I64</f>
        <v>0.46500490389098448</v>
      </c>
      <c r="L62" s="284">
        <f>Results!J64</f>
        <v>1.0136006227393562E-2</v>
      </c>
      <c r="Q62"/>
      <c r="S62"/>
      <c r="T62"/>
      <c r="U62"/>
      <c r="V62"/>
      <c r="W62"/>
    </row>
    <row r="63" spans="1:23" ht="15.75" thickBot="1">
      <c r="A63" s="27" t="s">
        <v>708</v>
      </c>
      <c r="B63" s="253" t="str">
        <f>Results!A65</f>
        <v>Ceili11</v>
      </c>
      <c r="C63" s="254" t="str">
        <f>Results!B65</f>
        <v>Ceiling11</v>
      </c>
      <c r="D63" s="254" t="str">
        <f>Results!C65</f>
        <v>Ceiling</v>
      </c>
      <c r="E63" s="254">
        <f>Results!D65</f>
        <v>11</v>
      </c>
      <c r="F63" s="254" t="str">
        <f>Results!E65</f>
        <v>R-0</v>
      </c>
      <c r="G63" s="254" t="str">
        <f>Results!F65</f>
        <v>R-38</v>
      </c>
      <c r="H63" s="313" t="str">
        <f>Results!G65</f>
        <v>Heating Zone 2</v>
      </c>
      <c r="I63" s="254" t="str">
        <f>Results!H65</f>
        <v>Multi Family Weatherization - Insulate Attic - R-0 to R-38 - Heating Zone 2</v>
      </c>
      <c r="J63" s="233" t="s">
        <v>529</v>
      </c>
      <c r="K63" s="247">
        <f>Results!I65</f>
        <v>0.63365192841263629</v>
      </c>
      <c r="L63" s="248">
        <f>Results!J65</f>
        <v>1.3891018949314014E-2</v>
      </c>
      <c r="Q63"/>
      <c r="S63"/>
      <c r="T63"/>
      <c r="U63"/>
      <c r="V63"/>
      <c r="W63"/>
    </row>
    <row r="64" spans="1:23" ht="15.75" thickBot="1">
      <c r="A64" s="27" t="s">
        <v>709</v>
      </c>
      <c r="B64" s="253" t="str">
        <f>Results!A66</f>
        <v>Ceili12</v>
      </c>
      <c r="C64" s="254" t="str">
        <f>Results!B66</f>
        <v>Ceiling12</v>
      </c>
      <c r="D64" s="254" t="str">
        <f>Results!C66</f>
        <v>Ceiling</v>
      </c>
      <c r="E64" s="254">
        <f>Results!D66</f>
        <v>12</v>
      </c>
      <c r="F64" s="254" t="str">
        <f>Results!E66</f>
        <v>R-0</v>
      </c>
      <c r="G64" s="254" t="str">
        <f>Results!F66</f>
        <v>R-49</v>
      </c>
      <c r="H64" s="313" t="str">
        <f>Results!G66</f>
        <v>Heating Zone 2</v>
      </c>
      <c r="I64" s="254" t="str">
        <f>Results!H66</f>
        <v>Multi Family Weatherization - Insulate Attic - R-0 to R-49 - Heating Zone 2</v>
      </c>
      <c r="J64" s="233" t="s">
        <v>529</v>
      </c>
      <c r="K64" s="247">
        <f>Results!I66</f>
        <v>0.67281293420371135</v>
      </c>
      <c r="L64" s="248">
        <f>Results!J66</f>
        <v>1.4771007281371771E-2</v>
      </c>
      <c r="Q64"/>
      <c r="S64"/>
      <c r="T64"/>
      <c r="U64"/>
      <c r="V64"/>
      <c r="W64"/>
    </row>
    <row r="65" spans="1:23" ht="15.75" thickBot="1">
      <c r="A65" s="27" t="s">
        <v>710</v>
      </c>
      <c r="B65" s="253" t="str">
        <f>Results!A67</f>
        <v>Ceili13</v>
      </c>
      <c r="C65" s="254" t="str">
        <f>Results!B67</f>
        <v>Ceiling13</v>
      </c>
      <c r="D65" s="254" t="str">
        <f>Results!C67</f>
        <v>Ceiling</v>
      </c>
      <c r="E65" s="254">
        <f>Results!D67</f>
        <v>13</v>
      </c>
      <c r="F65" s="254" t="str">
        <f>Results!E67</f>
        <v>R-30</v>
      </c>
      <c r="G65" s="254" t="str">
        <f>Results!F67</f>
        <v>R-38</v>
      </c>
      <c r="H65" s="313" t="str">
        <f>Results!G67</f>
        <v>Heating Zone 2</v>
      </c>
      <c r="I65" s="254" t="str">
        <f>Results!H67</f>
        <v>Multi Family Weatherization - Insulate Attic - R-30 to R-38 - Heating Zone 2</v>
      </c>
      <c r="J65" s="233" t="s">
        <v>529</v>
      </c>
      <c r="K65" s="256">
        <f>Results!I67</f>
        <v>4.647209944269276E-2</v>
      </c>
      <c r="L65" s="257">
        <f>Results!J67</f>
        <v>1.039745226226792E-3</v>
      </c>
      <c r="Q65"/>
      <c r="S65"/>
      <c r="T65"/>
      <c r="U65"/>
      <c r="V65"/>
      <c r="W65"/>
    </row>
    <row r="66" spans="1:23" ht="15.75" thickBot="1">
      <c r="A66" s="27" t="s">
        <v>711</v>
      </c>
      <c r="B66" s="253" t="str">
        <f>Results!A68</f>
        <v>Ceili14</v>
      </c>
      <c r="C66" s="254" t="str">
        <f>Results!B68</f>
        <v>Ceiling14</v>
      </c>
      <c r="D66" s="254" t="str">
        <f>Results!C68</f>
        <v>Ceiling</v>
      </c>
      <c r="E66" s="254">
        <f>Results!D68</f>
        <v>14</v>
      </c>
      <c r="F66" s="254" t="str">
        <f>Results!E68</f>
        <v>R-30</v>
      </c>
      <c r="G66" s="254" t="str">
        <f>Results!F68</f>
        <v>R-49</v>
      </c>
      <c r="H66" s="313" t="str">
        <f>Results!G68</f>
        <v>Heating Zone 2</v>
      </c>
      <c r="I66" s="254" t="str">
        <f>Results!H68</f>
        <v>Multi Family Weatherization - Insulate Attic - R-30 to R-49 - Heating Zone 2</v>
      </c>
      <c r="J66" s="233" t="s">
        <v>529</v>
      </c>
      <c r="K66" s="256">
        <f>Results!I68</f>
        <v>8.5633105233767881E-2</v>
      </c>
      <c r="L66" s="257">
        <f>Results!J68</f>
        <v>1.9197335582845506E-3</v>
      </c>
      <c r="Q66"/>
      <c r="S66"/>
      <c r="T66"/>
      <c r="U66"/>
      <c r="V66"/>
      <c r="W66"/>
    </row>
    <row r="67" spans="1:23" ht="15.75" thickBot="1">
      <c r="A67" s="27" t="s">
        <v>712</v>
      </c>
      <c r="B67" s="253" t="str">
        <f>Results!A69</f>
        <v>Ceili15</v>
      </c>
      <c r="C67" s="254" t="str">
        <f>Results!B69</f>
        <v>Ceiling15</v>
      </c>
      <c r="D67" s="254" t="str">
        <f>Results!C69</f>
        <v>Ceiling</v>
      </c>
      <c r="E67" s="254">
        <f>Results!D69</f>
        <v>15</v>
      </c>
      <c r="F67" s="254" t="str">
        <f>Results!E69</f>
        <v>R-19</v>
      </c>
      <c r="G67" s="254" t="str">
        <f>Results!F69</f>
        <v>R-30</v>
      </c>
      <c r="H67" s="313" t="str">
        <f>Results!G69</f>
        <v>Heating Zone 2</v>
      </c>
      <c r="I67" s="254" t="str">
        <f>Results!H69</f>
        <v>Multi Family Weatherization - Insulate Attic - R-19 to R-30 - Heating Zone 2</v>
      </c>
      <c r="J67" s="233" t="s">
        <v>529</v>
      </c>
      <c r="K67" s="256">
        <f>Results!I69</f>
        <v>0.12217492507895891</v>
      </c>
      <c r="L67" s="257">
        <f>Results!J69</f>
        <v>2.7152674956936618E-3</v>
      </c>
      <c r="Q67"/>
      <c r="S67"/>
      <c r="T67"/>
      <c r="U67"/>
      <c r="V67"/>
      <c r="W67"/>
    </row>
    <row r="68" spans="1:23" ht="15.75" thickBot="1">
      <c r="A68" s="27" t="s">
        <v>713</v>
      </c>
      <c r="B68" s="253" t="str">
        <f>Results!A70</f>
        <v>Ceili16</v>
      </c>
      <c r="C68" s="254" t="str">
        <f>Results!B70</f>
        <v>Ceiling16</v>
      </c>
      <c r="D68" s="254" t="str">
        <f>Results!C70</f>
        <v>Ceiling</v>
      </c>
      <c r="E68" s="254">
        <f>Results!D70</f>
        <v>16</v>
      </c>
      <c r="F68" s="254" t="str">
        <f>Results!E70</f>
        <v>R-19</v>
      </c>
      <c r="G68" s="254" t="str">
        <f>Results!F70</f>
        <v>R-38</v>
      </c>
      <c r="H68" s="313" t="str">
        <f>Results!G70</f>
        <v>Heating Zone 2</v>
      </c>
      <c r="I68" s="254" t="str">
        <f>Results!H70</f>
        <v>Multi Family Weatherization - Insulate Attic - R-19 to R-38 - Heating Zone 2</v>
      </c>
      <c r="J68" s="233" t="s">
        <v>529</v>
      </c>
      <c r="K68" s="247">
        <f>Results!I70</f>
        <v>0.16864702452165167</v>
      </c>
      <c r="L68" s="248">
        <f>Results!J70</f>
        <v>3.7550127219204543E-3</v>
      </c>
      <c r="Q68"/>
      <c r="S68"/>
      <c r="T68"/>
      <c r="U68"/>
      <c r="V68"/>
      <c r="W68"/>
    </row>
    <row r="69" spans="1:23" ht="15.75" thickBot="1">
      <c r="A69" s="27" t="s">
        <v>714</v>
      </c>
      <c r="B69" s="253" t="str">
        <f>Results!A71</f>
        <v>Ceili17</v>
      </c>
      <c r="C69" s="254" t="str">
        <f>Results!B71</f>
        <v>Ceiling17</v>
      </c>
      <c r="D69" s="254" t="str">
        <f>Results!C71</f>
        <v>Ceiling</v>
      </c>
      <c r="E69" s="254">
        <f>Results!D71</f>
        <v>17</v>
      </c>
      <c r="F69" s="254" t="str">
        <f>Results!E71</f>
        <v>R-19</v>
      </c>
      <c r="G69" s="254" t="str">
        <f>Results!F71</f>
        <v>R-49</v>
      </c>
      <c r="H69" s="313" t="str">
        <f>Results!G71</f>
        <v>Heating Zone 2</v>
      </c>
      <c r="I69" s="254" t="str">
        <f>Results!H71</f>
        <v>Multi Family Weatherization - Insulate Attic - R-19 to R-49 - Heating Zone 2</v>
      </c>
      <c r="J69" s="233" t="s">
        <v>529</v>
      </c>
      <c r="K69" s="247">
        <f>Results!I71</f>
        <v>0.20780803031272682</v>
      </c>
      <c r="L69" s="248">
        <f>Results!J71</f>
        <v>4.635001053978214E-3</v>
      </c>
      <c r="Q69"/>
      <c r="S69"/>
      <c r="T69"/>
      <c r="U69"/>
      <c r="V69"/>
      <c r="W69"/>
    </row>
    <row r="70" spans="1:23" ht="15.75" thickBot="1">
      <c r="A70" s="27" t="s">
        <v>715</v>
      </c>
      <c r="B70" s="290" t="str">
        <f>Results!A72</f>
        <v>Ceili18</v>
      </c>
      <c r="C70" s="291" t="str">
        <f>Results!B72</f>
        <v>Ceiling18</v>
      </c>
      <c r="D70" s="291" t="str">
        <f>Results!C72</f>
        <v>Ceiling</v>
      </c>
      <c r="E70" s="291">
        <f>Results!D72</f>
        <v>18</v>
      </c>
      <c r="F70" s="291" t="str">
        <f>Results!E72</f>
        <v>R-38</v>
      </c>
      <c r="G70" s="291" t="str">
        <f>Results!F72</f>
        <v>R-49</v>
      </c>
      <c r="H70" s="315" t="str">
        <f>Results!G72</f>
        <v>Heating Zone 2</v>
      </c>
      <c r="I70" s="291" t="str">
        <f>Results!H72</f>
        <v>Multi Family Weatherization - Insulate Attic - R-38 to R-49 - Heating Zone 2</v>
      </c>
      <c r="J70" s="233" t="s">
        <v>529</v>
      </c>
      <c r="K70" s="288">
        <f>Results!I72</f>
        <v>3.9161005791075142E-2</v>
      </c>
      <c r="L70" s="289">
        <f>Results!J72</f>
        <v>8.799883320577583E-4</v>
      </c>
      <c r="Q70"/>
      <c r="S70"/>
      <c r="T70"/>
      <c r="U70"/>
      <c r="V70"/>
      <c r="W70"/>
    </row>
    <row r="71" spans="1:23" ht="15.75" thickBot="1">
      <c r="A71" s="27" t="s">
        <v>716</v>
      </c>
      <c r="B71" s="253" t="str">
        <f>Results!A73</f>
        <v>Windo10</v>
      </c>
      <c r="C71" s="254" t="str">
        <f>Results!B73</f>
        <v>Windows10</v>
      </c>
      <c r="D71" s="254" t="str">
        <f>Results!C73</f>
        <v>Windows</v>
      </c>
      <c r="E71" s="254">
        <f>Results!D73</f>
        <v>10</v>
      </c>
      <c r="F71" s="254" t="str">
        <f>Results!E73</f>
        <v>Class 85</v>
      </c>
      <c r="G71" s="254" t="str">
        <f>Results!F73</f>
        <v>Class 35</v>
      </c>
      <c r="H71" s="313" t="str">
        <f>Results!G73</f>
        <v>Heating Zone 2</v>
      </c>
      <c r="I71" s="254" t="str">
        <f>Results!H73</f>
        <v>Windows - Class 85 to Class 35 - Heating Zone 2</v>
      </c>
      <c r="J71" s="233" t="s">
        <v>529</v>
      </c>
      <c r="K71" s="256">
        <f>Results!I73</f>
        <v>-10.164112413433486</v>
      </c>
      <c r="L71" s="257">
        <f>Results!J73</f>
        <v>-0.12810684711541731</v>
      </c>
      <c r="Q71"/>
      <c r="S71"/>
      <c r="T71"/>
      <c r="U71"/>
      <c r="V71"/>
      <c r="W71"/>
    </row>
    <row r="72" spans="1:23" ht="15.75" thickBot="1">
      <c r="A72" s="27" t="s">
        <v>717</v>
      </c>
      <c r="B72" s="253" t="str">
        <f>Results!A74</f>
        <v>Windo11</v>
      </c>
      <c r="C72" s="254" t="str">
        <f>Results!B74</f>
        <v>Windows11</v>
      </c>
      <c r="D72" s="254" t="str">
        <f>Results!C74</f>
        <v>Windows</v>
      </c>
      <c r="E72" s="254">
        <f>Results!D74</f>
        <v>11</v>
      </c>
      <c r="F72" s="254" t="str">
        <f>Results!E74</f>
        <v>Class 85</v>
      </c>
      <c r="G72" s="254" t="str">
        <f>Results!F74</f>
        <v>Class 30</v>
      </c>
      <c r="H72" s="313" t="str">
        <f>Results!G74</f>
        <v>Heating Zone 2</v>
      </c>
      <c r="I72" s="254" t="str">
        <f>Results!H74</f>
        <v>Windows - Class 85 to Class 30 - Heating Zone 2</v>
      </c>
      <c r="J72" s="233" t="s">
        <v>529</v>
      </c>
      <c r="K72" s="256">
        <f>Results!I74</f>
        <v>-8.4071036594548083</v>
      </c>
      <c r="L72" s="257">
        <f>Results!J74</f>
        <v>-0.12467110678079606</v>
      </c>
      <c r="Q72"/>
      <c r="S72"/>
      <c r="T72"/>
      <c r="U72"/>
      <c r="V72"/>
      <c r="W72"/>
    </row>
    <row r="73" spans="1:23" ht="15.75" thickBot="1">
      <c r="A73" s="27" t="s">
        <v>718</v>
      </c>
      <c r="B73" s="253" t="str">
        <f>Results!A75</f>
        <v>Windo12</v>
      </c>
      <c r="C73" s="254" t="str">
        <f>Results!B75</f>
        <v>Windows12</v>
      </c>
      <c r="D73" s="254" t="str">
        <f>Results!C75</f>
        <v>Windows</v>
      </c>
      <c r="E73" s="254">
        <f>Results!D75</f>
        <v>12</v>
      </c>
      <c r="F73" s="254" t="str">
        <f>Results!E75</f>
        <v>Class 85</v>
      </c>
      <c r="G73" s="254" t="str">
        <f>Results!F75</f>
        <v>Class 25</v>
      </c>
      <c r="H73" s="313" t="str">
        <f>Results!G75</f>
        <v>Heating Zone 2</v>
      </c>
      <c r="I73" s="254" t="str">
        <f>Results!H75</f>
        <v>Windows - Class 85 to Class 25 - Heating Zone 2</v>
      </c>
      <c r="J73" s="233" t="s">
        <v>529</v>
      </c>
      <c r="K73" s="256">
        <f>Results!I75</f>
        <v>0</v>
      </c>
      <c r="L73" s="257">
        <f>Results!J75</f>
        <v>0</v>
      </c>
      <c r="Q73"/>
      <c r="S73"/>
      <c r="T73"/>
      <c r="U73"/>
      <c r="V73"/>
      <c r="W73"/>
    </row>
    <row r="74" spans="1:23" ht="15.75" thickBot="1">
      <c r="A74" s="27" t="s">
        <v>719</v>
      </c>
      <c r="B74" s="253" t="str">
        <f>Results!A76</f>
        <v>Windo13</v>
      </c>
      <c r="C74" s="254" t="str">
        <f>Results!B76</f>
        <v>Windows13</v>
      </c>
      <c r="D74" s="254" t="str">
        <f>Results!C76</f>
        <v>Windows</v>
      </c>
      <c r="E74" s="254">
        <f>Results!D76</f>
        <v>13</v>
      </c>
      <c r="F74" s="254" t="str">
        <f>Results!E76</f>
        <v>Class 85</v>
      </c>
      <c r="G74" s="254" t="str">
        <f>Results!F76</f>
        <v>Class 20</v>
      </c>
      <c r="H74" s="313" t="str">
        <f>Results!G76</f>
        <v>Heating Zone 2</v>
      </c>
      <c r="I74" s="254" t="str">
        <f>Results!H76</f>
        <v>Windows - Class 85 to Class 20 - Heating Zone 2</v>
      </c>
      <c r="J74" s="233" t="s">
        <v>529</v>
      </c>
      <c r="K74" s="256">
        <f>Results!I76</f>
        <v>-5.1116874800863625</v>
      </c>
      <c r="L74" s="257">
        <f>Results!J76</f>
        <v>-0.11235388886359282</v>
      </c>
      <c r="Q74"/>
      <c r="S74"/>
      <c r="T74"/>
      <c r="U74"/>
      <c r="V74"/>
      <c r="W74"/>
    </row>
    <row r="75" spans="1:23" ht="15.75" thickBot="1">
      <c r="A75" s="27" t="s">
        <v>720</v>
      </c>
      <c r="B75" s="253" t="str">
        <f>Results!A77</f>
        <v>Windo14</v>
      </c>
      <c r="C75" s="254" t="str">
        <f>Results!B77</f>
        <v>Windows14</v>
      </c>
      <c r="D75" s="254" t="str">
        <f>Results!C77</f>
        <v>Windows</v>
      </c>
      <c r="E75" s="254">
        <f>Results!D77</f>
        <v>14</v>
      </c>
      <c r="F75" s="254" t="str">
        <f>Results!E77</f>
        <v>Class 85</v>
      </c>
      <c r="G75" s="254" t="str">
        <f>Results!F77</f>
        <v>Class 15</v>
      </c>
      <c r="H75" s="313" t="str">
        <f>Results!G77</f>
        <v>Heating Zone 2</v>
      </c>
      <c r="I75" s="254" t="str">
        <f>Results!H77</f>
        <v>Windows - Class 85 to Class 15 - Heating Zone 2</v>
      </c>
      <c r="J75" s="233" t="s">
        <v>529</v>
      </c>
      <c r="K75" s="256">
        <f>Results!I77</f>
        <v>-3.1468169080025445</v>
      </c>
      <c r="L75" s="257">
        <f>Results!J77</f>
        <v>-0.1171755709624388</v>
      </c>
      <c r="Q75"/>
      <c r="S75"/>
      <c r="T75"/>
      <c r="U75"/>
      <c r="V75"/>
      <c r="W75"/>
    </row>
    <row r="76" spans="1:23" ht="15.75" thickBot="1">
      <c r="A76" s="27" t="s">
        <v>721</v>
      </c>
      <c r="B76" s="253" t="str">
        <f>Results!A78</f>
        <v>Windo15</v>
      </c>
      <c r="C76" s="254" t="str">
        <f>Results!B78</f>
        <v>Windows15</v>
      </c>
      <c r="D76" s="254" t="str">
        <f>Results!C78</f>
        <v>Windows</v>
      </c>
      <c r="E76" s="254">
        <f>Results!D78</f>
        <v>15</v>
      </c>
      <c r="F76" s="254" t="str">
        <f>Results!E78</f>
        <v>Class 50</v>
      </c>
      <c r="G76" s="254" t="str">
        <f>Results!F78</f>
        <v>Class 35</v>
      </c>
      <c r="H76" s="313" t="str">
        <f>Results!G78</f>
        <v>Heating Zone 2</v>
      </c>
      <c r="I76" s="254" t="str">
        <f>Results!H78</f>
        <v>Windows - Class 50 to Class 35 - Heating Zone 2</v>
      </c>
      <c r="J76" s="233" t="s">
        <v>529</v>
      </c>
      <c r="K76" s="256">
        <f>Results!I78</f>
        <v>1.8316044323039837</v>
      </c>
      <c r="L76" s="257">
        <f>Results!J78</f>
        <v>0.18481839245502826</v>
      </c>
      <c r="Q76"/>
      <c r="S76"/>
      <c r="T76"/>
      <c r="U76"/>
      <c r="V76"/>
      <c r="W76"/>
    </row>
    <row r="77" spans="1:23" ht="15.75" thickBot="1">
      <c r="A77" s="27" t="s">
        <v>722</v>
      </c>
      <c r="B77" s="253" t="str">
        <f>Results!A79</f>
        <v>Windo16</v>
      </c>
      <c r="C77" s="254" t="str">
        <f>Results!B79</f>
        <v>Windows16</v>
      </c>
      <c r="D77" s="254" t="str">
        <f>Results!C79</f>
        <v>Windows</v>
      </c>
      <c r="E77" s="254">
        <f>Results!D79</f>
        <v>16</v>
      </c>
      <c r="F77" s="254" t="str">
        <f>Results!E79</f>
        <v>Class 50</v>
      </c>
      <c r="G77" s="254" t="str">
        <f>Results!F79</f>
        <v>Class 30</v>
      </c>
      <c r="H77" s="313" t="str">
        <f>Results!G79</f>
        <v>Heating Zone 2</v>
      </c>
      <c r="I77" s="254" t="str">
        <f>Results!H79</f>
        <v>Windows - Class 50 to Class 30 - Heating Zone 2</v>
      </c>
      <c r="J77" s="233" t="s">
        <v>529</v>
      </c>
      <c r="K77" s="256">
        <f>Results!I79</f>
        <v>3.5886131862826591</v>
      </c>
      <c r="L77" s="257">
        <f>Results!J79</f>
        <v>0.18825413278964948</v>
      </c>
      <c r="Q77"/>
      <c r="S77"/>
      <c r="T77"/>
      <c r="U77"/>
      <c r="V77"/>
      <c r="W77"/>
    </row>
    <row r="78" spans="1:23" ht="15.75" thickBot="1">
      <c r="A78" s="27" t="s">
        <v>723</v>
      </c>
      <c r="B78" s="253" t="str">
        <f>Results!A80</f>
        <v>Windo17</v>
      </c>
      <c r="C78" s="254" t="str">
        <f>Results!B80</f>
        <v>Windows17</v>
      </c>
      <c r="D78" s="254" t="str">
        <f>Results!C80</f>
        <v>Windows</v>
      </c>
      <c r="E78" s="254">
        <f>Results!D80</f>
        <v>17</v>
      </c>
      <c r="F78" s="254" t="str">
        <f>Results!E80</f>
        <v>Class 50</v>
      </c>
      <c r="G78" s="254" t="str">
        <f>Results!F80</f>
        <v>Class 25</v>
      </c>
      <c r="H78" s="313" t="str">
        <f>Results!G80</f>
        <v>Heating Zone 2</v>
      </c>
      <c r="I78" s="254" t="str">
        <f>Results!H80</f>
        <v>Windows - Class 50 to Class 25 - Heating Zone 2</v>
      </c>
      <c r="J78" s="233" t="s">
        <v>529</v>
      </c>
      <c r="K78" s="256">
        <f>Results!I80</f>
        <v>11.995716845737469</v>
      </c>
      <c r="L78" s="257">
        <f>Results!J80</f>
        <v>0.31292523957044555</v>
      </c>
      <c r="Q78"/>
      <c r="S78"/>
      <c r="T78"/>
      <c r="U78"/>
      <c r="V78"/>
      <c r="W78"/>
    </row>
    <row r="79" spans="1:23" ht="15.75" thickBot="1">
      <c r="A79" s="27" t="s">
        <v>724</v>
      </c>
      <c r="B79" s="253" t="str">
        <f>Results!A81</f>
        <v>Windo18</v>
      </c>
      <c r="C79" s="254" t="str">
        <f>Results!B81</f>
        <v>Windows18</v>
      </c>
      <c r="D79" s="254" t="str">
        <f>Results!C81</f>
        <v>Windows</v>
      </c>
      <c r="E79" s="254">
        <f>Results!D81</f>
        <v>18</v>
      </c>
      <c r="F79" s="254" t="str">
        <f>Results!E81</f>
        <v>Class 50</v>
      </c>
      <c r="G79" s="254" t="str">
        <f>Results!F81</f>
        <v>Class 20</v>
      </c>
      <c r="H79" s="313" t="str">
        <f>Results!G81</f>
        <v>Heating Zone 2</v>
      </c>
      <c r="I79" s="254" t="str">
        <f>Results!H81</f>
        <v>Windows - Class 50 to Class 20 - Heating Zone 2</v>
      </c>
      <c r="J79" s="233" t="s">
        <v>529</v>
      </c>
      <c r="K79" s="256">
        <f>Results!I81</f>
        <v>6.8840293656511058</v>
      </c>
      <c r="L79" s="257">
        <f>Results!J81</f>
        <v>0.2005713507068527</v>
      </c>
      <c r="Q79"/>
      <c r="S79"/>
      <c r="T79"/>
      <c r="U79"/>
      <c r="V79"/>
      <c r="W79"/>
    </row>
    <row r="80" spans="1:23" ht="15.75" thickBot="1">
      <c r="A80" s="27" t="s">
        <v>725</v>
      </c>
      <c r="B80" s="253" t="str">
        <f>Results!A82</f>
        <v>Windo19</v>
      </c>
      <c r="C80" s="254" t="str">
        <f>Results!B82</f>
        <v>Windows19</v>
      </c>
      <c r="D80" s="254" t="str">
        <f>Results!C82</f>
        <v>Windows</v>
      </c>
      <c r="E80" s="254">
        <f>Results!D82</f>
        <v>19</v>
      </c>
      <c r="F80" s="254" t="str">
        <f>Results!E82</f>
        <v>Class 35</v>
      </c>
      <c r="G80" s="254" t="str">
        <f>Results!F82</f>
        <v>Class 22</v>
      </c>
      <c r="H80" s="313" t="str">
        <f>Results!G82</f>
        <v>Heating Zone 2</v>
      </c>
      <c r="I80" s="254" t="str">
        <f>Results!H82</f>
        <v>Windows - Class 35 to Class 22 - Heating Zone 2</v>
      </c>
      <c r="J80" s="233" t="s">
        <v>529</v>
      </c>
      <c r="K80" s="256">
        <f>Results!I82</f>
        <v>4.3380964006549396</v>
      </c>
      <c r="L80" s="257">
        <f>Results!J82</f>
        <v>1.3679124970930993E-2</v>
      </c>
      <c r="Q80"/>
      <c r="S80"/>
      <c r="T80"/>
      <c r="U80"/>
      <c r="V80"/>
      <c r="W80"/>
    </row>
    <row r="81" spans="1:23" ht="15.75" thickBot="1">
      <c r="A81" s="27" t="s">
        <v>726</v>
      </c>
      <c r="B81" s="253" t="str">
        <f>Results!A83</f>
        <v>Windo20</v>
      </c>
      <c r="C81" s="254" t="str">
        <f>Results!B83</f>
        <v>Windows20</v>
      </c>
      <c r="D81" s="254" t="str">
        <f>Results!C83</f>
        <v>Windows</v>
      </c>
      <c r="E81" s="254">
        <f>Results!D83</f>
        <v>20</v>
      </c>
      <c r="F81" s="254" t="str">
        <f>Results!E83</f>
        <v>Single Pane</v>
      </c>
      <c r="G81" s="254" t="str">
        <f>Results!F83</f>
        <v>Class 22</v>
      </c>
      <c r="H81" s="313" t="str">
        <f>Results!G83</f>
        <v>Heating Zone 2</v>
      </c>
      <c r="I81" s="254" t="str">
        <f>Results!H83</f>
        <v>Windows - Single Pane to Class 22 - Heating Zone 2</v>
      </c>
      <c r="J81" s="233" t="s">
        <v>529</v>
      </c>
      <c r="K81" s="256">
        <f>Results!I83</f>
        <v>31.584191708553824</v>
      </c>
      <c r="L81" s="257">
        <f>Results!J83</f>
        <v>0.1578811421380252</v>
      </c>
      <c r="Q81"/>
      <c r="S81"/>
      <c r="T81"/>
      <c r="U81"/>
      <c r="V81"/>
      <c r="W81"/>
    </row>
    <row r="82" spans="1:23" ht="15.75" thickBot="1">
      <c r="A82" s="27" t="s">
        <v>727</v>
      </c>
      <c r="B82" s="253" t="str">
        <f>Results!A84</f>
        <v>Windo21</v>
      </c>
      <c r="C82" s="254" t="str">
        <f>Results!B84</f>
        <v>Windows21</v>
      </c>
      <c r="D82" s="254" t="str">
        <f>Results!C84</f>
        <v>Windows</v>
      </c>
      <c r="E82" s="254">
        <f>Results!D84</f>
        <v>21</v>
      </c>
      <c r="F82" s="254" t="str">
        <f>Results!E84</f>
        <v>Double Pane</v>
      </c>
      <c r="G82" s="254" t="str">
        <f>Results!F84</f>
        <v>Class 22</v>
      </c>
      <c r="H82" s="313" t="str">
        <f>Results!G84</f>
        <v>Heating Zone 2</v>
      </c>
      <c r="I82" s="254" t="str">
        <f>Results!H84</f>
        <v>Windows - Double Pane to Class 22 - Heating Zone 2</v>
      </c>
      <c r="J82" s="233" t="s">
        <v>529</v>
      </c>
      <c r="K82" s="256">
        <f>Results!I84</f>
        <v>18.803869294571719</v>
      </c>
      <c r="L82" s="257">
        <f>Results!J84</f>
        <v>0.19875859984394831</v>
      </c>
      <c r="Q82"/>
      <c r="S82"/>
      <c r="T82"/>
      <c r="U82"/>
      <c r="V82"/>
      <c r="W82"/>
    </row>
    <row r="83" spans="1:23" ht="15.75" thickBot="1">
      <c r="A83" s="27" t="s">
        <v>728</v>
      </c>
      <c r="B83" s="253" t="str">
        <f>Results!A85</f>
        <v>Windo22</v>
      </c>
      <c r="C83" s="254" t="str">
        <f>Results!B85</f>
        <v>Windows22</v>
      </c>
      <c r="D83" s="254" t="str">
        <f>Results!C85</f>
        <v>Windows</v>
      </c>
      <c r="E83" s="254">
        <f>Results!D85</f>
        <v>22</v>
      </c>
      <c r="F83" s="254" t="str">
        <f>Results!E85</f>
        <v>Single Pane</v>
      </c>
      <c r="G83" s="254" t="str">
        <f>Results!F85</f>
        <v>Class 30</v>
      </c>
      <c r="H83" s="313" t="str">
        <f>Results!G85</f>
        <v>Heating Zone 2</v>
      </c>
      <c r="I83" s="254" t="str">
        <f>Results!H85</f>
        <v>Windows - Single Pane to Class 30 - Heating Zone 2</v>
      </c>
      <c r="J83" s="233" t="s">
        <v>529</v>
      </c>
      <c r="K83" s="247">
        <f>Results!I85</f>
        <v>29.003104061877561</v>
      </c>
      <c r="L83" s="248">
        <f>Results!J85</f>
        <v>0.14763775750171543</v>
      </c>
      <c r="Q83"/>
      <c r="S83"/>
      <c r="T83"/>
      <c r="U83"/>
      <c r="V83"/>
      <c r="W83"/>
    </row>
    <row r="84" spans="1:23" ht="15.75" thickBot="1">
      <c r="A84" s="27" t="s">
        <v>729</v>
      </c>
      <c r="B84" s="253" t="str">
        <f>Results!A86</f>
        <v>Windo23</v>
      </c>
      <c r="C84" s="254" t="str">
        <f>Results!B86</f>
        <v>Windows23</v>
      </c>
      <c r="D84" s="254" t="str">
        <f>Results!C86</f>
        <v>Windows</v>
      </c>
      <c r="E84" s="254">
        <f>Results!D86</f>
        <v>23</v>
      </c>
      <c r="F84" s="254" t="str">
        <f>Results!E86</f>
        <v>Double Pane</v>
      </c>
      <c r="G84" s="254" t="str">
        <f>Results!F86</f>
        <v>Class 30</v>
      </c>
      <c r="H84" s="313" t="str">
        <f>Results!G86</f>
        <v>Heating Zone 2</v>
      </c>
      <c r="I84" s="254" t="str">
        <f>Results!H86</f>
        <v>Windows - Double Pane to Class 30 - Heating Zone 2</v>
      </c>
      <c r="J84" s="233" t="s">
        <v>529</v>
      </c>
      <c r="K84" s="247">
        <f>Results!I86</f>
        <v>16.222781647895456</v>
      </c>
      <c r="L84" s="248">
        <f>Results!J86</f>
        <v>0.18851521520763859</v>
      </c>
      <c r="Q84"/>
      <c r="S84"/>
      <c r="T84"/>
      <c r="U84"/>
      <c r="V84"/>
      <c r="W84"/>
    </row>
    <row r="85" spans="1:23" ht="15.75" thickBot="1">
      <c r="A85" s="27" t="s">
        <v>730</v>
      </c>
      <c r="B85" s="253" t="str">
        <f>Results!A87</f>
        <v>Windo24</v>
      </c>
      <c r="C85" s="254" t="str">
        <f>Results!B87</f>
        <v>Windows24</v>
      </c>
      <c r="D85" s="254" t="str">
        <f>Results!C87</f>
        <v>Windows</v>
      </c>
      <c r="E85" s="254">
        <f>Results!D87</f>
        <v>24</v>
      </c>
      <c r="F85" s="254" t="str">
        <f>Results!E87</f>
        <v>Class 35</v>
      </c>
      <c r="G85" s="254" t="str">
        <f>Results!F87</f>
        <v>Class 30</v>
      </c>
      <c r="H85" s="313" t="str">
        <f>Results!G87</f>
        <v>Heating Zone 2</v>
      </c>
      <c r="I85" s="254" t="str">
        <f>Results!H87</f>
        <v>Windows - Class 35 to Class 30 - Heating Zone 2</v>
      </c>
      <c r="J85" s="233" t="s">
        <v>529</v>
      </c>
      <c r="K85" s="247">
        <f>Results!I87</f>
        <v>1.7570087539786754</v>
      </c>
      <c r="L85" s="248">
        <f>Results!J87</f>
        <v>3.4357403346212409E-3</v>
      </c>
      <c r="Q85"/>
      <c r="S85"/>
      <c r="T85"/>
      <c r="U85"/>
      <c r="V85"/>
      <c r="W85"/>
    </row>
    <row r="86" spans="1:23" ht="15.75" thickBot="1">
      <c r="A86" s="27" t="s">
        <v>731</v>
      </c>
      <c r="B86" s="297" t="str">
        <f>Results!A88</f>
        <v>Infil10</v>
      </c>
      <c r="C86" s="298" t="str">
        <f>Results!B88</f>
        <v>Infiltration10</v>
      </c>
      <c r="D86" s="298" t="str">
        <f>Results!C88</f>
        <v>Infiltration</v>
      </c>
      <c r="E86" s="298">
        <f>Results!D88</f>
        <v>10</v>
      </c>
      <c r="F86" s="298" t="str">
        <f>Results!E88</f>
        <v>0.45 ACHn</v>
      </c>
      <c r="G86" s="298" t="str">
        <f>Results!F88</f>
        <v>0.35 ACHn</v>
      </c>
      <c r="H86" s="314" t="str">
        <f>Results!G88</f>
        <v>Heating Zone 2</v>
      </c>
      <c r="I86" s="298" t="str">
        <f>Results!H88</f>
        <v>Infiltration Reduction - 0.45 ACHn to 0.35 ACHn - Heating Zone 2</v>
      </c>
      <c r="J86" s="233" t="s">
        <v>529</v>
      </c>
      <c r="K86" s="283">
        <f>Results!I88</f>
        <v>0</v>
      </c>
      <c r="L86" s="284">
        <f>Results!J88</f>
        <v>0</v>
      </c>
      <c r="Q86"/>
      <c r="S86"/>
      <c r="T86"/>
      <c r="U86"/>
      <c r="V86"/>
      <c r="W86"/>
    </row>
    <row r="87" spans="1:23" ht="15.75" thickBot="1">
      <c r="A87" s="27" t="s">
        <v>732</v>
      </c>
      <c r="B87" s="253" t="str">
        <f>Results!A89</f>
        <v>Infil11</v>
      </c>
      <c r="C87" s="254" t="str">
        <f>Results!B89</f>
        <v>Infiltration11</v>
      </c>
      <c r="D87" s="254" t="str">
        <f>Results!C89</f>
        <v>Infiltration</v>
      </c>
      <c r="E87" s="254">
        <f>Results!D89</f>
        <v>11</v>
      </c>
      <c r="F87" s="254" t="str">
        <f>Results!E89</f>
        <v>0.45 ACHn</v>
      </c>
      <c r="G87" s="254" t="str">
        <f>Results!F89</f>
        <v>0.20 ACHn</v>
      </c>
      <c r="H87" s="313" t="str">
        <f>Results!G89</f>
        <v>Heating Zone 2</v>
      </c>
      <c r="I87" s="254" t="str">
        <f>Results!H89</f>
        <v>Infiltration Reduction - 0.45 ACHn to 0.20 ACHn - Heating Zone 2</v>
      </c>
      <c r="J87" s="233" t="s">
        <v>529</v>
      </c>
      <c r="K87" s="256">
        <f>Results!I89</f>
        <v>0</v>
      </c>
      <c r="L87" s="257">
        <f>Results!J89</f>
        <v>0</v>
      </c>
      <c r="Q87"/>
      <c r="S87"/>
      <c r="T87"/>
      <c r="U87"/>
      <c r="V87"/>
      <c r="W87"/>
    </row>
    <row r="88" spans="1:23" ht="15.75" thickBot="1">
      <c r="A88" s="27" t="s">
        <v>733</v>
      </c>
      <c r="B88" s="290" t="str">
        <f>Results!A90</f>
        <v>Infil12</v>
      </c>
      <c r="C88" s="291" t="str">
        <f>Results!B90</f>
        <v>Infiltration12</v>
      </c>
      <c r="D88" s="291" t="str">
        <f>Results!C90</f>
        <v>Infiltration</v>
      </c>
      <c r="E88" s="291">
        <f>Results!D90</f>
        <v>12</v>
      </c>
      <c r="F88" s="291" t="str">
        <f>Results!E90</f>
        <v>0.35 ACHn</v>
      </c>
      <c r="G88" s="291" t="str">
        <f>Results!F90</f>
        <v>0.20 ACHn</v>
      </c>
      <c r="H88" s="315" t="str">
        <f>Results!G90</f>
        <v>Heating Zone 2</v>
      </c>
      <c r="I88" s="291" t="str">
        <f>Results!H90</f>
        <v>Infiltration Reduction - 0.35 ACHn to 0.20 ACHn - Heating Zone 2</v>
      </c>
      <c r="J88" s="233" t="s">
        <v>529</v>
      </c>
      <c r="K88" s="293">
        <f>Results!I90</f>
        <v>0</v>
      </c>
      <c r="L88" s="294">
        <f>Results!J90</f>
        <v>0</v>
      </c>
      <c r="Q88"/>
      <c r="S88"/>
      <c r="T88"/>
      <c r="U88"/>
      <c r="V88"/>
      <c r="W88"/>
    </row>
    <row r="89" spans="1:23" ht="15.75" thickBot="1">
      <c r="A89" s="27" t="s">
        <v>734</v>
      </c>
      <c r="B89" s="253" t="str">
        <f>Results!A91</f>
        <v>DuctT10</v>
      </c>
      <c r="C89" s="254" t="str">
        <f>Results!B91</f>
        <v>DuctTightness10</v>
      </c>
      <c r="D89" s="254" t="str">
        <f>Results!C91</f>
        <v>DuctTightness</v>
      </c>
      <c r="E89" s="254">
        <f>Results!D91</f>
        <v>10</v>
      </c>
      <c r="F89" s="254" t="str">
        <f>Results!E91</f>
        <v>Std-crawl</v>
      </c>
      <c r="G89" s="254" t="str">
        <f>Results!F91</f>
        <v>PTCS-crawl</v>
      </c>
      <c r="H89" s="254" t="str">
        <f>Results!G91</f>
        <v>Heating Zone 2</v>
      </c>
      <c r="I89" s="254" t="str">
        <f>Results!H91</f>
        <v>DuctTightness - Std-crawl to PTCS-crawl - Heating Zone 2</v>
      </c>
      <c r="J89" s="233" t="s">
        <v>529</v>
      </c>
      <c r="K89" s="295">
        <f>Results!I91</f>
        <v>1635.3257064612476</v>
      </c>
      <c r="L89" s="296">
        <f>Results!J91</f>
        <v>42.725298402003084</v>
      </c>
      <c r="Q89"/>
      <c r="S89"/>
      <c r="T89"/>
      <c r="U89"/>
      <c r="V89"/>
      <c r="W89"/>
    </row>
    <row r="90" spans="1:23" ht="15.75" thickBot="1">
      <c r="A90" s="27" t="s">
        <v>735</v>
      </c>
      <c r="B90" s="297" t="str">
        <f>Results!A92</f>
        <v>DuctI10</v>
      </c>
      <c r="C90" s="298" t="str">
        <f>Results!B92</f>
        <v>DuctInsulation10</v>
      </c>
      <c r="D90" s="298" t="str">
        <f>Results!C92</f>
        <v>DuctInsulation</v>
      </c>
      <c r="E90" s="298">
        <f>Results!D92</f>
        <v>10</v>
      </c>
      <c r="F90" s="298" t="str">
        <f>Results!E92</f>
        <v>R-0</v>
      </c>
      <c r="G90" s="298" t="str">
        <f>Results!F92</f>
        <v>R-4.2</v>
      </c>
      <c r="H90" s="298" t="str">
        <f>Results!G92</f>
        <v>Heating Zone 2</v>
      </c>
      <c r="I90" s="298" t="str">
        <f>Results!H92</f>
        <v>DuctInsulation - R-0 to R-4.2 - Heating Zone 2</v>
      </c>
      <c r="J90" s="233" t="s">
        <v>529</v>
      </c>
      <c r="K90" s="299">
        <f>Results!I92</f>
        <v>135.03324674563294</v>
      </c>
      <c r="L90" s="300">
        <f>Results!J92</f>
        <v>2.7914565299401692</v>
      </c>
      <c r="Q90"/>
      <c r="S90"/>
      <c r="T90"/>
      <c r="U90"/>
      <c r="V90"/>
      <c r="W90"/>
    </row>
    <row r="91" spans="1:23" ht="15.75" thickBot="1">
      <c r="A91" s="27" t="s">
        <v>736</v>
      </c>
      <c r="B91" s="253" t="str">
        <f>Results!A93</f>
        <v>DuctI11</v>
      </c>
      <c r="C91" s="254" t="str">
        <f>Results!B93</f>
        <v>DuctInsulation11</v>
      </c>
      <c r="D91" s="254" t="str">
        <f>Results!C93</f>
        <v>DuctInsulation</v>
      </c>
      <c r="E91" s="254">
        <f>Results!D93</f>
        <v>11</v>
      </c>
      <c r="F91" s="254" t="str">
        <f>Results!E93</f>
        <v>R-0</v>
      </c>
      <c r="G91" s="254" t="str">
        <f>Results!F93</f>
        <v>R-11</v>
      </c>
      <c r="H91" s="254" t="str">
        <f>Results!G93</f>
        <v>Heating Zone 2</v>
      </c>
      <c r="I91" s="254" t="str">
        <f>Results!H93</f>
        <v>DuctInsulation - R-0 to R-11 - Heating Zone 2</v>
      </c>
      <c r="J91" s="233" t="s">
        <v>529</v>
      </c>
      <c r="K91" s="301">
        <f>Results!I93</f>
        <v>187.27976808104444</v>
      </c>
      <c r="L91" s="302">
        <f>Results!J93</f>
        <v>3.8600643940086621</v>
      </c>
      <c r="Q91"/>
      <c r="S91"/>
      <c r="T91"/>
      <c r="U91"/>
      <c r="V91"/>
      <c r="W91"/>
    </row>
    <row r="92" spans="1:23" ht="15.75" thickBot="1">
      <c r="A92" s="27" t="s">
        <v>737</v>
      </c>
      <c r="B92" s="290" t="str">
        <f>Results!A94</f>
        <v>DuctI12</v>
      </c>
      <c r="C92" s="291" t="str">
        <f>Results!B94</f>
        <v>DuctInsulation12</v>
      </c>
      <c r="D92" s="291" t="str">
        <f>Results!C94</f>
        <v>DuctInsulation</v>
      </c>
      <c r="E92" s="291">
        <f>Results!D94</f>
        <v>12</v>
      </c>
      <c r="F92" s="291" t="str">
        <f>Results!E94</f>
        <v>R-4.2</v>
      </c>
      <c r="G92" s="291" t="str">
        <f>Results!F94</f>
        <v>R-11</v>
      </c>
      <c r="H92" s="291" t="str">
        <f>Results!G94</f>
        <v>Heating Zone 2</v>
      </c>
      <c r="I92" s="291" t="str">
        <f>Results!H94</f>
        <v>DuctInsulation - R-4.2 to R-11 - Heating Zone 2</v>
      </c>
      <c r="J92" s="233" t="s">
        <v>529</v>
      </c>
      <c r="K92" s="303">
        <f>Results!I94</f>
        <v>52.246521335411536</v>
      </c>
      <c r="L92" s="304">
        <f>Results!J94</f>
        <v>1.0686078640684933</v>
      </c>
      <c r="Q92"/>
      <c r="S92"/>
      <c r="T92"/>
      <c r="U92"/>
      <c r="V92"/>
      <c r="W92"/>
    </row>
    <row r="93" spans="1:23" ht="15.75" thickBot="1">
      <c r="A93" s="27" t="s">
        <v>738</v>
      </c>
      <c r="B93" s="253" t="str">
        <f>Results!A95</f>
        <v>HeatP10</v>
      </c>
      <c r="C93" s="254" t="str">
        <f>Results!B95</f>
        <v>HeatPump10</v>
      </c>
      <c r="D93" s="254" t="str">
        <f>Results!C95</f>
        <v>HeatPump</v>
      </c>
      <c r="E93" s="254">
        <f>Results!D95</f>
        <v>10</v>
      </c>
      <c r="F93" s="254" t="str">
        <f>Results!E95</f>
        <v>7.7/13</v>
      </c>
      <c r="G93" s="254" t="str">
        <f>Results!F95</f>
        <v>8.5/13</v>
      </c>
      <c r="H93" s="254" t="str">
        <f>Results!G95</f>
        <v>Heating Zone 2</v>
      </c>
      <c r="I93" s="254" t="str">
        <f>Results!H95</f>
        <v>HeatPump Upgrade - 7.7/13 to 8.5/13 - Heating Zone 2</v>
      </c>
      <c r="J93" s="233" t="s">
        <v>529</v>
      </c>
      <c r="K93" s="301">
        <f>Results!I95</f>
        <v>0</v>
      </c>
      <c r="L93" s="302">
        <f>Results!J95</f>
        <v>0</v>
      </c>
      <c r="Q93"/>
      <c r="S93"/>
      <c r="T93"/>
      <c r="U93"/>
      <c r="V93"/>
      <c r="W93"/>
    </row>
    <row r="94" spans="1:23" ht="15.75" thickBot="1">
      <c r="A94" s="27" t="s">
        <v>739</v>
      </c>
      <c r="B94" s="253" t="str">
        <f>Results!A96</f>
        <v>HeatP11</v>
      </c>
      <c r="C94" s="254" t="str">
        <f>Results!B96</f>
        <v>HeatPump11</v>
      </c>
      <c r="D94" s="254" t="str">
        <f>Results!C96</f>
        <v>HeatPump</v>
      </c>
      <c r="E94" s="254">
        <f>Results!D96</f>
        <v>11</v>
      </c>
      <c r="F94" s="254" t="str">
        <f>Results!E96</f>
        <v>7.7/13</v>
      </c>
      <c r="G94" s="254" t="str">
        <f>Results!F96</f>
        <v>9.0/14</v>
      </c>
      <c r="H94" s="254" t="str">
        <f>Results!G96</f>
        <v>Heating Zone 2</v>
      </c>
      <c r="I94" s="254" t="str">
        <f>Results!H96</f>
        <v>HeatPump Upgrade - 7.7/13 to 9.0/14 - Heating Zone 2</v>
      </c>
      <c r="J94" s="233" t="s">
        <v>529</v>
      </c>
      <c r="K94" s="301">
        <f>Results!I96</f>
        <v>0</v>
      </c>
      <c r="L94" s="302">
        <f>Results!J96</f>
        <v>0</v>
      </c>
      <c r="Q94"/>
      <c r="S94"/>
      <c r="T94"/>
      <c r="U94"/>
      <c r="V94"/>
      <c r="W94"/>
    </row>
    <row r="95" spans="1:23" ht="15.75" thickBot="1">
      <c r="A95" s="27" t="s">
        <v>740</v>
      </c>
      <c r="B95" s="253" t="str">
        <f>Results!A97</f>
        <v>HeatP12</v>
      </c>
      <c r="C95" s="254" t="str">
        <f>Results!B97</f>
        <v>HeatPump12</v>
      </c>
      <c r="D95" s="254" t="str">
        <f>Results!C97</f>
        <v>HeatPump</v>
      </c>
      <c r="E95" s="254">
        <f>Results!D97</f>
        <v>12</v>
      </c>
      <c r="F95" s="254" t="str">
        <f>Results!E97</f>
        <v>7.7/13</v>
      </c>
      <c r="G95" s="254" t="str">
        <f>Results!F97</f>
        <v>8.2/13</v>
      </c>
      <c r="H95" s="254" t="str">
        <f>Results!G97</f>
        <v>Heating Zone 2</v>
      </c>
      <c r="I95" s="254" t="str">
        <f>Results!H97</f>
        <v>HeatPump Upgrade - 7.7/13 to 8.2/13 - Heating Zone 2</v>
      </c>
      <c r="J95" s="233" t="s">
        <v>529</v>
      </c>
      <c r="K95" s="301">
        <f>Results!I97</f>
        <v>0</v>
      </c>
      <c r="L95" s="302">
        <f>Results!J97</f>
        <v>0</v>
      </c>
      <c r="Q95"/>
      <c r="S95"/>
      <c r="T95"/>
      <c r="U95"/>
      <c r="V95"/>
      <c r="W95"/>
    </row>
    <row r="96" spans="1:23" ht="15.75" thickBot="1">
      <c r="A96" s="27" t="s">
        <v>741</v>
      </c>
      <c r="B96" s="316" t="str">
        <f>Results!A98</f>
        <v>HPCnt10</v>
      </c>
      <c r="C96" s="317" t="str">
        <f>Results!B98</f>
        <v>HPCntrls10</v>
      </c>
      <c r="D96" s="317" t="str">
        <f>Results!C98</f>
        <v>HPCntrls</v>
      </c>
      <c r="E96" s="317">
        <f>Results!D98</f>
        <v>10</v>
      </c>
      <c r="F96" s="317" t="str">
        <f>Results!E98</f>
        <v>Standard</v>
      </c>
      <c r="G96" s="317" t="str">
        <f>Results!F98</f>
        <v>PTCS</v>
      </c>
      <c r="H96" s="317" t="str">
        <f>Results!G98</f>
        <v>Heating Zone 2</v>
      </c>
      <c r="I96" s="317" t="str">
        <f>Results!H98</f>
        <v>HPCntrls Upgrade - Standard to PTCS - Heating Zone 2</v>
      </c>
      <c r="J96" s="233" t="s">
        <v>529</v>
      </c>
      <c r="K96" s="318">
        <f>Results!I98</f>
        <v>0</v>
      </c>
      <c r="L96" s="319">
        <f>Results!J98</f>
        <v>0</v>
      </c>
      <c r="Q96"/>
      <c r="S96"/>
      <c r="T96"/>
      <c r="U96"/>
      <c r="V96"/>
      <c r="W96"/>
    </row>
    <row r="97" spans="1:23" ht="15.75" thickBot="1">
      <c r="A97" s="27" t="s">
        <v>742</v>
      </c>
      <c r="B97" s="309" t="str">
        <f>Results!A99</f>
        <v>Walls10</v>
      </c>
      <c r="C97" s="310" t="str">
        <f>Results!B99</f>
        <v>Walls10</v>
      </c>
      <c r="D97" s="310" t="str">
        <f>Results!C99</f>
        <v>Walls</v>
      </c>
      <c r="E97" s="310">
        <f>Results!D99</f>
        <v>10</v>
      </c>
      <c r="F97" s="310" t="str">
        <f>Results!E99</f>
        <v>R-0</v>
      </c>
      <c r="G97" s="310" t="str">
        <f>Results!F99</f>
        <v>R-11</v>
      </c>
      <c r="H97" s="320" t="str">
        <f>Results!G99</f>
        <v>Heating Zone 3</v>
      </c>
      <c r="I97" s="310" t="str">
        <f>Results!H99</f>
        <v>Multi Family Weatherization - Insulate Walls - R-0 to R-11 - Heating Zone 3</v>
      </c>
      <c r="J97" s="233" t="s">
        <v>529</v>
      </c>
      <c r="K97" s="235">
        <f>Results!I99</f>
        <v>2.109214600777702</v>
      </c>
      <c r="L97" s="236">
        <f>Results!J99</f>
        <v>-5.2164753425606352E-4</v>
      </c>
      <c r="Q97"/>
      <c r="S97"/>
      <c r="T97"/>
      <c r="U97"/>
      <c r="V97"/>
      <c r="W97"/>
    </row>
    <row r="98" spans="1:23" ht="15.75" thickBot="1">
      <c r="A98" s="27" t="s">
        <v>743</v>
      </c>
      <c r="B98" s="239" t="str">
        <f>Results!A100</f>
        <v>BGWal10</v>
      </c>
      <c r="C98" s="240" t="str">
        <f>Results!B100</f>
        <v>BGWalls10</v>
      </c>
      <c r="D98" s="240" t="str">
        <f>Results!C100</f>
        <v>BGWalls</v>
      </c>
      <c r="E98" s="240">
        <f>Results!D100</f>
        <v>10</v>
      </c>
      <c r="F98" s="240" t="str">
        <f>Results!E100</f>
        <v>R-0</v>
      </c>
      <c r="G98" s="240" t="str">
        <f>Results!F100</f>
        <v>R-11</v>
      </c>
      <c r="H98" s="321" t="str">
        <f>Results!G100</f>
        <v>Heating Zone 3</v>
      </c>
      <c r="I98" s="240" t="str">
        <f>Results!H100</f>
        <v>Multi Family Weatherization - Insulate BGWalls - R-0 to R-11 - Heating Zone 3</v>
      </c>
      <c r="J98" s="233" t="s">
        <v>529</v>
      </c>
      <c r="K98" s="242">
        <f>Results!I100</f>
        <v>0</v>
      </c>
      <c r="L98" s="243">
        <f>Results!J100</f>
        <v>0</v>
      </c>
      <c r="Q98"/>
      <c r="S98"/>
      <c r="T98"/>
      <c r="U98"/>
      <c r="V98"/>
      <c r="W98"/>
    </row>
    <row r="99" spans="1:23" ht="15.75" thickBot="1">
      <c r="A99" s="27" t="s">
        <v>744</v>
      </c>
      <c r="B99" s="253" t="str">
        <f>Results!A101</f>
        <v>Floor10</v>
      </c>
      <c r="C99" s="254" t="str">
        <f>Results!B101</f>
        <v>Floors10</v>
      </c>
      <c r="D99" s="254" t="str">
        <f>Results!C101</f>
        <v>Floors</v>
      </c>
      <c r="E99" s="254">
        <f>Results!D101</f>
        <v>10</v>
      </c>
      <c r="F99" s="254" t="str">
        <f>Results!E101</f>
        <v>R-0</v>
      </c>
      <c r="G99" s="254" t="str">
        <f>Results!F101</f>
        <v>R-19</v>
      </c>
      <c r="H99" s="322" t="str">
        <f>Results!G101</f>
        <v>Heating Zone 3</v>
      </c>
      <c r="I99" s="254" t="str">
        <f>Results!H101</f>
        <v>Multi Family Weatherization - Insulate Floors - R-0 to R-19 - Heating Zone 3</v>
      </c>
      <c r="J99" s="233" t="s">
        <v>529</v>
      </c>
      <c r="K99" s="247">
        <f>Results!I101</f>
        <v>0.83339424545466378</v>
      </c>
      <c r="L99" s="248">
        <f>Results!J101</f>
        <v>-8.3178112628727579E-3</v>
      </c>
      <c r="Q99"/>
      <c r="S99"/>
      <c r="T99"/>
      <c r="U99"/>
      <c r="V99"/>
      <c r="W99"/>
    </row>
    <row r="100" spans="1:23" ht="15.75" thickBot="1">
      <c r="A100" s="27" t="s">
        <v>745</v>
      </c>
      <c r="B100" s="253" t="str">
        <f>Results!A102</f>
        <v>Floor11</v>
      </c>
      <c r="C100" s="254" t="str">
        <f>Results!B102</f>
        <v>Floors11</v>
      </c>
      <c r="D100" s="254" t="str">
        <f>Results!C102</f>
        <v>Floors</v>
      </c>
      <c r="E100" s="254">
        <f>Results!D102</f>
        <v>11</v>
      </c>
      <c r="F100" s="254" t="str">
        <f>Results!E102</f>
        <v>R-0</v>
      </c>
      <c r="G100" s="254" t="str">
        <f>Results!F102</f>
        <v>R-25</v>
      </c>
      <c r="H100" s="322" t="str">
        <f>Results!G102</f>
        <v>Heating Zone 3</v>
      </c>
      <c r="I100" s="254" t="str">
        <f>Results!H102</f>
        <v>Multi Family Weatherization - Insulate Floors - R-0 to R-25 - Heating Zone 3</v>
      </c>
      <c r="J100" s="233" t="s">
        <v>529</v>
      </c>
      <c r="K100" s="256">
        <f>Results!I102</f>
        <v>0.95701776251211657</v>
      </c>
      <c r="L100" s="257">
        <f>Results!J102</f>
        <v>-9.6697481388045483E-3</v>
      </c>
      <c r="Q100"/>
      <c r="S100"/>
      <c r="T100"/>
      <c r="U100"/>
      <c r="V100"/>
      <c r="W100"/>
    </row>
    <row r="101" spans="1:23" ht="15.75" thickBot="1">
      <c r="A101" s="27" t="s">
        <v>746</v>
      </c>
      <c r="B101" s="253" t="str">
        <f>Results!A103</f>
        <v>Floor12</v>
      </c>
      <c r="C101" s="254" t="str">
        <f>Results!B103</f>
        <v>Floors12</v>
      </c>
      <c r="D101" s="254" t="str">
        <f>Results!C103</f>
        <v>Floors</v>
      </c>
      <c r="E101" s="254">
        <f>Results!D103</f>
        <v>12</v>
      </c>
      <c r="F101" s="254" t="str">
        <f>Results!E103</f>
        <v>R-0</v>
      </c>
      <c r="G101" s="254" t="str">
        <f>Results!F103</f>
        <v>R-30</v>
      </c>
      <c r="H101" s="322" t="str">
        <f>Results!G103</f>
        <v>Heating Zone 3</v>
      </c>
      <c r="I101" s="254" t="str">
        <f>Results!H103</f>
        <v>Multi Family Weatherization - Insulate Floors - R-0 to R-30 - Heating Zone 3</v>
      </c>
      <c r="J101" s="233" t="s">
        <v>529</v>
      </c>
      <c r="K101" s="247">
        <f>Results!I103</f>
        <v>1.0877530453343773</v>
      </c>
      <c r="L101" s="248">
        <f>Results!J103</f>
        <v>-1.1135899772149399E-2</v>
      </c>
      <c r="Q101"/>
      <c r="S101"/>
      <c r="T101"/>
      <c r="U101"/>
      <c r="V101"/>
      <c r="W101"/>
    </row>
    <row r="102" spans="1:23" ht="15.75" thickBot="1">
      <c r="A102" s="27" t="s">
        <v>747</v>
      </c>
      <c r="B102" s="253" t="str">
        <f>Results!A104</f>
        <v>Floor13</v>
      </c>
      <c r="C102" s="254" t="str">
        <f>Results!B104</f>
        <v>Floors13</v>
      </c>
      <c r="D102" s="254" t="str">
        <f>Results!C104</f>
        <v>Floors</v>
      </c>
      <c r="E102" s="254">
        <f>Results!D104</f>
        <v>13</v>
      </c>
      <c r="F102" s="254" t="str">
        <f>Results!E104</f>
        <v>R-0</v>
      </c>
      <c r="G102" s="254" t="str">
        <f>Results!F104</f>
        <v>R-38</v>
      </c>
      <c r="H102" s="322" t="str">
        <f>Results!G104</f>
        <v>Heating Zone 3</v>
      </c>
      <c r="I102" s="254" t="str">
        <f>Results!H104</f>
        <v>Multi Family Weatherization - Insulate Floors - R-0 to R-38 - Heating Zone 3</v>
      </c>
      <c r="J102" s="233" t="s">
        <v>529</v>
      </c>
      <c r="K102" s="256">
        <f>Results!I104</f>
        <v>1.1226093869339542</v>
      </c>
      <c r="L102" s="257">
        <f>Results!J104</f>
        <v>-1.1532365517854224E-2</v>
      </c>
      <c r="Q102"/>
      <c r="S102"/>
      <c r="T102"/>
      <c r="U102"/>
      <c r="V102"/>
      <c r="W102"/>
    </row>
    <row r="103" spans="1:23" ht="15.75" thickBot="1">
      <c r="A103" s="27" t="s">
        <v>748</v>
      </c>
      <c r="B103" s="253" t="str">
        <f>Results!A105</f>
        <v>Floor14</v>
      </c>
      <c r="C103" s="254" t="str">
        <f>Results!B105</f>
        <v>Floors14</v>
      </c>
      <c r="D103" s="254" t="str">
        <f>Results!C105</f>
        <v>Floors</v>
      </c>
      <c r="E103" s="254">
        <f>Results!D105</f>
        <v>14</v>
      </c>
      <c r="F103" s="254" t="str">
        <f>Results!E105</f>
        <v>R-19</v>
      </c>
      <c r="G103" s="254" t="str">
        <f>Results!F105</f>
        <v>R-25</v>
      </c>
      <c r="H103" s="322" t="str">
        <f>Results!G105</f>
        <v>Heating Zone 3</v>
      </c>
      <c r="I103" s="254" t="str">
        <f>Results!H105</f>
        <v>Multi Family Weatherization - Insulate Floors - R-19 to R-25 - Heating Zone 3</v>
      </c>
      <c r="J103" s="233" t="s">
        <v>529</v>
      </c>
      <c r="K103" s="256">
        <f>Results!I105</f>
        <v>0.12362351705745264</v>
      </c>
      <c r="L103" s="257">
        <f>Results!J105</f>
        <v>-1.3519368759317917E-3</v>
      </c>
      <c r="Q103"/>
      <c r="S103"/>
      <c r="T103"/>
      <c r="U103"/>
      <c r="V103"/>
      <c r="W103"/>
    </row>
    <row r="104" spans="1:23" ht="15.75" thickBot="1">
      <c r="A104" s="27" t="s">
        <v>749</v>
      </c>
      <c r="B104" s="253" t="str">
        <f>Results!A106</f>
        <v>Floor15</v>
      </c>
      <c r="C104" s="254" t="str">
        <f>Results!B106</f>
        <v>Floors15</v>
      </c>
      <c r="D104" s="254" t="str">
        <f>Results!C106</f>
        <v>Floors</v>
      </c>
      <c r="E104" s="254">
        <f>Results!D106</f>
        <v>15</v>
      </c>
      <c r="F104" s="254" t="str">
        <f>Results!E106</f>
        <v>R-19</v>
      </c>
      <c r="G104" s="254" t="str">
        <f>Results!F106</f>
        <v>R-30</v>
      </c>
      <c r="H104" s="322" t="str">
        <f>Results!G106</f>
        <v>Heating Zone 3</v>
      </c>
      <c r="I104" s="254" t="str">
        <f>Results!H106</f>
        <v>Multi Family Weatherization - Insulate Floors - R-19 to R-30 - Heating Zone 3</v>
      </c>
      <c r="J104" s="233" t="s">
        <v>529</v>
      </c>
      <c r="K104" s="247">
        <f>Results!I106</f>
        <v>0.25435879987971372</v>
      </c>
      <c r="L104" s="248">
        <f>Results!J106</f>
        <v>-2.8180885092766411E-3</v>
      </c>
      <c r="Q104"/>
      <c r="S104"/>
      <c r="T104"/>
      <c r="U104"/>
      <c r="V104"/>
      <c r="W104"/>
    </row>
    <row r="105" spans="1:23" ht="15.75" thickBot="1">
      <c r="A105" s="27" t="s">
        <v>750</v>
      </c>
      <c r="B105" s="253" t="str">
        <f>Results!A107</f>
        <v>Floor16</v>
      </c>
      <c r="C105" s="254" t="str">
        <f>Results!B107</f>
        <v>Floors16</v>
      </c>
      <c r="D105" s="254" t="str">
        <f>Results!C107</f>
        <v>Floors</v>
      </c>
      <c r="E105" s="254">
        <f>Results!D107</f>
        <v>16</v>
      </c>
      <c r="F105" s="254" t="str">
        <f>Results!E107</f>
        <v>R-19</v>
      </c>
      <c r="G105" s="254" t="str">
        <f>Results!F107</f>
        <v>R-38</v>
      </c>
      <c r="H105" s="322" t="str">
        <f>Results!G107</f>
        <v>Heating Zone 3</v>
      </c>
      <c r="I105" s="254" t="str">
        <f>Results!H107</f>
        <v>Multi Family Weatherization - Insulate Floors - R-19 to R-38 - Heating Zone 3</v>
      </c>
      <c r="J105" s="233" t="s">
        <v>529</v>
      </c>
      <c r="K105" s="256">
        <f>Results!I107</f>
        <v>0.28921514147929034</v>
      </c>
      <c r="L105" s="257">
        <f>Results!J107</f>
        <v>-3.214554254981467E-3</v>
      </c>
      <c r="Q105"/>
      <c r="S105"/>
      <c r="T105"/>
      <c r="U105"/>
      <c r="V105"/>
      <c r="W105"/>
    </row>
    <row r="106" spans="1:23" ht="15.75" thickBot="1">
      <c r="A106" s="27" t="s">
        <v>751</v>
      </c>
      <c r="B106" s="253" t="str">
        <f>Results!A108</f>
        <v>Floor17</v>
      </c>
      <c r="C106" s="254" t="str">
        <f>Results!B108</f>
        <v>Floors17</v>
      </c>
      <c r="D106" s="254" t="str">
        <f>Results!C108</f>
        <v>Floors</v>
      </c>
      <c r="E106" s="254">
        <f>Results!D108</f>
        <v>17</v>
      </c>
      <c r="F106" s="254" t="str">
        <f>Results!E108</f>
        <v>R-11</v>
      </c>
      <c r="G106" s="254" t="str">
        <f>Results!F108</f>
        <v>R-30</v>
      </c>
      <c r="H106" s="322" t="str">
        <f>Results!G108</f>
        <v>Heating Zone 3</v>
      </c>
      <c r="I106" s="254" t="str">
        <f>Results!H108</f>
        <v>Multi Family Weatherization - Insulate Floors - R-11 to R-30 - Heating Zone 3</v>
      </c>
      <c r="J106" s="233" t="s">
        <v>529</v>
      </c>
      <c r="K106" s="256">
        <f>Results!I108</f>
        <v>2.3944215861466112</v>
      </c>
      <c r="L106" s="257">
        <f>Results!J108</f>
        <v>-2.1637779457166946E-2</v>
      </c>
      <c r="Q106"/>
      <c r="S106"/>
      <c r="T106"/>
      <c r="U106"/>
      <c r="V106"/>
      <c r="W106"/>
    </row>
    <row r="107" spans="1:23" ht="15.75" thickBot="1">
      <c r="A107" s="27" t="s">
        <v>744</v>
      </c>
      <c r="B107" s="253" t="str">
        <f>Results!A109</f>
        <v>Floor18</v>
      </c>
      <c r="C107" s="254" t="str">
        <f>Results!B109</f>
        <v>Floors18</v>
      </c>
      <c r="D107" s="254" t="str">
        <f>Results!C109</f>
        <v>Floors</v>
      </c>
      <c r="E107" s="254">
        <f>Results!D109</f>
        <v>18</v>
      </c>
      <c r="F107" s="254" t="str">
        <f>Results!E109</f>
        <v>R-0</v>
      </c>
      <c r="G107" s="254" t="str">
        <f>Results!F109</f>
        <v>R-19</v>
      </c>
      <c r="H107" s="322" t="str">
        <f>Results!G109</f>
        <v>Heating Zone 3</v>
      </c>
      <c r="I107" s="254" t="str">
        <f>Results!H109</f>
        <v>Multi Family Weatherization - Insulate Floors - R-0 to R-19 - Heating Zone 3</v>
      </c>
      <c r="J107" s="233" t="s">
        <v>529</v>
      </c>
      <c r="K107" s="256">
        <f>Results!I109</f>
        <v>0.83339424545466378</v>
      </c>
      <c r="L107" s="257">
        <f>Results!J109</f>
        <v>-8.3178112628727579E-3</v>
      </c>
      <c r="Q107"/>
      <c r="S107"/>
      <c r="T107"/>
      <c r="U107"/>
      <c r="V107"/>
      <c r="W107"/>
    </row>
    <row r="108" spans="1:23" ht="15.75" thickBot="1">
      <c r="A108" s="27" t="s">
        <v>752</v>
      </c>
      <c r="B108" s="297" t="str">
        <f>Results!A110</f>
        <v>Ceili10</v>
      </c>
      <c r="C108" s="298" t="str">
        <f>Results!B110</f>
        <v>Ceiling10</v>
      </c>
      <c r="D108" s="298" t="str">
        <f>Results!C110</f>
        <v>Ceiling</v>
      </c>
      <c r="E108" s="298">
        <f>Results!D110</f>
        <v>10</v>
      </c>
      <c r="F108" s="298" t="str">
        <f>Results!E110</f>
        <v>R-0</v>
      </c>
      <c r="G108" s="298" t="str">
        <f>Results!F110</f>
        <v>R-19</v>
      </c>
      <c r="H108" s="323" t="str">
        <f>Results!G110</f>
        <v>Heating Zone 3</v>
      </c>
      <c r="I108" s="298" t="str">
        <f>Results!H110</f>
        <v>Multi Family Weatherization - Insulate Attic - R-0 to R-19 - Heating Zone 3</v>
      </c>
      <c r="J108" s="233" t="s">
        <v>529</v>
      </c>
      <c r="K108" s="283">
        <f>Results!I110</f>
        <v>0.42394528705302925</v>
      </c>
      <c r="L108" s="284">
        <f>Results!J110</f>
        <v>8.6244233288951099E-3</v>
      </c>
      <c r="Q108"/>
      <c r="S108"/>
      <c r="T108"/>
      <c r="U108"/>
      <c r="V108"/>
      <c r="W108"/>
    </row>
    <row r="109" spans="1:23" ht="15.75" thickBot="1">
      <c r="A109" s="27" t="s">
        <v>753</v>
      </c>
      <c r="B109" s="253" t="str">
        <f>Results!A111</f>
        <v>Ceili11</v>
      </c>
      <c r="C109" s="254" t="str">
        <f>Results!B111</f>
        <v>Ceiling11</v>
      </c>
      <c r="D109" s="254" t="str">
        <f>Results!C111</f>
        <v>Ceiling</v>
      </c>
      <c r="E109" s="254">
        <f>Results!D111</f>
        <v>11</v>
      </c>
      <c r="F109" s="254" t="str">
        <f>Results!E111</f>
        <v>R-0</v>
      </c>
      <c r="G109" s="254" t="str">
        <f>Results!F111</f>
        <v>R-38</v>
      </c>
      <c r="H109" s="322" t="str">
        <f>Results!G111</f>
        <v>Heating Zone 3</v>
      </c>
      <c r="I109" s="254" t="str">
        <f>Results!H111</f>
        <v>Multi Family Weatherization - Insulate Attic - R-0 to R-38 - Heating Zone 3</v>
      </c>
      <c r="J109" s="233" t="s">
        <v>529</v>
      </c>
      <c r="K109" s="247">
        <f>Results!I111</f>
        <v>0.57884041306530343</v>
      </c>
      <c r="L109" s="248">
        <f>Results!J111</f>
        <v>1.1800868323444345E-2</v>
      </c>
      <c r="Q109"/>
      <c r="S109"/>
      <c r="T109"/>
      <c r="U109"/>
      <c r="V109"/>
      <c r="W109"/>
    </row>
    <row r="110" spans="1:23" ht="15.75" thickBot="1">
      <c r="A110" s="27" t="s">
        <v>754</v>
      </c>
      <c r="B110" s="253" t="str">
        <f>Results!A112</f>
        <v>Ceili12</v>
      </c>
      <c r="C110" s="254" t="str">
        <f>Results!B112</f>
        <v>Ceiling12</v>
      </c>
      <c r="D110" s="254" t="str">
        <f>Results!C112</f>
        <v>Ceiling</v>
      </c>
      <c r="E110" s="254">
        <f>Results!D112</f>
        <v>12</v>
      </c>
      <c r="F110" s="254" t="str">
        <f>Results!E112</f>
        <v>R-0</v>
      </c>
      <c r="G110" s="254" t="str">
        <f>Results!F112</f>
        <v>R-49</v>
      </c>
      <c r="H110" s="322" t="str">
        <f>Results!G112</f>
        <v>Heating Zone 3</v>
      </c>
      <c r="I110" s="254" t="str">
        <f>Results!H112</f>
        <v>Multi Family Weatherization - Insulate Attic - R-0 to R-49 - Heating Zone 3</v>
      </c>
      <c r="J110" s="233" t="s">
        <v>529</v>
      </c>
      <c r="K110" s="247">
        <f>Results!I112</f>
        <v>0.6148477955693209</v>
      </c>
      <c r="L110" s="248">
        <f>Results!J112</f>
        <v>1.2544180097439118E-2</v>
      </c>
      <c r="Q110"/>
      <c r="S110"/>
      <c r="T110"/>
      <c r="U110"/>
      <c r="V110"/>
      <c r="W110"/>
    </row>
    <row r="111" spans="1:23" ht="15.75" thickBot="1">
      <c r="A111" s="27" t="s">
        <v>755</v>
      </c>
      <c r="B111" s="253" t="str">
        <f>Results!A113</f>
        <v>Ceili13</v>
      </c>
      <c r="C111" s="254" t="str">
        <f>Results!B113</f>
        <v>Ceiling13</v>
      </c>
      <c r="D111" s="254" t="str">
        <f>Results!C113</f>
        <v>Ceiling</v>
      </c>
      <c r="E111" s="254">
        <f>Results!D113</f>
        <v>13</v>
      </c>
      <c r="F111" s="254" t="str">
        <f>Results!E113</f>
        <v>R-30</v>
      </c>
      <c r="G111" s="254" t="str">
        <f>Results!F113</f>
        <v>R-38</v>
      </c>
      <c r="H111" s="322" t="str">
        <f>Results!G113</f>
        <v>Heating Zone 3</v>
      </c>
      <c r="I111" s="254" t="str">
        <f>Results!H113</f>
        <v>Multi Family Weatherization - Insulate Attic - R-30 to R-38 - Heating Zone 3</v>
      </c>
      <c r="J111" s="233" t="s">
        <v>529</v>
      </c>
      <c r="K111" s="256">
        <f>Results!I113</f>
        <v>4.2703145439583284E-2</v>
      </c>
      <c r="L111" s="257">
        <f>Results!J113</f>
        <v>8.7923454601432317E-4</v>
      </c>
      <c r="Q111"/>
      <c r="S111"/>
      <c r="T111"/>
      <c r="U111"/>
      <c r="V111"/>
      <c r="W111"/>
    </row>
    <row r="112" spans="1:23" ht="15.75" thickBot="1">
      <c r="A112" s="27" t="s">
        <v>756</v>
      </c>
      <c r="B112" s="253" t="str">
        <f>Results!A114</f>
        <v>Ceili14</v>
      </c>
      <c r="C112" s="254" t="str">
        <f>Results!B114</f>
        <v>Ceiling14</v>
      </c>
      <c r="D112" s="254" t="str">
        <f>Results!C114</f>
        <v>Ceiling</v>
      </c>
      <c r="E112" s="254">
        <f>Results!D114</f>
        <v>14</v>
      </c>
      <c r="F112" s="254" t="str">
        <f>Results!E114</f>
        <v>R-30</v>
      </c>
      <c r="G112" s="254" t="str">
        <f>Results!F114</f>
        <v>R-49</v>
      </c>
      <c r="H112" s="322" t="str">
        <f>Results!G114</f>
        <v>Heating Zone 3</v>
      </c>
      <c r="I112" s="254" t="str">
        <f>Results!H114</f>
        <v>Multi Family Weatherization - Insulate Attic - R-30 to R-49 - Heating Zone 3</v>
      </c>
      <c r="J112" s="233" t="s">
        <v>529</v>
      </c>
      <c r="K112" s="256">
        <f>Results!I114</f>
        <v>7.8710527943600742E-2</v>
      </c>
      <c r="L112" s="257">
        <f>Results!J114</f>
        <v>1.6225463200090953E-3</v>
      </c>
      <c r="Q112"/>
      <c r="S112"/>
      <c r="T112"/>
      <c r="U112"/>
      <c r="V112"/>
      <c r="W112"/>
    </row>
    <row r="113" spans="1:23" ht="15.75" thickBot="1">
      <c r="A113" s="27" t="s">
        <v>757</v>
      </c>
      <c r="B113" s="253" t="str">
        <f>Results!A115</f>
        <v>Ceili15</v>
      </c>
      <c r="C113" s="254" t="str">
        <f>Results!B115</f>
        <v>Ceiling15</v>
      </c>
      <c r="D113" s="254" t="str">
        <f>Results!C115</f>
        <v>Ceiling</v>
      </c>
      <c r="E113" s="254">
        <f>Results!D115</f>
        <v>15</v>
      </c>
      <c r="F113" s="254" t="str">
        <f>Results!E115</f>
        <v>R-19</v>
      </c>
      <c r="G113" s="254" t="str">
        <f>Results!F115</f>
        <v>R-30</v>
      </c>
      <c r="H113" s="322" t="str">
        <f>Results!G115</f>
        <v>Heating Zone 3</v>
      </c>
      <c r="I113" s="254" t="str">
        <f>Results!H115</f>
        <v>Multi Family Weatherization - Insulate Attic - R-19 to R-30 - Heating Zone 3</v>
      </c>
      <c r="J113" s="233" t="s">
        <v>529</v>
      </c>
      <c r="K113" s="256">
        <f>Results!I115</f>
        <v>0.11219198057269081</v>
      </c>
      <c r="L113" s="257">
        <f>Results!J115</f>
        <v>2.2972104485349128E-3</v>
      </c>
      <c r="Q113"/>
      <c r="S113"/>
      <c r="T113"/>
      <c r="U113"/>
      <c r="V113"/>
      <c r="W113"/>
    </row>
    <row r="114" spans="1:23" ht="15.75" thickBot="1">
      <c r="A114" s="27" t="s">
        <v>758</v>
      </c>
      <c r="B114" s="253" t="str">
        <f>Results!A116</f>
        <v>Ceili16</v>
      </c>
      <c r="C114" s="254" t="str">
        <f>Results!B116</f>
        <v>Ceiling16</v>
      </c>
      <c r="D114" s="254" t="str">
        <f>Results!C116</f>
        <v>Ceiling</v>
      </c>
      <c r="E114" s="254">
        <f>Results!D116</f>
        <v>16</v>
      </c>
      <c r="F114" s="254" t="str">
        <f>Results!E116</f>
        <v>R-19</v>
      </c>
      <c r="G114" s="254" t="str">
        <f>Results!F116</f>
        <v>R-38</v>
      </c>
      <c r="H114" s="322" t="str">
        <f>Results!G116</f>
        <v>Heating Zone 3</v>
      </c>
      <c r="I114" s="254" t="str">
        <f>Results!H116</f>
        <v>Multi Family Weatherization - Insulate Attic - R-19 to R-38 - Heating Zone 3</v>
      </c>
      <c r="J114" s="233" t="s">
        <v>529</v>
      </c>
      <c r="K114" s="247">
        <f>Results!I116</f>
        <v>0.15489512601227415</v>
      </c>
      <c r="L114" s="248">
        <f>Results!J116</f>
        <v>3.176444994549236E-3</v>
      </c>
      <c r="Q114"/>
      <c r="S114"/>
      <c r="T114"/>
      <c r="U114"/>
      <c r="V114"/>
      <c r="W114"/>
    </row>
    <row r="115" spans="1:23" ht="15.75" thickBot="1">
      <c r="A115" s="27" t="s">
        <v>759</v>
      </c>
      <c r="B115" s="253" t="str">
        <f>Results!A117</f>
        <v>Ceili17</v>
      </c>
      <c r="C115" s="254" t="str">
        <f>Results!B117</f>
        <v>Ceiling17</v>
      </c>
      <c r="D115" s="254" t="str">
        <f>Results!C117</f>
        <v>Ceiling</v>
      </c>
      <c r="E115" s="254">
        <f>Results!D117</f>
        <v>17</v>
      </c>
      <c r="F115" s="254" t="str">
        <f>Results!E117</f>
        <v>R-19</v>
      </c>
      <c r="G115" s="254" t="str">
        <f>Results!F117</f>
        <v>R-49</v>
      </c>
      <c r="H115" s="322" t="str">
        <f>Results!G117</f>
        <v>Heating Zone 3</v>
      </c>
      <c r="I115" s="254" t="str">
        <f>Results!H117</f>
        <v>Multi Family Weatherization - Insulate Attic - R-19 to R-49 - Heating Zone 3</v>
      </c>
      <c r="J115" s="233" t="s">
        <v>529</v>
      </c>
      <c r="K115" s="247">
        <f>Results!I117</f>
        <v>0.19090250851629156</v>
      </c>
      <c r="L115" s="248">
        <f>Results!J117</f>
        <v>3.9197567685440088E-3</v>
      </c>
      <c r="Q115"/>
      <c r="S115"/>
      <c r="T115"/>
      <c r="U115"/>
      <c r="V115"/>
      <c r="W115"/>
    </row>
    <row r="116" spans="1:23" ht="15.75" thickBot="1">
      <c r="A116" s="27" t="s">
        <v>760</v>
      </c>
      <c r="B116" s="290" t="str">
        <f>Results!A118</f>
        <v>Ceili18</v>
      </c>
      <c r="C116" s="291" t="str">
        <f>Results!B118</f>
        <v>Ceiling18</v>
      </c>
      <c r="D116" s="291" t="str">
        <f>Results!C118</f>
        <v>Ceiling</v>
      </c>
      <c r="E116" s="291">
        <f>Results!D118</f>
        <v>18</v>
      </c>
      <c r="F116" s="291" t="str">
        <f>Results!E118</f>
        <v>R-38</v>
      </c>
      <c r="G116" s="291" t="str">
        <f>Results!F118</f>
        <v>R-49</v>
      </c>
      <c r="H116" s="324" t="str">
        <f>Results!G118</f>
        <v>Heating Zone 3</v>
      </c>
      <c r="I116" s="291" t="str">
        <f>Results!H118</f>
        <v>Multi Family Weatherization - Insulate Attic - R-38 to R-49 - Heating Zone 3</v>
      </c>
      <c r="J116" s="233" t="s">
        <v>529</v>
      </c>
      <c r="K116" s="288">
        <f>Results!I118</f>
        <v>3.6007382504017436E-2</v>
      </c>
      <c r="L116" s="289">
        <f>Results!J118</f>
        <v>7.4331177399477233E-4</v>
      </c>
      <c r="Q116"/>
      <c r="S116"/>
      <c r="T116"/>
      <c r="U116"/>
      <c r="V116"/>
      <c r="W116"/>
    </row>
    <row r="117" spans="1:23" ht="15.75" thickBot="1">
      <c r="A117" s="27" t="s">
        <v>761</v>
      </c>
      <c r="B117" s="253" t="str">
        <f>Results!A119</f>
        <v>Windo10</v>
      </c>
      <c r="C117" s="254" t="str">
        <f>Results!B119</f>
        <v>Windows10</v>
      </c>
      <c r="D117" s="254" t="str">
        <f>Results!C119</f>
        <v>Windows</v>
      </c>
      <c r="E117" s="254">
        <f>Results!D119</f>
        <v>10</v>
      </c>
      <c r="F117" s="254" t="str">
        <f>Results!E119</f>
        <v>Class 85</v>
      </c>
      <c r="G117" s="254" t="str">
        <f>Results!F119</f>
        <v>Class 35</v>
      </c>
      <c r="H117" s="322" t="str">
        <f>Results!G119</f>
        <v>Heating Zone 3</v>
      </c>
      <c r="I117" s="254" t="str">
        <f>Results!H119</f>
        <v>Windows - Class 85 to Class 35 - Heating Zone 3</v>
      </c>
      <c r="J117" s="233" t="s">
        <v>529</v>
      </c>
      <c r="K117" s="256">
        <f>Results!I119</f>
        <v>-12.84469366853873</v>
      </c>
      <c r="L117" s="257">
        <f>Results!J119</f>
        <v>-9.9605109631954486E-2</v>
      </c>
      <c r="Q117"/>
      <c r="S117"/>
      <c r="T117"/>
      <c r="U117"/>
      <c r="V117"/>
      <c r="W117"/>
    </row>
    <row r="118" spans="1:23" ht="15.75" thickBot="1">
      <c r="A118" s="27" t="s">
        <v>762</v>
      </c>
      <c r="B118" s="253" t="str">
        <f>Results!A120</f>
        <v>Windo11</v>
      </c>
      <c r="C118" s="254" t="str">
        <f>Results!B120</f>
        <v>Windows11</v>
      </c>
      <c r="D118" s="254" t="str">
        <f>Results!C120</f>
        <v>Windows</v>
      </c>
      <c r="E118" s="254">
        <f>Results!D120</f>
        <v>11</v>
      </c>
      <c r="F118" s="254" t="str">
        <f>Results!E120</f>
        <v>Class 85</v>
      </c>
      <c r="G118" s="254" t="str">
        <f>Results!F120</f>
        <v>Class 30</v>
      </c>
      <c r="H118" s="322" t="str">
        <f>Results!G120</f>
        <v>Heating Zone 3</v>
      </c>
      <c r="I118" s="254" t="str">
        <f>Results!H120</f>
        <v>Windows - Class 85 to Class 30 - Heating Zone 3</v>
      </c>
      <c r="J118" s="233" t="s">
        <v>529</v>
      </c>
      <c r="K118" s="256">
        <f>Results!I120</f>
        <v>-10.68881899638205</v>
      </c>
      <c r="L118" s="257">
        <f>Results!J120</f>
        <v>-9.7885242687766508E-2</v>
      </c>
      <c r="Q118"/>
      <c r="S118"/>
      <c r="T118"/>
      <c r="U118"/>
      <c r="V118"/>
      <c r="W118"/>
    </row>
    <row r="119" spans="1:23" ht="15.75" thickBot="1">
      <c r="A119" s="27" t="s">
        <v>763</v>
      </c>
      <c r="B119" s="253" t="str">
        <f>Results!A121</f>
        <v>Windo12</v>
      </c>
      <c r="C119" s="254" t="str">
        <f>Results!B121</f>
        <v>Windows12</v>
      </c>
      <c r="D119" s="254" t="str">
        <f>Results!C121</f>
        <v>Windows</v>
      </c>
      <c r="E119" s="254">
        <f>Results!D121</f>
        <v>12</v>
      </c>
      <c r="F119" s="254" t="str">
        <f>Results!E121</f>
        <v>Class 85</v>
      </c>
      <c r="G119" s="254" t="str">
        <f>Results!F121</f>
        <v>Class 25</v>
      </c>
      <c r="H119" s="322" t="str">
        <f>Results!G121</f>
        <v>Heating Zone 3</v>
      </c>
      <c r="I119" s="254" t="str">
        <f>Results!H121</f>
        <v>Windows - Class 85 to Class 25 - Heating Zone 3</v>
      </c>
      <c r="J119" s="233" t="s">
        <v>529</v>
      </c>
      <c r="K119" s="256">
        <f>Results!I121</f>
        <v>0</v>
      </c>
      <c r="L119" s="257">
        <f>Results!J121</f>
        <v>0</v>
      </c>
      <c r="Q119"/>
      <c r="S119"/>
      <c r="T119"/>
      <c r="U119"/>
      <c r="V119"/>
      <c r="W119"/>
    </row>
    <row r="120" spans="1:23" ht="15.75" thickBot="1">
      <c r="A120" s="27" t="s">
        <v>764</v>
      </c>
      <c r="B120" s="253" t="str">
        <f>Results!A122</f>
        <v>Windo13</v>
      </c>
      <c r="C120" s="254" t="str">
        <f>Results!B122</f>
        <v>Windows13</v>
      </c>
      <c r="D120" s="254" t="str">
        <f>Results!C122</f>
        <v>Windows</v>
      </c>
      <c r="E120" s="254">
        <f>Results!D122</f>
        <v>13</v>
      </c>
      <c r="F120" s="254" t="str">
        <f>Results!E122</f>
        <v>Class 85</v>
      </c>
      <c r="G120" s="254" t="str">
        <f>Results!F122</f>
        <v>Class 20</v>
      </c>
      <c r="H120" s="322" t="str">
        <f>Results!G122</f>
        <v>Heating Zone 3</v>
      </c>
      <c r="I120" s="254" t="str">
        <f>Results!H122</f>
        <v>Windows - Class 85 to Class 20 - Heating Zone 3</v>
      </c>
      <c r="J120" s="233" t="s">
        <v>529</v>
      </c>
      <c r="K120" s="256">
        <f>Results!I122</f>
        <v>-6.601373689223716</v>
      </c>
      <c r="L120" s="257">
        <f>Results!J122</f>
        <v>-9.0019970883751563E-2</v>
      </c>
      <c r="Q120"/>
      <c r="S120"/>
      <c r="T120"/>
      <c r="U120"/>
      <c r="V120"/>
      <c r="W120"/>
    </row>
    <row r="121" spans="1:23" ht="15.75" thickBot="1">
      <c r="A121" s="27" t="s">
        <v>765</v>
      </c>
      <c r="B121" s="253" t="str">
        <f>Results!A123</f>
        <v>Windo14</v>
      </c>
      <c r="C121" s="254" t="str">
        <f>Results!B123</f>
        <v>Windows14</v>
      </c>
      <c r="D121" s="254" t="str">
        <f>Results!C123</f>
        <v>Windows</v>
      </c>
      <c r="E121" s="254">
        <f>Results!D123</f>
        <v>14</v>
      </c>
      <c r="F121" s="254" t="str">
        <f>Results!E123</f>
        <v>Class 85</v>
      </c>
      <c r="G121" s="254" t="str">
        <f>Results!F123</f>
        <v>Class 15</v>
      </c>
      <c r="H121" s="322" t="str">
        <f>Results!G123</f>
        <v>Heating Zone 3</v>
      </c>
      <c r="I121" s="254" t="str">
        <f>Results!H123</f>
        <v>Windows - Class 85 to Class 15 - Heating Zone 3</v>
      </c>
      <c r="J121" s="233" t="s">
        <v>529</v>
      </c>
      <c r="K121" s="256">
        <f>Results!I123</f>
        <v>-4.1808137349895205</v>
      </c>
      <c r="L121" s="257">
        <f>Results!J123</f>
        <v>-9.6147322129645066E-2</v>
      </c>
      <c r="Q121"/>
      <c r="S121"/>
      <c r="T121"/>
      <c r="U121"/>
      <c r="V121"/>
      <c r="W121"/>
    </row>
    <row r="122" spans="1:23" ht="15.75" thickBot="1">
      <c r="A122" s="27" t="s">
        <v>766</v>
      </c>
      <c r="B122" s="253" t="str">
        <f>Results!A124</f>
        <v>Windo15</v>
      </c>
      <c r="C122" s="254" t="str">
        <f>Results!B124</f>
        <v>Windows15</v>
      </c>
      <c r="D122" s="254" t="str">
        <f>Results!C124</f>
        <v>Windows</v>
      </c>
      <c r="E122" s="254">
        <f>Results!D124</f>
        <v>15</v>
      </c>
      <c r="F122" s="254" t="str">
        <f>Results!E124</f>
        <v>Class 50</v>
      </c>
      <c r="G122" s="254" t="str">
        <f>Results!F124</f>
        <v>Class 35</v>
      </c>
      <c r="H122" s="322" t="str">
        <f>Results!G124</f>
        <v>Heating Zone 3</v>
      </c>
      <c r="I122" s="254" t="str">
        <f>Results!H124</f>
        <v>Windows - Class 50 to Class 35 - Heating Zone 3</v>
      </c>
      <c r="J122" s="233" t="s">
        <v>529</v>
      </c>
      <c r="K122" s="256">
        <f>Results!I124</f>
        <v>2.5959472051115444</v>
      </c>
      <c r="L122" s="257">
        <f>Results!J124</f>
        <v>0.15888391411008596</v>
      </c>
      <c r="Q122"/>
      <c r="S122"/>
      <c r="T122"/>
      <c r="U122"/>
      <c r="V122"/>
      <c r="W122"/>
    </row>
    <row r="123" spans="1:23" ht="15.75" thickBot="1">
      <c r="A123" s="27" t="s">
        <v>767</v>
      </c>
      <c r="B123" s="253" t="str">
        <f>Results!A125</f>
        <v>Windo16</v>
      </c>
      <c r="C123" s="254" t="str">
        <f>Results!B125</f>
        <v>Windows16</v>
      </c>
      <c r="D123" s="254" t="str">
        <f>Results!C125</f>
        <v>Windows</v>
      </c>
      <c r="E123" s="254">
        <f>Results!D125</f>
        <v>16</v>
      </c>
      <c r="F123" s="254" t="str">
        <f>Results!E125</f>
        <v>Class 50</v>
      </c>
      <c r="G123" s="254" t="str">
        <f>Results!F125</f>
        <v>Class 30</v>
      </c>
      <c r="H123" s="322" t="str">
        <f>Results!G125</f>
        <v>Heating Zone 3</v>
      </c>
      <c r="I123" s="254" t="str">
        <f>Results!H125</f>
        <v>Windows - Class 50 to Class 30 - Heating Zone 3</v>
      </c>
      <c r="J123" s="233" t="s">
        <v>529</v>
      </c>
      <c r="K123" s="256">
        <f>Results!I125</f>
        <v>4.7518218772682257</v>
      </c>
      <c r="L123" s="257">
        <f>Results!J125</f>
        <v>0.16060378105427392</v>
      </c>
      <c r="Q123"/>
      <c r="S123"/>
      <c r="T123"/>
      <c r="U123"/>
      <c r="V123"/>
      <c r="W123"/>
    </row>
    <row r="124" spans="1:23" ht="15.75" thickBot="1">
      <c r="A124" s="27" t="s">
        <v>768</v>
      </c>
      <c r="B124" s="253" t="str">
        <f>Results!A126</f>
        <v>Windo17</v>
      </c>
      <c r="C124" s="254" t="str">
        <f>Results!B126</f>
        <v>Windows17</v>
      </c>
      <c r="D124" s="254" t="str">
        <f>Results!C126</f>
        <v>Windows</v>
      </c>
      <c r="E124" s="254">
        <f>Results!D126</f>
        <v>17</v>
      </c>
      <c r="F124" s="254" t="str">
        <f>Results!E126</f>
        <v>Class 50</v>
      </c>
      <c r="G124" s="254" t="str">
        <f>Results!F126</f>
        <v>Class 25</v>
      </c>
      <c r="H124" s="322" t="str">
        <f>Results!G126</f>
        <v>Heating Zone 3</v>
      </c>
      <c r="I124" s="254" t="str">
        <f>Results!H126</f>
        <v>Windows - Class 50 to Class 25 - Heating Zone 3</v>
      </c>
      <c r="J124" s="233" t="s">
        <v>529</v>
      </c>
      <c r="K124" s="256">
        <f>Results!I126</f>
        <v>15.440640873650276</v>
      </c>
      <c r="L124" s="257">
        <f>Results!J126</f>
        <v>0.25848902374204036</v>
      </c>
      <c r="Q124"/>
      <c r="S124"/>
      <c r="T124"/>
      <c r="U124"/>
      <c r="V124"/>
      <c r="W124"/>
    </row>
    <row r="125" spans="1:23" ht="15.75" thickBot="1">
      <c r="A125" s="27" t="s">
        <v>769</v>
      </c>
      <c r="B125" s="253" t="str">
        <f>Results!A127</f>
        <v>Windo18</v>
      </c>
      <c r="C125" s="254" t="str">
        <f>Results!B127</f>
        <v>Windows18</v>
      </c>
      <c r="D125" s="254" t="str">
        <f>Results!C127</f>
        <v>Windows</v>
      </c>
      <c r="E125" s="254">
        <f>Results!D127</f>
        <v>18</v>
      </c>
      <c r="F125" s="254" t="str">
        <f>Results!E127</f>
        <v>Class 50</v>
      </c>
      <c r="G125" s="254" t="str">
        <f>Results!F127</f>
        <v>Class 20</v>
      </c>
      <c r="H125" s="322" t="str">
        <f>Results!G127</f>
        <v>Heating Zone 3</v>
      </c>
      <c r="I125" s="254" t="str">
        <f>Results!H127</f>
        <v>Windows - Class 50 to Class 20 - Heating Zone 3</v>
      </c>
      <c r="J125" s="233" t="s">
        <v>529</v>
      </c>
      <c r="K125" s="256">
        <f>Results!I127</f>
        <v>8.8392671844265589</v>
      </c>
      <c r="L125" s="257">
        <f>Results!J127</f>
        <v>0.16846905285828886</v>
      </c>
      <c r="Q125"/>
      <c r="S125"/>
      <c r="T125"/>
      <c r="U125"/>
      <c r="V125"/>
      <c r="W125"/>
    </row>
    <row r="126" spans="1:23" ht="15.75" thickBot="1">
      <c r="A126" s="27" t="s">
        <v>770</v>
      </c>
      <c r="B126" s="253" t="str">
        <f>Results!A128</f>
        <v>Windo19</v>
      </c>
      <c r="C126" s="254" t="str">
        <f>Results!B128</f>
        <v>Windows19</v>
      </c>
      <c r="D126" s="254" t="str">
        <f>Results!C128</f>
        <v>Windows</v>
      </c>
      <c r="E126" s="254">
        <f>Results!D128</f>
        <v>19</v>
      </c>
      <c r="F126" s="254" t="str">
        <f>Results!E128</f>
        <v>Class 35</v>
      </c>
      <c r="G126" s="254" t="str">
        <f>Results!F128</f>
        <v>Class 22</v>
      </c>
      <c r="H126" s="322" t="str">
        <f>Results!G128</f>
        <v>Heating Zone 3</v>
      </c>
      <c r="I126" s="254" t="str">
        <f>Results!H128</f>
        <v>Windows - Class 35 to Class 22 - Heating Zone 3</v>
      </c>
      <c r="J126" s="233" t="s">
        <v>529</v>
      </c>
      <c r="K126" s="256">
        <f>Results!I128</f>
        <v>5.3561061901623441</v>
      </c>
      <c r="L126" s="257">
        <f>Results!J128</f>
        <v>8.4464502569675734E-3</v>
      </c>
      <c r="Q126"/>
      <c r="S126"/>
      <c r="T126"/>
      <c r="U126"/>
      <c r="V126"/>
      <c r="W126"/>
    </row>
    <row r="127" spans="1:23" ht="15.75" thickBot="1">
      <c r="A127" s="27" t="s">
        <v>771</v>
      </c>
      <c r="B127" s="253" t="str">
        <f>Results!A129</f>
        <v>Windo20</v>
      </c>
      <c r="C127" s="254" t="str">
        <f>Results!B129</f>
        <v>Windows20</v>
      </c>
      <c r="D127" s="254" t="str">
        <f>Results!C129</f>
        <v>Windows</v>
      </c>
      <c r="E127" s="254">
        <f>Results!D129</f>
        <v>20</v>
      </c>
      <c r="F127" s="254" t="str">
        <f>Results!E129</f>
        <v>Single Pane</v>
      </c>
      <c r="G127" s="254" t="str">
        <f>Results!F129</f>
        <v>Class 22</v>
      </c>
      <c r="H127" s="322" t="str">
        <f>Results!G129</f>
        <v>Heating Zone 3</v>
      </c>
      <c r="I127" s="254" t="str">
        <f>Results!H129</f>
        <v>Windows - Single Pane to Class 22 - Heating Zone 3</v>
      </c>
      <c r="J127" s="233" t="s">
        <v>529</v>
      </c>
      <c r="K127" s="256">
        <f>Results!I129</f>
        <v>38.576818341319914</v>
      </c>
      <c r="L127" s="257">
        <f>Results!J129</f>
        <v>0.12555634375453159</v>
      </c>
      <c r="Q127"/>
      <c r="S127"/>
      <c r="T127"/>
      <c r="U127"/>
      <c r="V127"/>
      <c r="W127"/>
    </row>
    <row r="128" spans="1:23" ht="15.75" thickBot="1">
      <c r="A128" s="27" t="s">
        <v>772</v>
      </c>
      <c r="B128" s="253" t="str">
        <f>Results!A130</f>
        <v>Windo21</v>
      </c>
      <c r="C128" s="254" t="str">
        <f>Results!B130</f>
        <v>Windows21</v>
      </c>
      <c r="D128" s="254" t="str">
        <f>Results!C130</f>
        <v>Windows</v>
      </c>
      <c r="E128" s="254">
        <f>Results!D130</f>
        <v>21</v>
      </c>
      <c r="F128" s="254" t="str">
        <f>Results!E130</f>
        <v>Double Pane</v>
      </c>
      <c r="G128" s="254" t="str">
        <f>Results!F130</f>
        <v>Class 22</v>
      </c>
      <c r="H128" s="322" t="str">
        <f>Results!G130</f>
        <v>Heating Zone 3</v>
      </c>
      <c r="I128" s="254" t="str">
        <f>Results!H130</f>
        <v>Windows - Double Pane to Class 22 - Heating Zone 3</v>
      </c>
      <c r="J128" s="233" t="s">
        <v>529</v>
      </c>
      <c r="K128" s="256">
        <f>Results!I130</f>
        <v>23.285636900343906</v>
      </c>
      <c r="L128" s="257">
        <f>Results!J130</f>
        <v>0.16341779536393156</v>
      </c>
      <c r="Q128"/>
      <c r="S128"/>
      <c r="T128"/>
      <c r="U128"/>
      <c r="V128"/>
      <c r="W128"/>
    </row>
    <row r="129" spans="1:23" ht="15.75" thickBot="1">
      <c r="A129" s="27" t="s">
        <v>773</v>
      </c>
      <c r="B129" s="253" t="str">
        <f>Results!A131</f>
        <v>Windo22</v>
      </c>
      <c r="C129" s="254" t="str">
        <f>Results!B131</f>
        <v>Windows22</v>
      </c>
      <c r="D129" s="254" t="str">
        <f>Results!C131</f>
        <v>Windows</v>
      </c>
      <c r="E129" s="254">
        <f>Results!D131</f>
        <v>22</v>
      </c>
      <c r="F129" s="254" t="str">
        <f>Results!E131</f>
        <v>Single Pane</v>
      </c>
      <c r="G129" s="254" t="str">
        <f>Results!F131</f>
        <v>Class 30</v>
      </c>
      <c r="H129" s="322" t="str">
        <f>Results!G131</f>
        <v>Heating Zone 3</v>
      </c>
      <c r="I129" s="254" t="str">
        <f>Results!H131</f>
        <v>Windows - Single Pane to Class 30 - Heating Zone 3</v>
      </c>
      <c r="J129" s="233" t="s">
        <v>529</v>
      </c>
      <c r="K129" s="247">
        <f>Results!I131</f>
        <v>35.376586823314248</v>
      </c>
      <c r="L129" s="248">
        <f>Results!J131</f>
        <v>0.11882976044175197</v>
      </c>
      <c r="Q129"/>
      <c r="S129"/>
      <c r="T129"/>
      <c r="U129"/>
      <c r="V129"/>
      <c r="W129"/>
    </row>
    <row r="130" spans="1:23" ht="15.75" thickBot="1">
      <c r="A130" s="27" t="s">
        <v>774</v>
      </c>
      <c r="B130" s="253" t="str">
        <f>Results!A132</f>
        <v>Windo23</v>
      </c>
      <c r="C130" s="254" t="str">
        <f>Results!B132</f>
        <v>Windows23</v>
      </c>
      <c r="D130" s="254" t="str">
        <f>Results!C132</f>
        <v>Windows</v>
      </c>
      <c r="E130" s="254">
        <f>Results!D132</f>
        <v>23</v>
      </c>
      <c r="F130" s="254" t="str">
        <f>Results!E132</f>
        <v>Double Pane</v>
      </c>
      <c r="G130" s="254" t="str">
        <f>Results!F132</f>
        <v>Class 30</v>
      </c>
      <c r="H130" s="322" t="str">
        <f>Results!G132</f>
        <v>Heating Zone 3</v>
      </c>
      <c r="I130" s="254" t="str">
        <f>Results!H132</f>
        <v>Windows - Double Pane to Class 30 - Heating Zone 3</v>
      </c>
      <c r="J130" s="233" t="s">
        <v>529</v>
      </c>
      <c r="K130" s="247">
        <f>Results!I132</f>
        <v>20.085405382338244</v>
      </c>
      <c r="L130" s="248">
        <f>Results!J132</f>
        <v>0.15669121205115194</v>
      </c>
      <c r="Q130"/>
      <c r="S130"/>
      <c r="T130"/>
      <c r="U130"/>
      <c r="V130"/>
      <c r="W130"/>
    </row>
    <row r="131" spans="1:23" ht="15.75" thickBot="1">
      <c r="A131" s="27" t="s">
        <v>775</v>
      </c>
      <c r="B131" s="253" t="str">
        <f>Results!A133</f>
        <v>Windo24</v>
      </c>
      <c r="C131" s="254" t="str">
        <f>Results!B133</f>
        <v>Windows24</v>
      </c>
      <c r="D131" s="254" t="str">
        <f>Results!C133</f>
        <v>Windows</v>
      </c>
      <c r="E131" s="254">
        <f>Results!D133</f>
        <v>24</v>
      </c>
      <c r="F131" s="254" t="str">
        <f>Results!E133</f>
        <v>Class 35</v>
      </c>
      <c r="G131" s="254" t="str">
        <f>Results!F133</f>
        <v>Class 30</v>
      </c>
      <c r="H131" s="322" t="str">
        <f>Results!G133</f>
        <v>Heating Zone 3</v>
      </c>
      <c r="I131" s="254" t="str">
        <f>Results!H133</f>
        <v>Windows - Class 35 to Class 30 - Heating Zone 3</v>
      </c>
      <c r="J131" s="233" t="s">
        <v>529</v>
      </c>
      <c r="K131" s="247">
        <f>Results!I133</f>
        <v>2.1558746721566813</v>
      </c>
      <c r="L131" s="248">
        <f>Results!J133</f>
        <v>1.7198669441879728E-3</v>
      </c>
      <c r="Q131"/>
      <c r="S131"/>
      <c r="T131"/>
      <c r="U131"/>
      <c r="V131"/>
      <c r="W131"/>
    </row>
    <row r="132" spans="1:23" ht="15.75" thickBot="1">
      <c r="A132" s="27" t="s">
        <v>776</v>
      </c>
      <c r="B132" s="297" t="str">
        <f>Results!A134</f>
        <v>Infil10</v>
      </c>
      <c r="C132" s="298" t="str">
        <f>Results!B134</f>
        <v>Infiltration10</v>
      </c>
      <c r="D132" s="298" t="str">
        <f>Results!C134</f>
        <v>Infiltration</v>
      </c>
      <c r="E132" s="298">
        <f>Results!D134</f>
        <v>10</v>
      </c>
      <c r="F132" s="298" t="str">
        <f>Results!E134</f>
        <v>0.45 ACHn</v>
      </c>
      <c r="G132" s="298" t="str">
        <f>Results!F134</f>
        <v>0.35 ACHn</v>
      </c>
      <c r="H132" s="323" t="str">
        <f>Results!G134</f>
        <v>Heating Zone 3</v>
      </c>
      <c r="I132" s="298" t="str">
        <f>Results!H134</f>
        <v>Infiltration Reduction - 0.45 ACHn to 0.35 ACHn - Heating Zone 3</v>
      </c>
      <c r="J132" s="233" t="s">
        <v>529</v>
      </c>
      <c r="K132" s="283">
        <f>Results!I134</f>
        <v>0</v>
      </c>
      <c r="L132" s="284">
        <f>Results!J134</f>
        <v>0</v>
      </c>
      <c r="Q132"/>
      <c r="S132"/>
      <c r="T132"/>
      <c r="U132"/>
      <c r="V132"/>
      <c r="W132"/>
    </row>
    <row r="133" spans="1:23" ht="15.75" thickBot="1">
      <c r="A133" s="27" t="s">
        <v>777</v>
      </c>
      <c r="B133" s="253" t="str">
        <f>Results!A135</f>
        <v>Infil11</v>
      </c>
      <c r="C133" s="254" t="str">
        <f>Results!B135</f>
        <v>Infiltration11</v>
      </c>
      <c r="D133" s="254" t="str">
        <f>Results!C135</f>
        <v>Infiltration</v>
      </c>
      <c r="E133" s="254">
        <f>Results!D135</f>
        <v>11</v>
      </c>
      <c r="F133" s="254" t="str">
        <f>Results!E135</f>
        <v>0.45 ACHn</v>
      </c>
      <c r="G133" s="254" t="str">
        <f>Results!F135</f>
        <v>0.20 ACHn</v>
      </c>
      <c r="H133" s="322" t="str">
        <f>Results!G135</f>
        <v>Heating Zone 3</v>
      </c>
      <c r="I133" s="254" t="str">
        <f>Results!H135</f>
        <v>Infiltration Reduction - 0.45 ACHn to 0.20 ACHn - Heating Zone 3</v>
      </c>
      <c r="J133" s="233" t="s">
        <v>529</v>
      </c>
      <c r="K133" s="256">
        <f>Results!I135</f>
        <v>0</v>
      </c>
      <c r="L133" s="257">
        <f>Results!J135</f>
        <v>0</v>
      </c>
      <c r="Q133"/>
      <c r="S133"/>
      <c r="T133"/>
      <c r="U133"/>
      <c r="V133"/>
      <c r="W133"/>
    </row>
    <row r="134" spans="1:23" ht="15.75" thickBot="1">
      <c r="A134" s="27" t="s">
        <v>778</v>
      </c>
      <c r="B134" s="290" t="str">
        <f>Results!A136</f>
        <v>Infil12</v>
      </c>
      <c r="C134" s="291" t="str">
        <f>Results!B136</f>
        <v>Infiltration12</v>
      </c>
      <c r="D134" s="291" t="str">
        <f>Results!C136</f>
        <v>Infiltration</v>
      </c>
      <c r="E134" s="291">
        <f>Results!D136</f>
        <v>12</v>
      </c>
      <c r="F134" s="291" t="str">
        <f>Results!E136</f>
        <v>0.35 ACHn</v>
      </c>
      <c r="G134" s="291" t="str">
        <f>Results!F136</f>
        <v>0.20 ACHn</v>
      </c>
      <c r="H134" s="324" t="str">
        <f>Results!G136</f>
        <v>Heating Zone 3</v>
      </c>
      <c r="I134" s="291" t="str">
        <f>Results!H136</f>
        <v>Infiltration Reduction - 0.35 ACHn to 0.20 ACHn - Heating Zone 3</v>
      </c>
      <c r="J134" s="233" t="s">
        <v>529</v>
      </c>
      <c r="K134" s="293">
        <f>Results!I136</f>
        <v>0</v>
      </c>
      <c r="L134" s="294">
        <f>Results!J136</f>
        <v>0</v>
      </c>
      <c r="Q134"/>
      <c r="S134"/>
      <c r="T134"/>
      <c r="U134"/>
      <c r="V134"/>
      <c r="W134"/>
    </row>
    <row r="135" spans="1:23" ht="15.75" thickBot="1">
      <c r="A135" s="27" t="s">
        <v>779</v>
      </c>
      <c r="B135" s="253" t="str">
        <f>Results!A137</f>
        <v>DuctT10</v>
      </c>
      <c r="C135" s="254" t="str">
        <f>Results!B137</f>
        <v>DuctTightness10</v>
      </c>
      <c r="D135" s="254" t="str">
        <f>Results!C137</f>
        <v>DuctTightness</v>
      </c>
      <c r="E135" s="254">
        <f>Results!D137</f>
        <v>10</v>
      </c>
      <c r="F135" s="254" t="str">
        <f>Results!E137</f>
        <v>Std-crawl</v>
      </c>
      <c r="G135" s="254" t="str">
        <f>Results!F137</f>
        <v>PTCS-crawl</v>
      </c>
      <c r="H135" s="254" t="str">
        <f>Results!G137</f>
        <v>Heating Zone 3</v>
      </c>
      <c r="I135" s="254" t="str">
        <f>Results!H137</f>
        <v>DuctTightness - Std-crawl to PTCS-crawl - Heating Zone 3</v>
      </c>
      <c r="J135" s="233" t="s">
        <v>529</v>
      </c>
      <c r="K135" s="295">
        <f>Results!I137</f>
        <v>2396.7324222991565</v>
      </c>
      <c r="L135" s="296">
        <f>Results!J137</f>
        <v>27.116178359727392</v>
      </c>
      <c r="Q135"/>
      <c r="S135"/>
      <c r="T135"/>
      <c r="U135"/>
      <c r="V135"/>
      <c r="W135"/>
    </row>
    <row r="136" spans="1:23" ht="15.75" thickBot="1">
      <c r="A136" s="27" t="s">
        <v>780</v>
      </c>
      <c r="B136" s="297" t="str">
        <f>Results!A138</f>
        <v>DuctI10</v>
      </c>
      <c r="C136" s="298" t="str">
        <f>Results!B138</f>
        <v>DuctInsulation10</v>
      </c>
      <c r="D136" s="298" t="str">
        <f>Results!C138</f>
        <v>DuctInsulation</v>
      </c>
      <c r="E136" s="298">
        <f>Results!D138</f>
        <v>10</v>
      </c>
      <c r="F136" s="298" t="str">
        <f>Results!E138</f>
        <v>R-0</v>
      </c>
      <c r="G136" s="298" t="str">
        <f>Results!F138</f>
        <v>R-4.2</v>
      </c>
      <c r="H136" s="298" t="str">
        <f>Results!G138</f>
        <v>Heating Zone 3</v>
      </c>
      <c r="I136" s="298" t="str">
        <f>Results!H138</f>
        <v>DuctInsulation - R-0 to R-4.2 - Heating Zone 3</v>
      </c>
      <c r="J136" s="233" t="s">
        <v>529</v>
      </c>
      <c r="K136" s="299">
        <f>Results!I138</f>
        <v>166.41979916597415</v>
      </c>
      <c r="L136" s="300">
        <f>Results!J138</f>
        <v>1.9046321158302395</v>
      </c>
      <c r="Q136"/>
      <c r="S136"/>
      <c r="T136"/>
      <c r="U136"/>
      <c r="V136"/>
      <c r="W136"/>
    </row>
    <row r="137" spans="1:23" ht="15.75" thickBot="1">
      <c r="A137" s="27" t="s">
        <v>781</v>
      </c>
      <c r="B137" s="253" t="str">
        <f>Results!A139</f>
        <v>DuctI11</v>
      </c>
      <c r="C137" s="254" t="str">
        <f>Results!B139</f>
        <v>DuctInsulation11</v>
      </c>
      <c r="D137" s="254" t="str">
        <f>Results!C139</f>
        <v>DuctInsulation</v>
      </c>
      <c r="E137" s="254">
        <f>Results!D139</f>
        <v>11</v>
      </c>
      <c r="F137" s="254" t="str">
        <f>Results!E139</f>
        <v>R-0</v>
      </c>
      <c r="G137" s="254" t="str">
        <f>Results!F139</f>
        <v>R-11</v>
      </c>
      <c r="H137" s="254" t="str">
        <f>Results!G139</f>
        <v>Heating Zone 3</v>
      </c>
      <c r="I137" s="254" t="str">
        <f>Results!H139</f>
        <v>DuctInsulation - R-0 to R-11 - Heating Zone 3</v>
      </c>
      <c r="J137" s="233" t="s">
        <v>529</v>
      </c>
      <c r="K137" s="301">
        <f>Results!I139</f>
        <v>231.92802275303535</v>
      </c>
      <c r="L137" s="302">
        <f>Results!J139</f>
        <v>2.6224778216033804</v>
      </c>
      <c r="Q137"/>
      <c r="S137"/>
      <c r="T137"/>
      <c r="U137"/>
      <c r="V137"/>
      <c r="W137"/>
    </row>
    <row r="138" spans="1:23" ht="15.75" thickBot="1">
      <c r="A138" s="27" t="s">
        <v>782</v>
      </c>
      <c r="B138" s="290" t="str">
        <f>Results!A140</f>
        <v>DuctI12</v>
      </c>
      <c r="C138" s="291" t="str">
        <f>Results!B140</f>
        <v>DuctInsulation12</v>
      </c>
      <c r="D138" s="291" t="str">
        <f>Results!C140</f>
        <v>DuctInsulation</v>
      </c>
      <c r="E138" s="291">
        <f>Results!D140</f>
        <v>12</v>
      </c>
      <c r="F138" s="291" t="str">
        <f>Results!E140</f>
        <v>R-4.2</v>
      </c>
      <c r="G138" s="291" t="str">
        <f>Results!F140</f>
        <v>R-11</v>
      </c>
      <c r="H138" s="291" t="str">
        <f>Results!G140</f>
        <v>Heating Zone 3</v>
      </c>
      <c r="I138" s="291" t="str">
        <f>Results!H140</f>
        <v>DuctInsulation - R-4.2 to R-11 - Heating Zone 3</v>
      </c>
      <c r="J138" s="233" t="s">
        <v>529</v>
      </c>
      <c r="K138" s="303">
        <f>Results!I140</f>
        <v>65.508223587061224</v>
      </c>
      <c r="L138" s="304">
        <f>Results!J140</f>
        <v>0.71784570577314133</v>
      </c>
      <c r="Q138"/>
      <c r="S138"/>
      <c r="T138"/>
      <c r="U138"/>
      <c r="V138"/>
      <c r="W138"/>
    </row>
    <row r="139" spans="1:23" ht="15.75" thickBot="1">
      <c r="A139" s="27" t="s">
        <v>783</v>
      </c>
      <c r="B139" s="253" t="str">
        <f>Results!A141</f>
        <v>HeatP10</v>
      </c>
      <c r="C139" s="254" t="str">
        <f>Results!B141</f>
        <v>HeatPump10</v>
      </c>
      <c r="D139" s="254" t="str">
        <f>Results!C141</f>
        <v>HeatPump</v>
      </c>
      <c r="E139" s="254">
        <f>Results!D141</f>
        <v>10</v>
      </c>
      <c r="F139" s="254" t="str">
        <f>Results!E141</f>
        <v>7.7/13</v>
      </c>
      <c r="G139" s="254" t="str">
        <f>Results!F141</f>
        <v>8.5/13</v>
      </c>
      <c r="H139" s="254" t="str">
        <f>Results!G141</f>
        <v>Heating Zone 3</v>
      </c>
      <c r="I139" s="254" t="str">
        <f>Results!H141</f>
        <v>HeatPump Upgrade - 7.7/13 to 8.5/13 - Heating Zone 3</v>
      </c>
      <c r="J139" s="233" t="s">
        <v>529</v>
      </c>
      <c r="K139" s="301">
        <f>Results!I141</f>
        <v>0</v>
      </c>
      <c r="L139" s="302">
        <f>Results!J141</f>
        <v>0</v>
      </c>
      <c r="Q139"/>
      <c r="S139"/>
      <c r="T139"/>
      <c r="U139"/>
      <c r="V139"/>
      <c r="W139"/>
    </row>
    <row r="140" spans="1:23" ht="15.75" thickBot="1">
      <c r="A140" s="27" t="s">
        <v>784</v>
      </c>
      <c r="B140" s="253" t="str">
        <f>Results!A142</f>
        <v>HeatP11</v>
      </c>
      <c r="C140" s="254" t="str">
        <f>Results!B142</f>
        <v>HeatPump11</v>
      </c>
      <c r="D140" s="254" t="str">
        <f>Results!C142</f>
        <v>HeatPump</v>
      </c>
      <c r="E140" s="254">
        <f>Results!D142</f>
        <v>11</v>
      </c>
      <c r="F140" s="254" t="str">
        <f>Results!E142</f>
        <v>7.7/13</v>
      </c>
      <c r="G140" s="254" t="str">
        <f>Results!F142</f>
        <v>9.0/14</v>
      </c>
      <c r="H140" s="254" t="str">
        <f>Results!G142</f>
        <v>Heating Zone 3</v>
      </c>
      <c r="I140" s="254" t="str">
        <f>Results!H142</f>
        <v>HeatPump Upgrade - 7.7/13 to 9.0/14 - Heating Zone 3</v>
      </c>
      <c r="J140" s="233" t="s">
        <v>529</v>
      </c>
      <c r="K140" s="301">
        <f>Results!I142</f>
        <v>0</v>
      </c>
      <c r="L140" s="302">
        <f>Results!J142</f>
        <v>0</v>
      </c>
      <c r="Q140"/>
      <c r="S140"/>
      <c r="T140"/>
      <c r="U140"/>
      <c r="V140"/>
      <c r="W140"/>
    </row>
    <row r="141" spans="1:23" ht="15.75" thickBot="1">
      <c r="A141" s="27" t="s">
        <v>785</v>
      </c>
      <c r="B141" s="253" t="str">
        <f>Results!A143</f>
        <v>HeatP12</v>
      </c>
      <c r="C141" s="254" t="str">
        <f>Results!B143</f>
        <v>HeatPump12</v>
      </c>
      <c r="D141" s="254" t="str">
        <f>Results!C143</f>
        <v>HeatPump</v>
      </c>
      <c r="E141" s="254">
        <f>Results!D143</f>
        <v>12</v>
      </c>
      <c r="F141" s="254" t="str">
        <f>Results!E143</f>
        <v>7.7/13</v>
      </c>
      <c r="G141" s="254" t="str">
        <f>Results!F143</f>
        <v>8.2/13</v>
      </c>
      <c r="H141" s="254" t="str">
        <f>Results!G143</f>
        <v>Heating Zone 3</v>
      </c>
      <c r="I141" s="254" t="str">
        <f>Results!H143</f>
        <v>HeatPump Upgrade - 7.7/13 to 8.2/13 - Heating Zone 3</v>
      </c>
      <c r="J141" s="233" t="s">
        <v>529</v>
      </c>
      <c r="K141" s="301">
        <f>Results!I143</f>
        <v>0</v>
      </c>
      <c r="L141" s="302">
        <f>Results!J143</f>
        <v>0</v>
      </c>
      <c r="Q141"/>
      <c r="S141"/>
      <c r="T141"/>
      <c r="U141"/>
      <c r="V141"/>
      <c r="W141"/>
    </row>
    <row r="142" spans="1:23" ht="15.75" thickBot="1">
      <c r="A142" s="27" t="s">
        <v>786</v>
      </c>
      <c r="B142" s="316" t="str">
        <f>Results!A144</f>
        <v>HPCnt10</v>
      </c>
      <c r="C142" s="317" t="str">
        <f>Results!B144</f>
        <v>HPCntrls10</v>
      </c>
      <c r="D142" s="317" t="str">
        <f>Results!C144</f>
        <v>HPCntrls</v>
      </c>
      <c r="E142" s="317">
        <f>Results!D144</f>
        <v>10</v>
      </c>
      <c r="F142" s="317" t="str">
        <f>Results!E144</f>
        <v>Standard</v>
      </c>
      <c r="G142" s="317" t="str">
        <f>Results!F144</f>
        <v>PTCS</v>
      </c>
      <c r="H142" s="317" t="str">
        <f>Results!G144</f>
        <v>Heating Zone 3</v>
      </c>
      <c r="I142" s="317" t="str">
        <f>Results!H144</f>
        <v>HPCntrls Upgrade - Standard to PTCS - Heating Zone 3</v>
      </c>
      <c r="J142" s="233" t="s">
        <v>529</v>
      </c>
      <c r="K142" s="318">
        <f>Results!I144</f>
        <v>0</v>
      </c>
      <c r="L142" s="319">
        <f>Results!J144</f>
        <v>0</v>
      </c>
      <c r="Q142"/>
      <c r="S142"/>
      <c r="T142"/>
      <c r="U142"/>
      <c r="V142"/>
      <c r="W142"/>
    </row>
    <row r="143" spans="1:23" ht="15.75" thickBot="1">
      <c r="A143" s="27" t="s">
        <v>787</v>
      </c>
      <c r="B143" s="232" t="str">
        <f>B5</f>
        <v>Walls10</v>
      </c>
      <c r="C143" s="232" t="str">
        <f t="shared" ref="C143:I143" si="0">C5</f>
        <v>Walls10</v>
      </c>
      <c r="D143" s="232" t="str">
        <f t="shared" si="0"/>
        <v>Walls</v>
      </c>
      <c r="E143" s="232">
        <f t="shared" si="0"/>
        <v>10</v>
      </c>
      <c r="F143" s="232" t="str">
        <f t="shared" si="0"/>
        <v>R-0</v>
      </c>
      <c r="G143" s="232" t="str">
        <f t="shared" si="0"/>
        <v>R-11</v>
      </c>
      <c r="H143" s="232" t="str">
        <f t="shared" si="0"/>
        <v>Heating Zone 1</v>
      </c>
      <c r="I143" s="232" t="str">
        <f t="shared" si="0"/>
        <v>Multi Family Weatherization - Insulate Walls - R-0 to R-11 - Heating Zone 1</v>
      </c>
      <c r="J143" s="232" t="s">
        <v>788</v>
      </c>
      <c r="K143" s="235">
        <f>Results!K7</f>
        <v>1.2472794546100672</v>
      </c>
      <c r="L143" s="219">
        <v>0</v>
      </c>
      <c r="M143"/>
      <c r="N143"/>
      <c r="O143"/>
      <c r="P143"/>
      <c r="Q143"/>
      <c r="S143"/>
      <c r="T143"/>
      <c r="U143"/>
      <c r="V143"/>
      <c r="W143"/>
    </row>
    <row r="144" spans="1:23" ht="15.75" thickBot="1">
      <c r="A144" s="27" t="s">
        <v>789</v>
      </c>
      <c r="B144" s="232" t="str">
        <f t="shared" ref="B144:I159" si="1">B6</f>
        <v>BGWal10</v>
      </c>
      <c r="C144" s="232" t="str">
        <f t="shared" si="1"/>
        <v>BGWalls10</v>
      </c>
      <c r="D144" s="232" t="str">
        <f t="shared" si="1"/>
        <v>BGWalls</v>
      </c>
      <c r="E144" s="232">
        <f t="shared" si="1"/>
        <v>10</v>
      </c>
      <c r="F144" s="232" t="str">
        <f t="shared" si="1"/>
        <v>R-0</v>
      </c>
      <c r="G144" s="232" t="str">
        <f t="shared" si="1"/>
        <v>R-11</v>
      </c>
      <c r="H144" s="232" t="str">
        <f t="shared" si="1"/>
        <v>Heating Zone 1</v>
      </c>
      <c r="I144" s="232" t="str">
        <f t="shared" si="1"/>
        <v>Multi Family Weatherization - Insulate BGWalls - R-0 to R-11 - Heating Zone 1</v>
      </c>
      <c r="J144" s="232" t="s">
        <v>788</v>
      </c>
      <c r="K144" s="242">
        <f>Results!K8</f>
        <v>0</v>
      </c>
      <c r="L144" s="219">
        <v>0</v>
      </c>
      <c r="M144"/>
      <c r="N144"/>
      <c r="O144"/>
      <c r="P144"/>
      <c r="Q144"/>
      <c r="S144"/>
      <c r="T144"/>
      <c r="U144"/>
      <c r="V144"/>
      <c r="W144"/>
    </row>
    <row r="145" spans="1:23" ht="15.75" thickBot="1">
      <c r="A145" s="27" t="s">
        <v>790</v>
      </c>
      <c r="B145" s="232" t="str">
        <f t="shared" si="1"/>
        <v>Floor10</v>
      </c>
      <c r="C145" s="232" t="str">
        <f t="shared" si="1"/>
        <v>Floors10</v>
      </c>
      <c r="D145" s="232" t="str">
        <f t="shared" si="1"/>
        <v>Floors</v>
      </c>
      <c r="E145" s="232">
        <f t="shared" si="1"/>
        <v>10</v>
      </c>
      <c r="F145" s="232" t="str">
        <f t="shared" si="1"/>
        <v>R-0</v>
      </c>
      <c r="G145" s="232" t="str">
        <f t="shared" si="1"/>
        <v>R-19</v>
      </c>
      <c r="H145" s="232" t="str">
        <f t="shared" si="1"/>
        <v>Heating Zone 1</v>
      </c>
      <c r="I145" s="232" t="str">
        <f t="shared" si="1"/>
        <v>Multi Family Weatherization - Insulate Floors - R-0 to R-19 - Heating Zone 1</v>
      </c>
      <c r="J145" s="232" t="s">
        <v>788</v>
      </c>
      <c r="K145" s="247">
        <f>Results!K9</f>
        <v>0.55318177492593634</v>
      </c>
      <c r="L145" s="219">
        <v>0</v>
      </c>
      <c r="M145"/>
      <c r="N145"/>
      <c r="O145"/>
      <c r="P145"/>
      <c r="Q145"/>
      <c r="S145"/>
      <c r="T145"/>
      <c r="U145"/>
      <c r="V145"/>
      <c r="W145"/>
    </row>
    <row r="146" spans="1:23" ht="15.75" thickBot="1">
      <c r="A146" s="27" t="s">
        <v>791</v>
      </c>
      <c r="B146" s="232" t="str">
        <f t="shared" si="1"/>
        <v>Floor11</v>
      </c>
      <c r="C146" s="232" t="str">
        <f t="shared" si="1"/>
        <v>Floors11</v>
      </c>
      <c r="D146" s="232" t="str">
        <f t="shared" si="1"/>
        <v>Floors</v>
      </c>
      <c r="E146" s="232">
        <f t="shared" si="1"/>
        <v>11</v>
      </c>
      <c r="F146" s="232" t="str">
        <f t="shared" si="1"/>
        <v>R-0</v>
      </c>
      <c r="G146" s="232" t="str">
        <f t="shared" si="1"/>
        <v>R-25</v>
      </c>
      <c r="H146" s="232" t="str">
        <f t="shared" si="1"/>
        <v>Heating Zone 1</v>
      </c>
      <c r="I146" s="232" t="str">
        <f t="shared" si="1"/>
        <v>Multi Family Weatherization - Insulate Floors - R-0 to R-25 - Heating Zone 1</v>
      </c>
      <c r="J146" s="232" t="s">
        <v>788</v>
      </c>
      <c r="K146" s="256">
        <f>Results!K10</f>
        <v>0.63395512797593623</v>
      </c>
      <c r="L146" s="219">
        <v>0</v>
      </c>
    </row>
    <row r="147" spans="1:23" ht="15.75" thickBot="1">
      <c r="A147" s="27" t="s">
        <v>792</v>
      </c>
      <c r="B147" s="232" t="str">
        <f t="shared" si="1"/>
        <v>Floor12</v>
      </c>
      <c r="C147" s="232" t="str">
        <f t="shared" si="1"/>
        <v>Floors12</v>
      </c>
      <c r="D147" s="232" t="str">
        <f t="shared" si="1"/>
        <v>Floors</v>
      </c>
      <c r="E147" s="232">
        <f t="shared" si="1"/>
        <v>12</v>
      </c>
      <c r="F147" s="232" t="str">
        <f t="shared" si="1"/>
        <v>R-0</v>
      </c>
      <c r="G147" s="232" t="str">
        <f t="shared" si="1"/>
        <v>R-30</v>
      </c>
      <c r="H147" s="232" t="str">
        <f t="shared" si="1"/>
        <v>Heating Zone 1</v>
      </c>
      <c r="I147" s="232" t="str">
        <f t="shared" si="1"/>
        <v>Multi Family Weatherization - Insulate Floors - R-0 to R-30 - Heating Zone 1</v>
      </c>
      <c r="J147" s="232" t="s">
        <v>788</v>
      </c>
      <c r="K147" s="247">
        <f>Results!K11</f>
        <v>0.71896218781336929</v>
      </c>
      <c r="L147" s="219">
        <v>0</v>
      </c>
    </row>
    <row r="148" spans="1:23" ht="15.75" thickBot="1">
      <c r="A148" s="27" t="s">
        <v>793</v>
      </c>
      <c r="B148" s="232" t="str">
        <f t="shared" si="1"/>
        <v>Floor13</v>
      </c>
      <c r="C148" s="232" t="str">
        <f t="shared" si="1"/>
        <v>Floors13</v>
      </c>
      <c r="D148" s="232" t="str">
        <f t="shared" si="1"/>
        <v>Floors</v>
      </c>
      <c r="E148" s="232">
        <f t="shared" si="1"/>
        <v>13</v>
      </c>
      <c r="F148" s="232" t="str">
        <f t="shared" si="1"/>
        <v>R-0</v>
      </c>
      <c r="G148" s="232" t="str">
        <f t="shared" si="1"/>
        <v>R-38</v>
      </c>
      <c r="H148" s="232" t="str">
        <f t="shared" si="1"/>
        <v>Heating Zone 1</v>
      </c>
      <c r="I148" s="232" t="str">
        <f t="shared" si="1"/>
        <v>Multi Family Weatherization - Insulate Floors - R-0 to R-38 - Heating Zone 1</v>
      </c>
      <c r="J148" s="232" t="s">
        <v>788</v>
      </c>
      <c r="K148" s="256">
        <f>Results!K12</f>
        <v>0.74155652685521434</v>
      </c>
      <c r="L148" s="219">
        <v>0</v>
      </c>
    </row>
    <row r="149" spans="1:23" ht="15.75" thickBot="1">
      <c r="A149" s="27" t="s">
        <v>794</v>
      </c>
      <c r="B149" s="232" t="str">
        <f t="shared" si="1"/>
        <v>Floor14</v>
      </c>
      <c r="C149" s="232" t="str">
        <f t="shared" si="1"/>
        <v>Floors14</v>
      </c>
      <c r="D149" s="232" t="str">
        <f t="shared" si="1"/>
        <v>Floors</v>
      </c>
      <c r="E149" s="232">
        <f t="shared" si="1"/>
        <v>14</v>
      </c>
      <c r="F149" s="232" t="str">
        <f t="shared" si="1"/>
        <v>R-19</v>
      </c>
      <c r="G149" s="232" t="str">
        <f t="shared" si="1"/>
        <v>R-25</v>
      </c>
      <c r="H149" s="232" t="str">
        <f t="shared" si="1"/>
        <v>Heating Zone 1</v>
      </c>
      <c r="I149" s="232" t="str">
        <f t="shared" si="1"/>
        <v>Multi Family Weatherization - Insulate Floors - R-19 to R-25 - Heating Zone 1</v>
      </c>
      <c r="J149" s="232" t="s">
        <v>788</v>
      </c>
      <c r="K149" s="256">
        <f>Results!K13</f>
        <v>8.0773353049999788E-2</v>
      </c>
      <c r="L149" s="219">
        <v>0</v>
      </c>
    </row>
    <row r="150" spans="1:23" ht="15.75" thickBot="1">
      <c r="A150" s="27" t="s">
        <v>795</v>
      </c>
      <c r="B150" s="232" t="str">
        <f t="shared" si="1"/>
        <v>Floor15</v>
      </c>
      <c r="C150" s="232" t="str">
        <f t="shared" si="1"/>
        <v>Floors15</v>
      </c>
      <c r="D150" s="232" t="str">
        <f t="shared" si="1"/>
        <v>Floors</v>
      </c>
      <c r="E150" s="232">
        <f t="shared" si="1"/>
        <v>15</v>
      </c>
      <c r="F150" s="232" t="str">
        <f t="shared" si="1"/>
        <v>R-19</v>
      </c>
      <c r="G150" s="232" t="str">
        <f t="shared" si="1"/>
        <v>R-30</v>
      </c>
      <c r="H150" s="232" t="str">
        <f t="shared" si="1"/>
        <v>Heating Zone 1</v>
      </c>
      <c r="I150" s="232" t="str">
        <f t="shared" si="1"/>
        <v>Multi Family Weatherization - Insulate Floors - R-19 to R-30 - Heating Zone 1</v>
      </c>
      <c r="J150" s="232" t="s">
        <v>788</v>
      </c>
      <c r="K150" s="247">
        <f>Results!K14</f>
        <v>0.16578041288743295</v>
      </c>
      <c r="L150" s="219">
        <v>0</v>
      </c>
    </row>
    <row r="151" spans="1:23" ht="15.75" thickBot="1">
      <c r="A151" s="27" t="s">
        <v>796</v>
      </c>
      <c r="B151" s="232" t="str">
        <f t="shared" si="1"/>
        <v>Floor16</v>
      </c>
      <c r="C151" s="232" t="str">
        <f t="shared" si="1"/>
        <v>Floors16</v>
      </c>
      <c r="D151" s="232" t="str">
        <f t="shared" si="1"/>
        <v>Floors</v>
      </c>
      <c r="E151" s="232">
        <f t="shared" si="1"/>
        <v>16</v>
      </c>
      <c r="F151" s="232" t="str">
        <f t="shared" si="1"/>
        <v>R-19</v>
      </c>
      <c r="G151" s="232" t="str">
        <f t="shared" si="1"/>
        <v>R-38</v>
      </c>
      <c r="H151" s="232" t="str">
        <f t="shared" si="1"/>
        <v>Heating Zone 1</v>
      </c>
      <c r="I151" s="232" t="str">
        <f t="shared" si="1"/>
        <v>Multi Family Weatherization - Insulate Floors - R-19 to R-38 - Heating Zone 1</v>
      </c>
      <c r="J151" s="232" t="s">
        <v>788</v>
      </c>
      <c r="K151" s="256">
        <f>Results!K15</f>
        <v>0.18837475192927783</v>
      </c>
      <c r="L151" s="219">
        <v>0</v>
      </c>
    </row>
    <row r="152" spans="1:23" ht="15.75" thickBot="1">
      <c r="A152" s="27" t="s">
        <v>797</v>
      </c>
      <c r="B152" s="232" t="str">
        <f t="shared" si="1"/>
        <v>Floor17</v>
      </c>
      <c r="C152" s="232" t="str">
        <f t="shared" si="1"/>
        <v>Floors17</v>
      </c>
      <c r="D152" s="232" t="str">
        <f t="shared" si="1"/>
        <v>Floors</v>
      </c>
      <c r="E152" s="232">
        <f t="shared" si="1"/>
        <v>17</v>
      </c>
      <c r="F152" s="232" t="str">
        <f t="shared" si="1"/>
        <v>R-11</v>
      </c>
      <c r="G152" s="232" t="str">
        <f t="shared" si="1"/>
        <v>R-30</v>
      </c>
      <c r="H152" s="232" t="str">
        <f t="shared" si="1"/>
        <v>Heating Zone 1</v>
      </c>
      <c r="I152" s="232" t="str">
        <f t="shared" si="1"/>
        <v>Multi Family Weatherization - Insulate Floors - R-11 to R-30 - Heating Zone 1</v>
      </c>
      <c r="J152" s="232" t="s">
        <v>788</v>
      </c>
      <c r="K152" s="256">
        <f>Results!K16</f>
        <v>1.6152584490197861</v>
      </c>
      <c r="L152" s="219">
        <v>0</v>
      </c>
    </row>
    <row r="153" spans="1:23" ht="15.75" thickBot="1">
      <c r="A153" s="27" t="s">
        <v>790</v>
      </c>
      <c r="B153" s="232" t="str">
        <f t="shared" si="1"/>
        <v>Floor18</v>
      </c>
      <c r="C153" s="232" t="str">
        <f t="shared" si="1"/>
        <v>Floors18</v>
      </c>
      <c r="D153" s="232" t="str">
        <f t="shared" si="1"/>
        <v>Floors</v>
      </c>
      <c r="E153" s="232">
        <f t="shared" si="1"/>
        <v>18</v>
      </c>
      <c r="F153" s="232" t="str">
        <f t="shared" si="1"/>
        <v>R-0</v>
      </c>
      <c r="G153" s="232" t="str">
        <f t="shared" si="1"/>
        <v>R-19</v>
      </c>
      <c r="H153" s="232" t="str">
        <f t="shared" si="1"/>
        <v>Heating Zone 1</v>
      </c>
      <c r="I153" s="232" t="str">
        <f t="shared" si="1"/>
        <v>Multi Family Weatherization - Insulate Floors - R-0 to R-19 - Heating Zone 1</v>
      </c>
      <c r="J153" s="232" t="s">
        <v>788</v>
      </c>
      <c r="K153" s="256">
        <f>Results!K17</f>
        <v>0.55318177492593634</v>
      </c>
      <c r="L153" s="219">
        <v>0</v>
      </c>
    </row>
    <row r="154" spans="1:23" ht="15.75" thickBot="1">
      <c r="A154" s="27" t="s">
        <v>798</v>
      </c>
      <c r="B154" s="232" t="str">
        <f t="shared" si="1"/>
        <v>Ceili10</v>
      </c>
      <c r="C154" s="232" t="str">
        <f t="shared" si="1"/>
        <v>Ceiling10</v>
      </c>
      <c r="D154" s="232" t="str">
        <f t="shared" si="1"/>
        <v>Ceiling</v>
      </c>
      <c r="E154" s="232">
        <f t="shared" si="1"/>
        <v>10</v>
      </c>
      <c r="F154" s="232" t="str">
        <f t="shared" si="1"/>
        <v>R-0</v>
      </c>
      <c r="G154" s="232" t="str">
        <f t="shared" si="1"/>
        <v>R-19</v>
      </c>
      <c r="H154" s="232" t="str">
        <f t="shared" si="1"/>
        <v>Heating Zone 1</v>
      </c>
      <c r="I154" s="232" t="str">
        <f t="shared" si="1"/>
        <v>Multi Family Weatherization - Insulate Attic - R-0 to R-19 - Heating Zone 1</v>
      </c>
      <c r="J154" s="232" t="s">
        <v>788</v>
      </c>
      <c r="K154" s="283">
        <f>Results!K18</f>
        <v>0.45541817326465872</v>
      </c>
      <c r="L154" s="219">
        <v>0</v>
      </c>
    </row>
    <row r="155" spans="1:23" ht="15.75" thickBot="1">
      <c r="A155" s="27" t="s">
        <v>799</v>
      </c>
      <c r="B155" s="232" t="str">
        <f t="shared" si="1"/>
        <v>Ceili11</v>
      </c>
      <c r="C155" s="232" t="str">
        <f t="shared" si="1"/>
        <v>Ceiling11</v>
      </c>
      <c r="D155" s="232" t="str">
        <f t="shared" si="1"/>
        <v>Ceiling</v>
      </c>
      <c r="E155" s="232">
        <f t="shared" si="1"/>
        <v>11</v>
      </c>
      <c r="F155" s="232" t="str">
        <f t="shared" si="1"/>
        <v>R-0</v>
      </c>
      <c r="G155" s="232" t="str">
        <f t="shared" si="1"/>
        <v>R-38</v>
      </c>
      <c r="H155" s="232" t="str">
        <f t="shared" si="1"/>
        <v>Heating Zone 1</v>
      </c>
      <c r="I155" s="232" t="str">
        <f t="shared" si="1"/>
        <v>Multi Family Weatherization - Insulate Attic - R-0 to R-38 - Heating Zone 1</v>
      </c>
      <c r="J155" s="232" t="s">
        <v>788</v>
      </c>
      <c r="K155" s="247">
        <f>Results!K19</f>
        <v>0.61951019567454524</v>
      </c>
      <c r="L155" s="219">
        <v>0</v>
      </c>
    </row>
    <row r="156" spans="1:23" ht="15.75" thickBot="1">
      <c r="A156" s="27" t="s">
        <v>800</v>
      </c>
      <c r="B156" s="232" t="str">
        <f t="shared" si="1"/>
        <v>Ceili12</v>
      </c>
      <c r="C156" s="232" t="str">
        <f t="shared" si="1"/>
        <v>Ceiling12</v>
      </c>
      <c r="D156" s="232" t="str">
        <f t="shared" si="1"/>
        <v>Ceiling</v>
      </c>
      <c r="E156" s="232">
        <f t="shared" si="1"/>
        <v>12</v>
      </c>
      <c r="F156" s="232" t="str">
        <f t="shared" si="1"/>
        <v>R-0</v>
      </c>
      <c r="G156" s="232" t="str">
        <f t="shared" si="1"/>
        <v>R-49</v>
      </c>
      <c r="H156" s="232" t="str">
        <f t="shared" si="1"/>
        <v>Heating Zone 1</v>
      </c>
      <c r="I156" s="232" t="str">
        <f t="shared" si="1"/>
        <v>Multi Family Weatherization - Insulate Attic - R-0 to R-49 - Heating Zone 1</v>
      </c>
      <c r="J156" s="232" t="s">
        <v>788</v>
      </c>
      <c r="K156" s="247">
        <f>Results!K20</f>
        <v>0.65746060110011362</v>
      </c>
      <c r="L156" s="219">
        <v>0</v>
      </c>
    </row>
    <row r="157" spans="1:23" ht="15.75" thickBot="1">
      <c r="A157" s="27" t="s">
        <v>801</v>
      </c>
      <c r="B157" s="232" t="str">
        <f t="shared" si="1"/>
        <v>Ceili13</v>
      </c>
      <c r="C157" s="232" t="str">
        <f t="shared" si="1"/>
        <v>Ceiling13</v>
      </c>
      <c r="D157" s="232" t="str">
        <f t="shared" si="1"/>
        <v>Ceiling</v>
      </c>
      <c r="E157" s="232">
        <f t="shared" si="1"/>
        <v>13</v>
      </c>
      <c r="F157" s="232" t="str">
        <f t="shared" si="1"/>
        <v>R-30</v>
      </c>
      <c r="G157" s="232" t="str">
        <f t="shared" si="1"/>
        <v>R-38</v>
      </c>
      <c r="H157" s="232" t="str">
        <f t="shared" si="1"/>
        <v>Heating Zone 1</v>
      </c>
      <c r="I157" s="232" t="str">
        <f t="shared" si="1"/>
        <v>Multi Family Weatherization - Insulate Attic - R-30 to R-38 - Heating Zone 1</v>
      </c>
      <c r="J157" s="232" t="s">
        <v>788</v>
      </c>
      <c r="K157" s="247">
        <f>Results!K21</f>
        <v>4.5119713772727429E-2</v>
      </c>
      <c r="L157" s="219">
        <v>0</v>
      </c>
    </row>
    <row r="158" spans="1:23" ht="15.75" thickBot="1">
      <c r="A158" s="27" t="s">
        <v>802</v>
      </c>
      <c r="B158" s="232" t="str">
        <f t="shared" si="1"/>
        <v>Ceili14</v>
      </c>
      <c r="C158" s="232" t="str">
        <f t="shared" si="1"/>
        <v>Ceiling14</v>
      </c>
      <c r="D158" s="232" t="str">
        <f t="shared" si="1"/>
        <v>Ceiling</v>
      </c>
      <c r="E158" s="232">
        <f t="shared" si="1"/>
        <v>14</v>
      </c>
      <c r="F158" s="232" t="str">
        <f t="shared" si="1"/>
        <v>R-30</v>
      </c>
      <c r="G158" s="232" t="str">
        <f t="shared" si="1"/>
        <v>R-49</v>
      </c>
      <c r="H158" s="232" t="str">
        <f t="shared" si="1"/>
        <v>Heating Zone 1</v>
      </c>
      <c r="I158" s="232" t="str">
        <f t="shared" si="1"/>
        <v>Multi Family Weatherization - Insulate Attic - R-30 to R-49 - Heating Zone 1</v>
      </c>
      <c r="J158" s="232" t="s">
        <v>788</v>
      </c>
      <c r="K158" s="247">
        <f>Results!K22</f>
        <v>8.3070119198295753E-2</v>
      </c>
      <c r="L158" s="219">
        <v>0</v>
      </c>
    </row>
    <row r="159" spans="1:23" ht="15.75" thickBot="1">
      <c r="A159" s="27" t="s">
        <v>803</v>
      </c>
      <c r="B159" s="232" t="str">
        <f t="shared" si="1"/>
        <v>Ceili15</v>
      </c>
      <c r="C159" s="232" t="str">
        <f t="shared" si="1"/>
        <v>Ceiling15</v>
      </c>
      <c r="D159" s="232" t="str">
        <f t="shared" si="1"/>
        <v>Ceiling</v>
      </c>
      <c r="E159" s="232">
        <f t="shared" si="1"/>
        <v>15</v>
      </c>
      <c r="F159" s="232" t="str">
        <f t="shared" si="1"/>
        <v>R-19</v>
      </c>
      <c r="G159" s="232" t="str">
        <f t="shared" si="1"/>
        <v>R-30</v>
      </c>
      <c r="H159" s="232" t="str">
        <f t="shared" si="1"/>
        <v>Heating Zone 1</v>
      </c>
      <c r="I159" s="232" t="str">
        <f t="shared" si="1"/>
        <v>Multi Family Weatherization - Insulate Attic - R-19 to R-30 - Heating Zone 1</v>
      </c>
      <c r="J159" s="232" t="s">
        <v>788</v>
      </c>
      <c r="K159" s="256">
        <f>Results!K23</f>
        <v>0.11897230863715916</v>
      </c>
      <c r="L159" s="219">
        <v>0</v>
      </c>
    </row>
    <row r="160" spans="1:23" ht="15.75" thickBot="1">
      <c r="A160" s="27" t="s">
        <v>804</v>
      </c>
      <c r="B160" s="232" t="str">
        <f t="shared" ref="B160:I175" si="2">B22</f>
        <v>Ceili16</v>
      </c>
      <c r="C160" s="232" t="str">
        <f t="shared" si="2"/>
        <v>Ceiling16</v>
      </c>
      <c r="D160" s="232" t="str">
        <f t="shared" si="2"/>
        <v>Ceiling</v>
      </c>
      <c r="E160" s="232">
        <f t="shared" si="2"/>
        <v>16</v>
      </c>
      <c r="F160" s="232" t="str">
        <f t="shared" si="2"/>
        <v>R-19</v>
      </c>
      <c r="G160" s="232" t="str">
        <f t="shared" si="2"/>
        <v>R-38</v>
      </c>
      <c r="H160" s="232" t="str">
        <f t="shared" si="2"/>
        <v>Heating Zone 1</v>
      </c>
      <c r="I160" s="232" t="str">
        <f t="shared" si="2"/>
        <v>Multi Family Weatherization - Insulate Attic - R-19 to R-38 - Heating Zone 1</v>
      </c>
      <c r="J160" s="232" t="s">
        <v>788</v>
      </c>
      <c r="K160" s="247">
        <f>Results!K24</f>
        <v>0.16409202240988657</v>
      </c>
      <c r="L160" s="219">
        <v>0</v>
      </c>
    </row>
    <row r="161" spans="1:12" ht="15.75" thickBot="1">
      <c r="A161" s="27" t="s">
        <v>805</v>
      </c>
      <c r="B161" s="232" t="str">
        <f t="shared" si="2"/>
        <v>Ceili17</v>
      </c>
      <c r="C161" s="232" t="str">
        <f t="shared" si="2"/>
        <v>Ceiling17</v>
      </c>
      <c r="D161" s="232" t="str">
        <f t="shared" si="2"/>
        <v>Ceiling</v>
      </c>
      <c r="E161" s="232">
        <f t="shared" si="2"/>
        <v>17</v>
      </c>
      <c r="F161" s="232" t="str">
        <f t="shared" si="2"/>
        <v>R-19</v>
      </c>
      <c r="G161" s="232" t="str">
        <f t="shared" si="2"/>
        <v>R-49</v>
      </c>
      <c r="H161" s="232" t="str">
        <f t="shared" si="2"/>
        <v>Heating Zone 1</v>
      </c>
      <c r="I161" s="232" t="str">
        <f t="shared" si="2"/>
        <v>Multi Family Weatherization - Insulate Attic - R-19 to R-49 - Heating Zone 1</v>
      </c>
      <c r="J161" s="232" t="s">
        <v>788</v>
      </c>
      <c r="K161" s="247">
        <f>Results!K25</f>
        <v>0.2020424278354549</v>
      </c>
      <c r="L161" s="219">
        <v>0</v>
      </c>
    </row>
    <row r="162" spans="1:12" ht="15.75" thickBot="1">
      <c r="A162" s="27" t="s">
        <v>806</v>
      </c>
      <c r="B162" s="232" t="str">
        <f t="shared" si="2"/>
        <v>Ceili18</v>
      </c>
      <c r="C162" s="232" t="str">
        <f t="shared" si="2"/>
        <v>Ceiling18</v>
      </c>
      <c r="D162" s="232" t="str">
        <f t="shared" si="2"/>
        <v>Ceiling</v>
      </c>
      <c r="E162" s="232">
        <f t="shared" si="2"/>
        <v>18</v>
      </c>
      <c r="F162" s="232" t="str">
        <f t="shared" si="2"/>
        <v>R-38</v>
      </c>
      <c r="G162" s="232" t="str">
        <f t="shared" si="2"/>
        <v>R-49</v>
      </c>
      <c r="H162" s="232" t="str">
        <f t="shared" si="2"/>
        <v>Heating Zone 1</v>
      </c>
      <c r="I162" s="232" t="str">
        <f t="shared" si="2"/>
        <v>Multi Family Weatherization - Insulate Attic - R-38 to R-49 - Heating Zone 1</v>
      </c>
      <c r="J162" s="232" t="s">
        <v>788</v>
      </c>
      <c r="K162" s="288">
        <f>Results!K26</f>
        <v>3.7950405425568309E-2</v>
      </c>
      <c r="L162" s="219">
        <v>0</v>
      </c>
    </row>
    <row r="163" spans="1:12" ht="15.75" thickBot="1">
      <c r="A163" s="27" t="s">
        <v>807</v>
      </c>
      <c r="B163" s="232" t="str">
        <f t="shared" si="2"/>
        <v>Windo10</v>
      </c>
      <c r="C163" s="232" t="str">
        <f t="shared" si="2"/>
        <v>Windows10</v>
      </c>
      <c r="D163" s="232" t="str">
        <f t="shared" si="2"/>
        <v>Windows</v>
      </c>
      <c r="E163" s="232">
        <f t="shared" si="2"/>
        <v>10</v>
      </c>
      <c r="F163" s="232" t="str">
        <f t="shared" si="2"/>
        <v>Class 85</v>
      </c>
      <c r="G163" s="232" t="str">
        <f t="shared" si="2"/>
        <v>Class 35</v>
      </c>
      <c r="H163" s="232" t="str">
        <f t="shared" si="2"/>
        <v>Heating Zone 1</v>
      </c>
      <c r="I163" s="232" t="str">
        <f t="shared" si="2"/>
        <v>Windows - Class 85 to Class 35 - Heating Zone 1</v>
      </c>
      <c r="J163" s="232" t="s">
        <v>788</v>
      </c>
      <c r="K163" s="256">
        <f>Results!K27</f>
        <v>-6.9943700424944639</v>
      </c>
      <c r="L163" s="219">
        <v>0</v>
      </c>
    </row>
    <row r="164" spans="1:12" ht="15.75" thickBot="1">
      <c r="A164" s="27" t="s">
        <v>808</v>
      </c>
      <c r="B164" s="232" t="str">
        <f t="shared" si="2"/>
        <v>Windo11</v>
      </c>
      <c r="C164" s="232" t="str">
        <f t="shared" si="2"/>
        <v>Windows11</v>
      </c>
      <c r="D164" s="232" t="str">
        <f t="shared" si="2"/>
        <v>Windows</v>
      </c>
      <c r="E164" s="232">
        <f t="shared" si="2"/>
        <v>11</v>
      </c>
      <c r="F164" s="232" t="str">
        <f t="shared" si="2"/>
        <v>Class 85</v>
      </c>
      <c r="G164" s="232" t="str">
        <f t="shared" si="2"/>
        <v>Class 30</v>
      </c>
      <c r="H164" s="232" t="str">
        <f t="shared" si="2"/>
        <v>Heating Zone 1</v>
      </c>
      <c r="I164" s="232" t="str">
        <f t="shared" si="2"/>
        <v>Windows - Class 85 to Class 30 - Heating Zone 1</v>
      </c>
      <c r="J164" s="232" t="s">
        <v>788</v>
      </c>
      <c r="K164" s="256">
        <f>Results!K28</f>
        <v>-5.7469488745951818</v>
      </c>
      <c r="L164" s="219">
        <v>0</v>
      </c>
    </row>
    <row r="165" spans="1:12" ht="15.75" thickBot="1">
      <c r="A165" s="27" t="s">
        <v>809</v>
      </c>
      <c r="B165" s="232" t="str">
        <f t="shared" si="2"/>
        <v>Windo12</v>
      </c>
      <c r="C165" s="232" t="str">
        <f t="shared" si="2"/>
        <v>Windows12</v>
      </c>
      <c r="D165" s="232" t="str">
        <f t="shared" si="2"/>
        <v>Windows</v>
      </c>
      <c r="E165" s="232">
        <f t="shared" si="2"/>
        <v>12</v>
      </c>
      <c r="F165" s="232" t="str">
        <f t="shared" si="2"/>
        <v>Class 85</v>
      </c>
      <c r="G165" s="232" t="str">
        <f t="shared" si="2"/>
        <v>Class 25</v>
      </c>
      <c r="H165" s="232" t="str">
        <f t="shared" si="2"/>
        <v>Heating Zone 1</v>
      </c>
      <c r="I165" s="232" t="str">
        <f t="shared" si="2"/>
        <v>Windows - Class 85 to Class 25 - Heating Zone 1</v>
      </c>
      <c r="J165" s="232" t="s">
        <v>788</v>
      </c>
      <c r="K165" s="256">
        <f>Results!K29</f>
        <v>0</v>
      </c>
      <c r="L165" s="219">
        <v>0</v>
      </c>
    </row>
    <row r="166" spans="1:12" ht="15.75" thickBot="1">
      <c r="A166" s="27" t="s">
        <v>810</v>
      </c>
      <c r="B166" s="232" t="str">
        <f t="shared" si="2"/>
        <v>Windo13</v>
      </c>
      <c r="C166" s="232" t="str">
        <f t="shared" si="2"/>
        <v>Windows13</v>
      </c>
      <c r="D166" s="232" t="str">
        <f t="shared" si="2"/>
        <v>Windows</v>
      </c>
      <c r="E166" s="232">
        <f t="shared" si="2"/>
        <v>13</v>
      </c>
      <c r="F166" s="232" t="str">
        <f t="shared" si="2"/>
        <v>Class 85</v>
      </c>
      <c r="G166" s="232" t="str">
        <f t="shared" si="2"/>
        <v>Class 20</v>
      </c>
      <c r="H166" s="232" t="str">
        <f t="shared" si="2"/>
        <v>Heating Zone 1</v>
      </c>
      <c r="I166" s="232" t="str">
        <f t="shared" si="2"/>
        <v>Windows - Class 85 to Class 20 - Heating Zone 1</v>
      </c>
      <c r="J166" s="232" t="s">
        <v>788</v>
      </c>
      <c r="K166" s="256">
        <f>Results!K30</f>
        <v>-3.4401272519786321</v>
      </c>
      <c r="L166" s="219">
        <v>0</v>
      </c>
    </row>
    <row r="167" spans="1:12" ht="15.75" thickBot="1">
      <c r="A167" s="27" t="s">
        <v>811</v>
      </c>
      <c r="B167" s="232" t="str">
        <f t="shared" si="2"/>
        <v>Windo14</v>
      </c>
      <c r="C167" s="232" t="str">
        <f t="shared" si="2"/>
        <v>Windows14</v>
      </c>
      <c r="D167" s="232" t="str">
        <f t="shared" si="2"/>
        <v>Windows</v>
      </c>
      <c r="E167" s="232">
        <f t="shared" si="2"/>
        <v>14</v>
      </c>
      <c r="F167" s="232" t="str">
        <f t="shared" si="2"/>
        <v>Class 85</v>
      </c>
      <c r="G167" s="232" t="str">
        <f t="shared" si="2"/>
        <v>Class 15</v>
      </c>
      <c r="H167" s="232" t="str">
        <f t="shared" si="2"/>
        <v>Heating Zone 1</v>
      </c>
      <c r="I167" s="232" t="str">
        <f t="shared" si="2"/>
        <v>Windows - Class 85 to Class 15 - Heating Zone 1</v>
      </c>
      <c r="J167" s="232" t="s">
        <v>788</v>
      </c>
      <c r="K167" s="256">
        <f>Results!K31</f>
        <v>-2.0763290955372957</v>
      </c>
      <c r="L167" s="219">
        <v>0</v>
      </c>
    </row>
    <row r="168" spans="1:12" ht="15.75" thickBot="1">
      <c r="A168" s="27" t="s">
        <v>812</v>
      </c>
      <c r="B168" s="232" t="str">
        <f t="shared" si="2"/>
        <v>Windo15</v>
      </c>
      <c r="C168" s="232" t="str">
        <f t="shared" si="2"/>
        <v>Windows15</v>
      </c>
      <c r="D168" s="232" t="str">
        <f t="shared" si="2"/>
        <v>Windows</v>
      </c>
      <c r="E168" s="232">
        <f t="shared" si="2"/>
        <v>15</v>
      </c>
      <c r="F168" s="232" t="str">
        <f t="shared" si="2"/>
        <v>Class 50</v>
      </c>
      <c r="G168" s="232" t="str">
        <f t="shared" si="2"/>
        <v>Class 35</v>
      </c>
      <c r="H168" s="232" t="str">
        <f t="shared" si="2"/>
        <v>Heating Zone 1</v>
      </c>
      <c r="I168" s="232" t="str">
        <f t="shared" si="2"/>
        <v>Windows - Class 50 to Class 35 - Heating Zone 1</v>
      </c>
      <c r="J168" s="232" t="s">
        <v>788</v>
      </c>
      <c r="K168" s="256">
        <f>Results!K32</f>
        <v>1.2056008540024281</v>
      </c>
      <c r="L168" s="219">
        <v>0</v>
      </c>
    </row>
    <row r="169" spans="1:12" ht="15.75" thickBot="1">
      <c r="A169" s="27" t="s">
        <v>813</v>
      </c>
      <c r="B169" s="232" t="str">
        <f t="shared" si="2"/>
        <v>Windo16</v>
      </c>
      <c r="C169" s="232" t="str">
        <f t="shared" si="2"/>
        <v>Windows16</v>
      </c>
      <c r="D169" s="232" t="str">
        <f t="shared" si="2"/>
        <v>Windows</v>
      </c>
      <c r="E169" s="232">
        <f t="shared" si="2"/>
        <v>16</v>
      </c>
      <c r="F169" s="232" t="str">
        <f t="shared" si="2"/>
        <v>Class 50</v>
      </c>
      <c r="G169" s="232" t="str">
        <f t="shared" si="2"/>
        <v>Class 30</v>
      </c>
      <c r="H169" s="232" t="str">
        <f t="shared" si="2"/>
        <v>Heating Zone 1</v>
      </c>
      <c r="I169" s="232" t="str">
        <f t="shared" si="2"/>
        <v>Windows - Class 50 to Class 30 - Heating Zone 1</v>
      </c>
      <c r="J169" s="232" t="s">
        <v>788</v>
      </c>
      <c r="K169" s="256">
        <f>Results!K33</f>
        <v>2.4530220219017096</v>
      </c>
      <c r="L169" s="219">
        <v>0</v>
      </c>
    </row>
    <row r="170" spans="1:12" ht="15.75" thickBot="1">
      <c r="A170" s="27" t="s">
        <v>814</v>
      </c>
      <c r="B170" s="232" t="str">
        <f t="shared" si="2"/>
        <v>Windo17</v>
      </c>
      <c r="C170" s="232" t="str">
        <f t="shared" si="2"/>
        <v>Windows17</v>
      </c>
      <c r="D170" s="232" t="str">
        <f t="shared" si="2"/>
        <v>Windows</v>
      </c>
      <c r="E170" s="232">
        <f t="shared" si="2"/>
        <v>17</v>
      </c>
      <c r="F170" s="232" t="str">
        <f t="shared" si="2"/>
        <v>Class 50</v>
      </c>
      <c r="G170" s="232" t="str">
        <f t="shared" si="2"/>
        <v>Class 25</v>
      </c>
      <c r="H170" s="232" t="str">
        <f t="shared" si="2"/>
        <v>Heating Zone 1</v>
      </c>
      <c r="I170" s="232" t="str">
        <f t="shared" si="2"/>
        <v>Windows - Class 50 to Class 25 - Heating Zone 1</v>
      </c>
      <c r="J170" s="232" t="s">
        <v>788</v>
      </c>
      <c r="K170" s="256">
        <f>Results!K34</f>
        <v>8.1999708964968914</v>
      </c>
      <c r="L170" s="219">
        <v>0</v>
      </c>
    </row>
    <row r="171" spans="1:12" ht="15.75" thickBot="1">
      <c r="A171" s="27" t="s">
        <v>815</v>
      </c>
      <c r="B171" s="232" t="str">
        <f t="shared" si="2"/>
        <v>Windo18</v>
      </c>
      <c r="C171" s="232" t="str">
        <f t="shared" si="2"/>
        <v>Windows18</v>
      </c>
      <c r="D171" s="232" t="str">
        <f t="shared" si="2"/>
        <v>Windows</v>
      </c>
      <c r="E171" s="232">
        <f t="shared" si="2"/>
        <v>18</v>
      </c>
      <c r="F171" s="232" t="str">
        <f t="shared" si="2"/>
        <v>Class 50</v>
      </c>
      <c r="G171" s="232" t="str">
        <f t="shared" si="2"/>
        <v>Class 20</v>
      </c>
      <c r="H171" s="232" t="str">
        <f t="shared" si="2"/>
        <v>Heating Zone 1</v>
      </c>
      <c r="I171" s="232" t="str">
        <f t="shared" si="2"/>
        <v>Windows - Class 50 to Class 20 - Heating Zone 1</v>
      </c>
      <c r="J171" s="232" t="s">
        <v>788</v>
      </c>
      <c r="K171" s="256">
        <f>Results!K35</f>
        <v>4.7598436445182593</v>
      </c>
      <c r="L171" s="219">
        <v>0</v>
      </c>
    </row>
    <row r="172" spans="1:12" ht="15.75" thickBot="1">
      <c r="A172" s="27" t="s">
        <v>816</v>
      </c>
      <c r="B172" s="232" t="str">
        <f t="shared" si="2"/>
        <v>Windo19</v>
      </c>
      <c r="C172" s="232" t="str">
        <f t="shared" si="2"/>
        <v>Windows19</v>
      </c>
      <c r="D172" s="232" t="str">
        <f t="shared" si="2"/>
        <v>Windows</v>
      </c>
      <c r="E172" s="232">
        <f t="shared" si="2"/>
        <v>19</v>
      </c>
      <c r="F172" s="232" t="str">
        <f t="shared" si="2"/>
        <v>Class 35</v>
      </c>
      <c r="G172" s="232" t="str">
        <f t="shared" si="2"/>
        <v>Class 22</v>
      </c>
      <c r="H172" s="232" t="str">
        <f t="shared" si="2"/>
        <v>Heating Zone 1</v>
      </c>
      <c r="I172" s="232" t="str">
        <f t="shared" si="2"/>
        <v>Windows - Class 35 to Class 22 - Heating Zone 1</v>
      </c>
      <c r="J172" s="232" t="s">
        <v>788</v>
      </c>
      <c r="K172" s="256">
        <f>Results!K36</f>
        <v>3.0569390322076524</v>
      </c>
      <c r="L172" s="219">
        <v>0</v>
      </c>
    </row>
    <row r="173" spans="1:12" ht="15.75" thickBot="1">
      <c r="A173" s="27" t="s">
        <v>817</v>
      </c>
      <c r="B173" s="232" t="str">
        <f t="shared" si="2"/>
        <v>Windo20</v>
      </c>
      <c r="C173" s="232" t="str">
        <f t="shared" si="2"/>
        <v>Windows20</v>
      </c>
      <c r="D173" s="232" t="str">
        <f t="shared" si="2"/>
        <v>Windows</v>
      </c>
      <c r="E173" s="232">
        <f t="shared" si="2"/>
        <v>20</v>
      </c>
      <c r="F173" s="232" t="str">
        <f t="shared" si="2"/>
        <v>Single Pane</v>
      </c>
      <c r="G173" s="232" t="str">
        <f t="shared" si="2"/>
        <v>Class 22</v>
      </c>
      <c r="H173" s="232" t="str">
        <f t="shared" si="2"/>
        <v>Heating Zone 1</v>
      </c>
      <c r="I173" s="232" t="str">
        <f t="shared" si="2"/>
        <v>Windows - Single Pane to Class 22 - Heating Zone 1</v>
      </c>
      <c r="J173" s="232" t="s">
        <v>788</v>
      </c>
      <c r="K173" s="256">
        <f>Results!K37</f>
        <v>22.905370149993779</v>
      </c>
      <c r="L173" s="219">
        <v>0</v>
      </c>
    </row>
    <row r="174" spans="1:12" ht="15.75" thickBot="1">
      <c r="A174" s="27" t="s">
        <v>818</v>
      </c>
      <c r="B174" s="232" t="str">
        <f t="shared" si="2"/>
        <v>Windo21</v>
      </c>
      <c r="C174" s="232" t="str">
        <f t="shared" si="2"/>
        <v>Windows21</v>
      </c>
      <c r="D174" s="232" t="str">
        <f t="shared" si="2"/>
        <v>Windows</v>
      </c>
      <c r="E174" s="232">
        <f t="shared" si="2"/>
        <v>21</v>
      </c>
      <c r="F174" s="232" t="str">
        <f t="shared" si="2"/>
        <v>Double Pane</v>
      </c>
      <c r="G174" s="232" t="str">
        <f t="shared" si="2"/>
        <v>Class 22</v>
      </c>
      <c r="H174" s="232" t="str">
        <f t="shared" si="2"/>
        <v>Heating Zone 1</v>
      </c>
      <c r="I174" s="232" t="str">
        <f t="shared" si="2"/>
        <v>Windows - Double Pane to Class 22 - Heating Zone 1</v>
      </c>
      <c r="J174" s="232" t="s">
        <v>788</v>
      </c>
      <c r="K174" s="256">
        <f>Results!K38</f>
        <v>13.397849857544676</v>
      </c>
      <c r="L174" s="219">
        <v>0</v>
      </c>
    </row>
    <row r="175" spans="1:12" ht="15.75" thickBot="1">
      <c r="A175" s="27" t="s">
        <v>819</v>
      </c>
      <c r="B175" s="232" t="str">
        <f t="shared" si="2"/>
        <v>Windo22</v>
      </c>
      <c r="C175" s="232" t="str">
        <f t="shared" si="2"/>
        <v>Windows22</v>
      </c>
      <c r="D175" s="232" t="str">
        <f t="shared" si="2"/>
        <v>Windows</v>
      </c>
      <c r="E175" s="232">
        <f t="shared" si="2"/>
        <v>22</v>
      </c>
      <c r="F175" s="232" t="str">
        <f t="shared" si="2"/>
        <v>Single Pane</v>
      </c>
      <c r="G175" s="232" t="str">
        <f t="shared" si="2"/>
        <v>Class 30</v>
      </c>
      <c r="H175" s="232" t="str">
        <f t="shared" si="2"/>
        <v>Heating Zone 1</v>
      </c>
      <c r="I175" s="232" t="str">
        <f t="shared" si="2"/>
        <v>Windows - Single Pane to Class 30 - Heating Zone 1</v>
      </c>
      <c r="J175" s="232" t="s">
        <v>788</v>
      </c>
      <c r="K175" s="247">
        <f>Results!K39</f>
        <v>21.095852285685414</v>
      </c>
      <c r="L175" s="219">
        <v>0</v>
      </c>
    </row>
    <row r="176" spans="1:12" ht="15.75" thickBot="1">
      <c r="A176" s="27" t="s">
        <v>820</v>
      </c>
      <c r="B176" s="232" t="str">
        <f t="shared" ref="B176:I191" si="3">B38</f>
        <v>Windo23</v>
      </c>
      <c r="C176" s="232" t="str">
        <f t="shared" si="3"/>
        <v>Windows23</v>
      </c>
      <c r="D176" s="232" t="str">
        <f t="shared" si="3"/>
        <v>Windows</v>
      </c>
      <c r="E176" s="232">
        <f t="shared" si="3"/>
        <v>23</v>
      </c>
      <c r="F176" s="232" t="str">
        <f t="shared" si="3"/>
        <v>Double Pane</v>
      </c>
      <c r="G176" s="232" t="str">
        <f t="shared" si="3"/>
        <v>Class 30</v>
      </c>
      <c r="H176" s="232" t="str">
        <f t="shared" si="3"/>
        <v>Heating Zone 1</v>
      </c>
      <c r="I176" s="232" t="str">
        <f t="shared" si="3"/>
        <v>Windows - Double Pane to Class 30 - Heating Zone 1</v>
      </c>
      <c r="J176" s="232" t="s">
        <v>788</v>
      </c>
      <c r="K176" s="247">
        <f>Results!K40</f>
        <v>11.588331993236304</v>
      </c>
      <c r="L176" s="219">
        <v>0</v>
      </c>
    </row>
    <row r="177" spans="1:12" ht="15.75" thickBot="1">
      <c r="A177" s="27" t="s">
        <v>821</v>
      </c>
      <c r="B177" s="232" t="str">
        <f t="shared" si="3"/>
        <v>Windo24</v>
      </c>
      <c r="C177" s="232" t="str">
        <f t="shared" si="3"/>
        <v>Windows24</v>
      </c>
      <c r="D177" s="232" t="str">
        <f t="shared" si="3"/>
        <v>Windows</v>
      </c>
      <c r="E177" s="232">
        <f t="shared" si="3"/>
        <v>24</v>
      </c>
      <c r="F177" s="232" t="str">
        <f t="shared" si="3"/>
        <v>Class 35</v>
      </c>
      <c r="G177" s="232" t="str">
        <f t="shared" si="3"/>
        <v>Class 30</v>
      </c>
      <c r="H177" s="232" t="str">
        <f t="shared" si="3"/>
        <v>Heating Zone 1</v>
      </c>
      <c r="I177" s="232" t="str">
        <f t="shared" si="3"/>
        <v>Windows - Class 35 to Class 30 - Heating Zone 1</v>
      </c>
      <c r="J177" s="232" t="s">
        <v>788</v>
      </c>
      <c r="K177" s="247">
        <f>Results!K41</f>
        <v>1.247421167899281</v>
      </c>
      <c r="L177" s="219">
        <v>0</v>
      </c>
    </row>
    <row r="178" spans="1:12" ht="15.75" thickBot="1">
      <c r="A178" s="27" t="s">
        <v>822</v>
      </c>
      <c r="B178" s="232" t="str">
        <f t="shared" si="3"/>
        <v>Infil10</v>
      </c>
      <c r="C178" s="232" t="str">
        <f t="shared" si="3"/>
        <v>Infiltration10</v>
      </c>
      <c r="D178" s="232" t="str">
        <f t="shared" si="3"/>
        <v>Infiltration</v>
      </c>
      <c r="E178" s="232">
        <f t="shared" si="3"/>
        <v>10</v>
      </c>
      <c r="F178" s="232" t="str">
        <f t="shared" si="3"/>
        <v>0.45 ACHn</v>
      </c>
      <c r="G178" s="232" t="str">
        <f t="shared" si="3"/>
        <v>0.35 ACHn</v>
      </c>
      <c r="H178" s="232" t="str">
        <f t="shared" si="3"/>
        <v>Heating Zone 1</v>
      </c>
      <c r="I178" s="232" t="str">
        <f t="shared" si="3"/>
        <v>Infiltration Reduction - 0.45 ACHn to 0.35 ACHn - Heating Zone 1</v>
      </c>
      <c r="J178" s="232" t="s">
        <v>788</v>
      </c>
      <c r="K178" s="283">
        <f>Results!K42</f>
        <v>0</v>
      </c>
      <c r="L178" s="219">
        <v>0</v>
      </c>
    </row>
    <row r="179" spans="1:12" ht="15.75" thickBot="1">
      <c r="A179" s="27" t="s">
        <v>823</v>
      </c>
      <c r="B179" s="232" t="str">
        <f t="shared" si="3"/>
        <v>Infil11</v>
      </c>
      <c r="C179" s="232" t="str">
        <f t="shared" si="3"/>
        <v>Infiltration11</v>
      </c>
      <c r="D179" s="232" t="str">
        <f t="shared" si="3"/>
        <v>Infiltration</v>
      </c>
      <c r="E179" s="232">
        <f t="shared" si="3"/>
        <v>11</v>
      </c>
      <c r="F179" s="232" t="str">
        <f t="shared" si="3"/>
        <v>0.45 ACHn</v>
      </c>
      <c r="G179" s="232" t="str">
        <f t="shared" si="3"/>
        <v>0.20 ACHn</v>
      </c>
      <c r="H179" s="232" t="str">
        <f t="shared" si="3"/>
        <v>Heating Zone 1</v>
      </c>
      <c r="I179" s="232" t="str">
        <f t="shared" si="3"/>
        <v>Infiltration Reduction - 0.45 ACHn to 0.20 ACHn - Heating Zone 1</v>
      </c>
      <c r="J179" s="232" t="s">
        <v>788</v>
      </c>
      <c r="K179" s="256">
        <f>Results!K43</f>
        <v>0</v>
      </c>
      <c r="L179" s="219">
        <v>0</v>
      </c>
    </row>
    <row r="180" spans="1:12" ht="15.75" thickBot="1">
      <c r="A180" s="27" t="s">
        <v>824</v>
      </c>
      <c r="B180" s="232" t="str">
        <f t="shared" si="3"/>
        <v>Infil12</v>
      </c>
      <c r="C180" s="232" t="str">
        <f t="shared" si="3"/>
        <v>Infiltration12</v>
      </c>
      <c r="D180" s="232" t="str">
        <f t="shared" si="3"/>
        <v>Infiltration</v>
      </c>
      <c r="E180" s="232">
        <f t="shared" si="3"/>
        <v>12</v>
      </c>
      <c r="F180" s="232" t="str">
        <f t="shared" si="3"/>
        <v>0.35 ACHn</v>
      </c>
      <c r="G180" s="232" t="str">
        <f t="shared" si="3"/>
        <v>0.20 ACHn</v>
      </c>
      <c r="H180" s="232" t="str">
        <f t="shared" si="3"/>
        <v>Heating Zone 1</v>
      </c>
      <c r="I180" s="232" t="str">
        <f t="shared" si="3"/>
        <v>Infiltration Reduction - 0.35 ACHn to 0.20 ACHn - Heating Zone 1</v>
      </c>
      <c r="J180" s="232" t="s">
        <v>788</v>
      </c>
      <c r="K180" s="293">
        <f>Results!K44</f>
        <v>0</v>
      </c>
      <c r="L180" s="219">
        <v>0</v>
      </c>
    </row>
    <row r="181" spans="1:12" ht="15.75" thickBot="1">
      <c r="A181" s="27" t="s">
        <v>825</v>
      </c>
      <c r="B181" s="232" t="str">
        <f t="shared" si="3"/>
        <v>DuctT10</v>
      </c>
      <c r="C181" s="232" t="str">
        <f t="shared" si="3"/>
        <v>DuctTightness10</v>
      </c>
      <c r="D181" s="232" t="str">
        <f t="shared" si="3"/>
        <v>DuctTightness</v>
      </c>
      <c r="E181" s="232">
        <f t="shared" si="3"/>
        <v>10</v>
      </c>
      <c r="F181" s="232" t="str">
        <f t="shared" si="3"/>
        <v>Std-crawl</v>
      </c>
      <c r="G181" s="232" t="str">
        <f t="shared" si="3"/>
        <v>PTCS-crawl</v>
      </c>
      <c r="H181" s="232" t="str">
        <f t="shared" si="3"/>
        <v>Heating Zone 1</v>
      </c>
      <c r="I181" s="232" t="str">
        <f t="shared" si="3"/>
        <v>DuctTightness - Std-crawl to PTCS-crawl - Heating Zone 1</v>
      </c>
      <c r="J181" s="232" t="s">
        <v>788</v>
      </c>
      <c r="K181" s="295">
        <f>Results!K45</f>
        <v>0</v>
      </c>
      <c r="L181" s="219">
        <v>0</v>
      </c>
    </row>
    <row r="182" spans="1:12" ht="15.75" thickBot="1">
      <c r="A182" s="27" t="s">
        <v>826</v>
      </c>
      <c r="B182" s="232" t="str">
        <f t="shared" si="3"/>
        <v>DuctI10</v>
      </c>
      <c r="C182" s="232" t="str">
        <f t="shared" si="3"/>
        <v>DuctInsulation10</v>
      </c>
      <c r="D182" s="232" t="str">
        <f t="shared" si="3"/>
        <v>DuctInsulation</v>
      </c>
      <c r="E182" s="232">
        <f t="shared" si="3"/>
        <v>10</v>
      </c>
      <c r="F182" s="232" t="str">
        <f t="shared" si="3"/>
        <v>R-0</v>
      </c>
      <c r="G182" s="232" t="str">
        <f t="shared" si="3"/>
        <v>R-4.2</v>
      </c>
      <c r="H182" s="232" t="str">
        <f t="shared" si="3"/>
        <v>Heating Zone 1</v>
      </c>
      <c r="I182" s="232" t="str">
        <f t="shared" si="3"/>
        <v>DuctInsulation - R-0 to R-4.2 - Heating Zone 1</v>
      </c>
      <c r="J182" s="232" t="s">
        <v>788</v>
      </c>
      <c r="K182" s="299">
        <f>Results!K46</f>
        <v>0</v>
      </c>
      <c r="L182" s="219">
        <v>0</v>
      </c>
    </row>
    <row r="183" spans="1:12" ht="15.75" thickBot="1">
      <c r="A183" s="27" t="s">
        <v>827</v>
      </c>
      <c r="B183" s="232" t="str">
        <f t="shared" si="3"/>
        <v>DuctI11</v>
      </c>
      <c r="C183" s="232" t="str">
        <f t="shared" si="3"/>
        <v>DuctInsulation11</v>
      </c>
      <c r="D183" s="232" t="str">
        <f t="shared" si="3"/>
        <v>DuctInsulation</v>
      </c>
      <c r="E183" s="232">
        <f t="shared" si="3"/>
        <v>11</v>
      </c>
      <c r="F183" s="232" t="str">
        <f t="shared" si="3"/>
        <v>R-0</v>
      </c>
      <c r="G183" s="232" t="str">
        <f t="shared" si="3"/>
        <v>R-11</v>
      </c>
      <c r="H183" s="232" t="str">
        <f t="shared" si="3"/>
        <v>Heating Zone 1</v>
      </c>
      <c r="I183" s="232" t="str">
        <f t="shared" si="3"/>
        <v>DuctInsulation - R-0 to R-11 - Heating Zone 1</v>
      </c>
      <c r="J183" s="232" t="s">
        <v>788</v>
      </c>
      <c r="K183" s="301">
        <f>Results!K47</f>
        <v>0</v>
      </c>
      <c r="L183" s="219">
        <v>0</v>
      </c>
    </row>
    <row r="184" spans="1:12" ht="15.75" thickBot="1">
      <c r="A184" s="27" t="s">
        <v>828</v>
      </c>
      <c r="B184" s="232" t="str">
        <f t="shared" si="3"/>
        <v>DuctI12</v>
      </c>
      <c r="C184" s="232" t="str">
        <f t="shared" si="3"/>
        <v>DuctInsulation12</v>
      </c>
      <c r="D184" s="232" t="str">
        <f t="shared" si="3"/>
        <v>DuctInsulation</v>
      </c>
      <c r="E184" s="232">
        <f t="shared" si="3"/>
        <v>12</v>
      </c>
      <c r="F184" s="232" t="str">
        <f t="shared" si="3"/>
        <v>R-4.2</v>
      </c>
      <c r="G184" s="232" t="str">
        <f t="shared" si="3"/>
        <v>R-11</v>
      </c>
      <c r="H184" s="232" t="str">
        <f t="shared" si="3"/>
        <v>Heating Zone 1</v>
      </c>
      <c r="I184" s="232" t="str">
        <f t="shared" si="3"/>
        <v>DuctInsulation - R-4.2 to R-11 - Heating Zone 1</v>
      </c>
      <c r="J184" s="232" t="s">
        <v>788</v>
      </c>
      <c r="K184" s="303">
        <f>Results!K48</f>
        <v>0</v>
      </c>
      <c r="L184" s="219">
        <v>0</v>
      </c>
    </row>
    <row r="185" spans="1:12" ht="15.75" thickBot="1">
      <c r="A185" s="27" t="s">
        <v>829</v>
      </c>
      <c r="B185" s="232" t="str">
        <f t="shared" si="3"/>
        <v>HeatP10</v>
      </c>
      <c r="C185" s="232" t="str">
        <f t="shared" si="3"/>
        <v>HeatPump10</v>
      </c>
      <c r="D185" s="232" t="str">
        <f t="shared" si="3"/>
        <v>HeatPump</v>
      </c>
      <c r="E185" s="232">
        <f t="shared" si="3"/>
        <v>10</v>
      </c>
      <c r="F185" s="232" t="str">
        <f t="shared" si="3"/>
        <v>7.7/13</v>
      </c>
      <c r="G185" s="232" t="str">
        <f t="shared" si="3"/>
        <v>8.5/13</v>
      </c>
      <c r="H185" s="232" t="str">
        <f t="shared" si="3"/>
        <v>Heating Zone 1</v>
      </c>
      <c r="I185" s="232" t="str">
        <f t="shared" si="3"/>
        <v>HeatPump Upgrade - 7.7/13 to 8.5/13 - Heating Zone 1</v>
      </c>
      <c r="J185" s="232" t="s">
        <v>788</v>
      </c>
      <c r="K185" s="301">
        <f>Results!K49</f>
        <v>0</v>
      </c>
      <c r="L185" s="219">
        <v>0</v>
      </c>
    </row>
    <row r="186" spans="1:12" ht="15.75" thickBot="1">
      <c r="A186" s="27" t="s">
        <v>830</v>
      </c>
      <c r="B186" s="232" t="str">
        <f t="shared" si="3"/>
        <v>HeatP11</v>
      </c>
      <c r="C186" s="232" t="str">
        <f t="shared" si="3"/>
        <v>HeatPump11</v>
      </c>
      <c r="D186" s="232" t="str">
        <f t="shared" si="3"/>
        <v>HeatPump</v>
      </c>
      <c r="E186" s="232">
        <f t="shared" si="3"/>
        <v>11</v>
      </c>
      <c r="F186" s="232" t="str">
        <f t="shared" si="3"/>
        <v>7.7/13</v>
      </c>
      <c r="G186" s="232" t="str">
        <f t="shared" si="3"/>
        <v>9.0/14</v>
      </c>
      <c r="H186" s="232" t="str">
        <f t="shared" si="3"/>
        <v>Heating Zone 1</v>
      </c>
      <c r="I186" s="232" t="str">
        <f t="shared" si="3"/>
        <v>HeatPump Upgrade - 7.7/13 to 9.0/14 - Heating Zone 1</v>
      </c>
      <c r="J186" s="232" t="s">
        <v>788</v>
      </c>
      <c r="K186" s="301">
        <f>Results!K50</f>
        <v>0</v>
      </c>
      <c r="L186" s="219">
        <v>0</v>
      </c>
    </row>
    <row r="187" spans="1:12" ht="15.75" thickBot="1">
      <c r="A187" s="27" t="s">
        <v>831</v>
      </c>
      <c r="B187" s="232" t="str">
        <f t="shared" si="3"/>
        <v>HeatP12</v>
      </c>
      <c r="C187" s="232" t="str">
        <f t="shared" si="3"/>
        <v>HeatPump12</v>
      </c>
      <c r="D187" s="232" t="str">
        <f t="shared" si="3"/>
        <v>HeatPump</v>
      </c>
      <c r="E187" s="232">
        <f t="shared" si="3"/>
        <v>12</v>
      </c>
      <c r="F187" s="232" t="str">
        <f t="shared" si="3"/>
        <v>7.7/13</v>
      </c>
      <c r="G187" s="232" t="str">
        <f t="shared" si="3"/>
        <v>8.2/13</v>
      </c>
      <c r="H187" s="232" t="str">
        <f t="shared" si="3"/>
        <v>Heating Zone 1</v>
      </c>
      <c r="I187" s="232" t="str">
        <f t="shared" si="3"/>
        <v>HeatPump Upgrade - 7.7/13 to 8.2/13 - Heating Zone 1</v>
      </c>
      <c r="J187" s="232" t="s">
        <v>788</v>
      </c>
      <c r="K187" s="303">
        <f>Results!K51</f>
        <v>0</v>
      </c>
      <c r="L187" s="219">
        <v>0</v>
      </c>
    </row>
    <row r="188" spans="1:12" ht="15.75" thickBot="1">
      <c r="A188" s="27" t="s">
        <v>832</v>
      </c>
      <c r="B188" s="232" t="str">
        <f t="shared" si="3"/>
        <v>HPCnt10</v>
      </c>
      <c r="C188" s="232" t="str">
        <f t="shared" si="3"/>
        <v>HPCntrls10</v>
      </c>
      <c r="D188" s="232" t="str">
        <f t="shared" si="3"/>
        <v>HPCntrls</v>
      </c>
      <c r="E188" s="232">
        <f t="shared" si="3"/>
        <v>10</v>
      </c>
      <c r="F188" s="232" t="str">
        <f t="shared" si="3"/>
        <v>Standard</v>
      </c>
      <c r="G188" s="232" t="str">
        <f t="shared" si="3"/>
        <v>PTCS</v>
      </c>
      <c r="H188" s="232" t="str">
        <f t="shared" si="3"/>
        <v>Heating Zone 1</v>
      </c>
      <c r="I188" s="232" t="str">
        <f t="shared" si="3"/>
        <v>HPCntrls Upgrade - Standard to PTCS - Heating Zone 1</v>
      </c>
      <c r="J188" s="232" t="s">
        <v>788</v>
      </c>
      <c r="K188" s="307">
        <f>Results!K52</f>
        <v>0</v>
      </c>
      <c r="L188" s="219">
        <v>0</v>
      </c>
    </row>
    <row r="189" spans="1:12" ht="15.75" thickBot="1">
      <c r="A189" s="27" t="s">
        <v>833</v>
      </c>
      <c r="B189" s="232" t="str">
        <f t="shared" si="3"/>
        <v>Walls10</v>
      </c>
      <c r="C189" s="232" t="str">
        <f t="shared" si="3"/>
        <v>Walls10</v>
      </c>
      <c r="D189" s="232" t="str">
        <f t="shared" si="3"/>
        <v>Walls</v>
      </c>
      <c r="E189" s="232">
        <f t="shared" si="3"/>
        <v>10</v>
      </c>
      <c r="F189" s="232" t="str">
        <f t="shared" si="3"/>
        <v>R-0</v>
      </c>
      <c r="G189" s="232" t="str">
        <f t="shared" si="3"/>
        <v>R-11</v>
      </c>
      <c r="H189" s="232" t="str">
        <f t="shared" si="3"/>
        <v>Heating Zone 2</v>
      </c>
      <c r="I189" s="232" t="str">
        <f t="shared" si="3"/>
        <v>Multi Family Weatherization - Insulate Walls - R-0 to R-11 - Heating Zone 2</v>
      </c>
      <c r="J189" s="232" t="s">
        <v>788</v>
      </c>
      <c r="K189" s="235">
        <f>Results!K53</f>
        <v>1.7455528503752906</v>
      </c>
      <c r="L189" s="219">
        <v>0</v>
      </c>
    </row>
    <row r="190" spans="1:12" ht="15.75" thickBot="1">
      <c r="A190" s="27" t="s">
        <v>834</v>
      </c>
      <c r="B190" s="232" t="str">
        <f t="shared" si="3"/>
        <v>BGWal10</v>
      </c>
      <c r="C190" s="232" t="str">
        <f t="shared" si="3"/>
        <v>BGWalls10</v>
      </c>
      <c r="D190" s="232" t="str">
        <f t="shared" si="3"/>
        <v>BGWalls</v>
      </c>
      <c r="E190" s="232">
        <f t="shared" si="3"/>
        <v>10</v>
      </c>
      <c r="F190" s="232" t="str">
        <f t="shared" si="3"/>
        <v>R-0</v>
      </c>
      <c r="G190" s="232" t="str">
        <f t="shared" si="3"/>
        <v>R-11</v>
      </c>
      <c r="H190" s="232" t="str">
        <f t="shared" si="3"/>
        <v>Heating Zone 2</v>
      </c>
      <c r="I190" s="232" t="str">
        <f t="shared" si="3"/>
        <v>Multi Family Weatherization - Insulate BGWalls - R-0 to R-11 - Heating Zone 2</v>
      </c>
      <c r="J190" s="232" t="s">
        <v>788</v>
      </c>
      <c r="K190" s="242">
        <f>Results!K54</f>
        <v>0</v>
      </c>
      <c r="L190" s="219">
        <v>0</v>
      </c>
    </row>
    <row r="191" spans="1:12" ht="15.75" thickBot="1">
      <c r="A191" s="27" t="s">
        <v>835</v>
      </c>
      <c r="B191" s="232" t="str">
        <f t="shared" si="3"/>
        <v>Floor10</v>
      </c>
      <c r="C191" s="232" t="str">
        <f t="shared" si="3"/>
        <v>Floors10</v>
      </c>
      <c r="D191" s="232" t="str">
        <f t="shared" si="3"/>
        <v>Floors</v>
      </c>
      <c r="E191" s="232">
        <f t="shared" si="3"/>
        <v>10</v>
      </c>
      <c r="F191" s="232" t="str">
        <f t="shared" si="3"/>
        <v>R-0</v>
      </c>
      <c r="G191" s="232" t="str">
        <f t="shared" si="3"/>
        <v>R-19</v>
      </c>
      <c r="H191" s="232" t="str">
        <f t="shared" si="3"/>
        <v>Heating Zone 2</v>
      </c>
      <c r="I191" s="232" t="str">
        <f t="shared" si="3"/>
        <v>Multi Family Weatherization - Insulate Floors - R-0 to R-19 - Heating Zone 2</v>
      </c>
      <c r="J191" s="232" t="s">
        <v>788</v>
      </c>
      <c r="K191" s="247">
        <f>Results!K55</f>
        <v>0.70850569625695259</v>
      </c>
      <c r="L191" s="219">
        <v>0</v>
      </c>
    </row>
    <row r="192" spans="1:12" ht="15.75" thickBot="1">
      <c r="A192" s="27" t="s">
        <v>836</v>
      </c>
      <c r="B192" s="232" t="str">
        <f t="shared" ref="B192:I207" si="4">B54</f>
        <v>Floor11</v>
      </c>
      <c r="C192" s="232" t="str">
        <f t="shared" si="4"/>
        <v>Floors11</v>
      </c>
      <c r="D192" s="232" t="str">
        <f t="shared" si="4"/>
        <v>Floors</v>
      </c>
      <c r="E192" s="232">
        <f t="shared" si="4"/>
        <v>11</v>
      </c>
      <c r="F192" s="232" t="str">
        <f t="shared" si="4"/>
        <v>R-0</v>
      </c>
      <c r="G192" s="232" t="str">
        <f t="shared" si="4"/>
        <v>R-25</v>
      </c>
      <c r="H192" s="232" t="str">
        <f t="shared" si="4"/>
        <v>Heating Zone 2</v>
      </c>
      <c r="I192" s="232" t="str">
        <f t="shared" si="4"/>
        <v>Multi Family Weatherization - Insulate Floors - R-0 to R-25 - Heating Zone 2</v>
      </c>
      <c r="J192" s="232" t="s">
        <v>788</v>
      </c>
      <c r="K192" s="256">
        <f>Results!K56</f>
        <v>0.81318738908850308</v>
      </c>
      <c r="L192" s="219">
        <v>0</v>
      </c>
    </row>
    <row r="193" spans="1:12" ht="15.75" thickBot="1">
      <c r="A193" s="27" t="s">
        <v>837</v>
      </c>
      <c r="B193" s="232" t="str">
        <f t="shared" si="4"/>
        <v>Floor12</v>
      </c>
      <c r="C193" s="232" t="str">
        <f t="shared" si="4"/>
        <v>Floors12</v>
      </c>
      <c r="D193" s="232" t="str">
        <f t="shared" si="4"/>
        <v>Floors</v>
      </c>
      <c r="E193" s="232">
        <f t="shared" si="4"/>
        <v>12</v>
      </c>
      <c r="F193" s="232" t="str">
        <f t="shared" si="4"/>
        <v>R-0</v>
      </c>
      <c r="G193" s="232" t="str">
        <f t="shared" si="4"/>
        <v>R-30</v>
      </c>
      <c r="H193" s="232" t="str">
        <f t="shared" si="4"/>
        <v>Heating Zone 2</v>
      </c>
      <c r="I193" s="232" t="str">
        <f t="shared" si="4"/>
        <v>Multi Family Weatherization - Insulate Floors - R-0 to R-30 - Heating Zone 2</v>
      </c>
      <c r="J193" s="232" t="s">
        <v>788</v>
      </c>
      <c r="K193" s="247">
        <f>Results!K57</f>
        <v>0.92380901266016036</v>
      </c>
      <c r="L193" s="219">
        <v>0</v>
      </c>
    </row>
    <row r="194" spans="1:12" ht="15.75" thickBot="1">
      <c r="A194" s="27" t="s">
        <v>838</v>
      </c>
      <c r="B194" s="232" t="str">
        <f t="shared" si="4"/>
        <v>Floor13</v>
      </c>
      <c r="C194" s="232" t="str">
        <f t="shared" si="4"/>
        <v>Floors13</v>
      </c>
      <c r="D194" s="232" t="str">
        <f t="shared" si="4"/>
        <v>Floors</v>
      </c>
      <c r="E194" s="232">
        <f t="shared" si="4"/>
        <v>13</v>
      </c>
      <c r="F194" s="232" t="str">
        <f t="shared" si="4"/>
        <v>R-0</v>
      </c>
      <c r="G194" s="232" t="str">
        <f t="shared" si="4"/>
        <v>R-38</v>
      </c>
      <c r="H194" s="232" t="str">
        <f t="shared" si="4"/>
        <v>Heating Zone 2</v>
      </c>
      <c r="I194" s="232" t="str">
        <f t="shared" si="4"/>
        <v>Multi Family Weatherization - Insulate Floors - R-0 to R-38 - Heating Zone 2</v>
      </c>
      <c r="J194" s="232" t="s">
        <v>788</v>
      </c>
      <c r="K194" s="256">
        <f>Results!K58</f>
        <v>0.95328931818395768</v>
      </c>
      <c r="L194" s="219">
        <v>0</v>
      </c>
    </row>
    <row r="195" spans="1:12" ht="15.75" thickBot="1">
      <c r="A195" s="27" t="s">
        <v>839</v>
      </c>
      <c r="B195" s="232" t="str">
        <f t="shared" si="4"/>
        <v>Floor14</v>
      </c>
      <c r="C195" s="232" t="str">
        <f t="shared" si="4"/>
        <v>Floors14</v>
      </c>
      <c r="D195" s="232" t="str">
        <f t="shared" si="4"/>
        <v>Floors</v>
      </c>
      <c r="E195" s="232">
        <f t="shared" si="4"/>
        <v>14</v>
      </c>
      <c r="F195" s="232" t="str">
        <f t="shared" si="4"/>
        <v>R-19</v>
      </c>
      <c r="G195" s="232" t="str">
        <f t="shared" si="4"/>
        <v>R-25</v>
      </c>
      <c r="H195" s="232" t="str">
        <f t="shared" si="4"/>
        <v>Heating Zone 2</v>
      </c>
      <c r="I195" s="232" t="str">
        <f t="shared" si="4"/>
        <v>Multi Family Weatherization - Insulate Floors - R-19 to R-25 - Heating Zone 2</v>
      </c>
      <c r="J195" s="232" t="s">
        <v>788</v>
      </c>
      <c r="K195" s="256">
        <f>Results!K59</f>
        <v>0.10468169283155054</v>
      </c>
      <c r="L195" s="219">
        <v>0</v>
      </c>
    </row>
    <row r="196" spans="1:12" ht="15.75" thickBot="1">
      <c r="A196" s="27" t="s">
        <v>840</v>
      </c>
      <c r="B196" s="232" t="str">
        <f t="shared" si="4"/>
        <v>Floor15</v>
      </c>
      <c r="C196" s="232" t="str">
        <f t="shared" si="4"/>
        <v>Floors15</v>
      </c>
      <c r="D196" s="232" t="str">
        <f t="shared" si="4"/>
        <v>Floors</v>
      </c>
      <c r="E196" s="232">
        <f t="shared" si="4"/>
        <v>15</v>
      </c>
      <c r="F196" s="232" t="str">
        <f t="shared" si="4"/>
        <v>R-19</v>
      </c>
      <c r="G196" s="232" t="str">
        <f t="shared" si="4"/>
        <v>R-30</v>
      </c>
      <c r="H196" s="232" t="str">
        <f t="shared" si="4"/>
        <v>Heating Zone 2</v>
      </c>
      <c r="I196" s="232" t="str">
        <f t="shared" si="4"/>
        <v>Multi Family Weatherization - Insulate Floors - R-19 to R-30 - Heating Zone 2</v>
      </c>
      <c r="J196" s="232" t="s">
        <v>788</v>
      </c>
      <c r="K196" s="247">
        <f>Results!K60</f>
        <v>0.21530331640320782</v>
      </c>
      <c r="L196" s="219">
        <v>0</v>
      </c>
    </row>
    <row r="197" spans="1:12" ht="15.75" thickBot="1">
      <c r="A197" s="27" t="s">
        <v>841</v>
      </c>
      <c r="B197" s="232" t="str">
        <f t="shared" si="4"/>
        <v>Floor16</v>
      </c>
      <c r="C197" s="232" t="str">
        <f t="shared" si="4"/>
        <v>Floors16</v>
      </c>
      <c r="D197" s="232" t="str">
        <f t="shared" si="4"/>
        <v>Floors</v>
      </c>
      <c r="E197" s="232">
        <f t="shared" si="4"/>
        <v>16</v>
      </c>
      <c r="F197" s="232" t="str">
        <f t="shared" si="4"/>
        <v>R-19</v>
      </c>
      <c r="G197" s="232" t="str">
        <f t="shared" si="4"/>
        <v>R-38</v>
      </c>
      <c r="H197" s="232" t="str">
        <f t="shared" si="4"/>
        <v>Heating Zone 2</v>
      </c>
      <c r="I197" s="232" t="str">
        <f t="shared" si="4"/>
        <v>Multi Family Weatherization - Insulate Floors - R-19 to R-38 - Heating Zone 2</v>
      </c>
      <c r="J197" s="232" t="s">
        <v>788</v>
      </c>
      <c r="K197" s="256">
        <f>Results!K61</f>
        <v>0.24478362192700506</v>
      </c>
      <c r="L197" s="219">
        <v>0</v>
      </c>
    </row>
    <row r="198" spans="1:12" ht="15.75" thickBot="1">
      <c r="A198" s="27" t="s">
        <v>842</v>
      </c>
      <c r="B198" s="232" t="str">
        <f t="shared" si="4"/>
        <v>Floor17</v>
      </c>
      <c r="C198" s="232" t="str">
        <f t="shared" si="4"/>
        <v>Floors17</v>
      </c>
      <c r="D198" s="232" t="str">
        <f t="shared" si="4"/>
        <v>Floors</v>
      </c>
      <c r="E198" s="232">
        <f t="shared" si="4"/>
        <v>17</v>
      </c>
      <c r="F198" s="232" t="str">
        <f t="shared" si="4"/>
        <v>R-11</v>
      </c>
      <c r="G198" s="232" t="str">
        <f t="shared" si="4"/>
        <v>R-30</v>
      </c>
      <c r="H198" s="232" t="str">
        <f t="shared" si="4"/>
        <v>Heating Zone 2</v>
      </c>
      <c r="I198" s="232" t="str">
        <f t="shared" si="4"/>
        <v>Multi Family Weatherization - Insulate Floors - R-11 to R-30 - Heating Zone 2</v>
      </c>
      <c r="J198" s="232" t="s">
        <v>788</v>
      </c>
      <c r="K198" s="256">
        <f>Results!K62</f>
        <v>2.0464716319994647</v>
      </c>
      <c r="L198" s="219">
        <v>0</v>
      </c>
    </row>
    <row r="199" spans="1:12" ht="15.75" thickBot="1">
      <c r="A199" s="27" t="s">
        <v>835</v>
      </c>
      <c r="B199" s="232" t="str">
        <f t="shared" si="4"/>
        <v>Floor18</v>
      </c>
      <c r="C199" s="232" t="str">
        <f t="shared" si="4"/>
        <v>Floors18</v>
      </c>
      <c r="D199" s="232" t="str">
        <f t="shared" si="4"/>
        <v>Floors</v>
      </c>
      <c r="E199" s="232">
        <f t="shared" si="4"/>
        <v>18</v>
      </c>
      <c r="F199" s="232" t="str">
        <f t="shared" si="4"/>
        <v>R-0</v>
      </c>
      <c r="G199" s="232" t="str">
        <f t="shared" si="4"/>
        <v>R-19</v>
      </c>
      <c r="H199" s="232" t="str">
        <f t="shared" si="4"/>
        <v>Heating Zone 2</v>
      </c>
      <c r="I199" s="232" t="str">
        <f t="shared" si="4"/>
        <v>Multi Family Weatherization - Insulate Floors - R-0 to R-19 - Heating Zone 2</v>
      </c>
      <c r="J199" s="232" t="s">
        <v>788</v>
      </c>
      <c r="K199" s="256">
        <f>Results!K63</f>
        <v>0.70850569625695259</v>
      </c>
      <c r="L199" s="219">
        <v>0</v>
      </c>
    </row>
    <row r="200" spans="1:12" ht="15.75" thickBot="1">
      <c r="A200" s="27" t="s">
        <v>843</v>
      </c>
      <c r="B200" s="232" t="str">
        <f t="shared" si="4"/>
        <v>Ceili10</v>
      </c>
      <c r="C200" s="232" t="str">
        <f t="shared" si="4"/>
        <v>Ceiling10</v>
      </c>
      <c r="D200" s="232" t="str">
        <f t="shared" si="4"/>
        <v>Ceiling</v>
      </c>
      <c r="E200" s="232">
        <f t="shared" si="4"/>
        <v>10</v>
      </c>
      <c r="F200" s="232" t="str">
        <f t="shared" si="4"/>
        <v>R-0</v>
      </c>
      <c r="G200" s="232" t="str">
        <f t="shared" si="4"/>
        <v>R-19</v>
      </c>
      <c r="H200" s="232" t="str">
        <f t="shared" si="4"/>
        <v>Heating Zone 2</v>
      </c>
      <c r="I200" s="232" t="str">
        <f t="shared" si="4"/>
        <v>Multi Family Weatherization - Insulate Attic - R-0 to R-19 - Heating Zone 2</v>
      </c>
      <c r="J200" s="232" t="s">
        <v>788</v>
      </c>
      <c r="K200" s="283">
        <f>Results!K64</f>
        <v>0.46821869034522712</v>
      </c>
      <c r="L200" s="219">
        <v>0</v>
      </c>
    </row>
    <row r="201" spans="1:12" ht="15.75" thickBot="1">
      <c r="A201" s="27" t="s">
        <v>844</v>
      </c>
      <c r="B201" s="232" t="str">
        <f t="shared" si="4"/>
        <v>Ceili11</v>
      </c>
      <c r="C201" s="232" t="str">
        <f t="shared" si="4"/>
        <v>Ceiling11</v>
      </c>
      <c r="D201" s="232" t="str">
        <f t="shared" si="4"/>
        <v>Ceiling</v>
      </c>
      <c r="E201" s="232">
        <f t="shared" si="4"/>
        <v>11</v>
      </c>
      <c r="F201" s="232" t="str">
        <f t="shared" si="4"/>
        <v>R-0</v>
      </c>
      <c r="G201" s="232" t="str">
        <f t="shared" si="4"/>
        <v>R-38</v>
      </c>
      <c r="H201" s="232" t="str">
        <f t="shared" si="4"/>
        <v>Heating Zone 2</v>
      </c>
      <c r="I201" s="232" t="str">
        <f t="shared" si="4"/>
        <v>Multi Family Weatherization - Insulate Attic - R-0 to R-38 - Heating Zone 2</v>
      </c>
      <c r="J201" s="232" t="s">
        <v>788</v>
      </c>
      <c r="K201" s="247">
        <f>Results!K65</f>
        <v>0.63802501343193219</v>
      </c>
      <c r="L201" s="219">
        <v>0</v>
      </c>
    </row>
    <row r="202" spans="1:12" ht="15.75" thickBot="1">
      <c r="A202" s="27" t="s">
        <v>845</v>
      </c>
      <c r="B202" s="232" t="str">
        <f t="shared" si="4"/>
        <v>Ceili12</v>
      </c>
      <c r="C202" s="232" t="str">
        <f t="shared" si="4"/>
        <v>Ceiling12</v>
      </c>
      <c r="D202" s="232" t="str">
        <f t="shared" si="4"/>
        <v>Ceiling</v>
      </c>
      <c r="E202" s="232">
        <f t="shared" si="4"/>
        <v>12</v>
      </c>
      <c r="F202" s="232" t="str">
        <f t="shared" si="4"/>
        <v>R-0</v>
      </c>
      <c r="G202" s="232" t="str">
        <f t="shared" si="4"/>
        <v>R-49</v>
      </c>
      <c r="H202" s="232" t="str">
        <f t="shared" si="4"/>
        <v>Heating Zone 2</v>
      </c>
      <c r="I202" s="232" t="str">
        <f t="shared" si="4"/>
        <v>Multi Family Weatherization - Insulate Attic - R-0 to R-49 - Heating Zone 2</v>
      </c>
      <c r="J202" s="232" t="s">
        <v>788</v>
      </c>
      <c r="K202" s="247">
        <f>Results!K66</f>
        <v>0.67745633057068222</v>
      </c>
      <c r="L202" s="219">
        <v>0</v>
      </c>
    </row>
    <row r="203" spans="1:12" ht="15.75" thickBot="1">
      <c r="A203" s="27" t="s">
        <v>846</v>
      </c>
      <c r="B203" s="232" t="str">
        <f t="shared" si="4"/>
        <v>Ceili13</v>
      </c>
      <c r="C203" s="232" t="str">
        <f t="shared" si="4"/>
        <v>Ceiling13</v>
      </c>
      <c r="D203" s="232" t="str">
        <f t="shared" si="4"/>
        <v>Ceiling</v>
      </c>
      <c r="E203" s="232">
        <f t="shared" si="4"/>
        <v>13</v>
      </c>
      <c r="F203" s="232" t="str">
        <f t="shared" si="4"/>
        <v>R-30</v>
      </c>
      <c r="G203" s="232" t="str">
        <f t="shared" si="4"/>
        <v>R-38</v>
      </c>
      <c r="H203" s="232" t="str">
        <f t="shared" si="4"/>
        <v>Heating Zone 2</v>
      </c>
      <c r="I203" s="232" t="str">
        <f t="shared" si="4"/>
        <v>Multi Family Weatherization - Insulate Attic - R-30 to R-38 - Heating Zone 2</v>
      </c>
      <c r="J203" s="232" t="s">
        <v>788</v>
      </c>
      <c r="K203" s="256">
        <f>Results!K67</f>
        <v>4.6789568398409503E-2</v>
      </c>
      <c r="L203" s="219">
        <v>0</v>
      </c>
    </row>
    <row r="204" spans="1:12" ht="15.75" thickBot="1">
      <c r="A204" s="27" t="s">
        <v>847</v>
      </c>
      <c r="B204" s="232" t="str">
        <f t="shared" si="4"/>
        <v>Ceili14</v>
      </c>
      <c r="C204" s="232" t="str">
        <f t="shared" si="4"/>
        <v>Ceiling14</v>
      </c>
      <c r="D204" s="232" t="str">
        <f t="shared" si="4"/>
        <v>Ceiling</v>
      </c>
      <c r="E204" s="232">
        <f t="shared" si="4"/>
        <v>14</v>
      </c>
      <c r="F204" s="232" t="str">
        <f t="shared" si="4"/>
        <v>R-30</v>
      </c>
      <c r="G204" s="232" t="str">
        <f t="shared" si="4"/>
        <v>R-49</v>
      </c>
      <c r="H204" s="232" t="str">
        <f t="shared" si="4"/>
        <v>Heating Zone 2</v>
      </c>
      <c r="I204" s="232" t="str">
        <f t="shared" si="4"/>
        <v>Multi Family Weatherization - Insulate Attic - R-30 to R-49 - Heating Zone 2</v>
      </c>
      <c r="J204" s="232" t="s">
        <v>788</v>
      </c>
      <c r="K204" s="256">
        <f>Results!K68</f>
        <v>8.6220885537159647E-2</v>
      </c>
      <c r="L204" s="219">
        <v>0</v>
      </c>
    </row>
    <row r="205" spans="1:12" ht="15.75" thickBot="1">
      <c r="A205" s="27" t="s">
        <v>848</v>
      </c>
      <c r="B205" s="232" t="str">
        <f t="shared" si="4"/>
        <v>Ceili15</v>
      </c>
      <c r="C205" s="232" t="str">
        <f t="shared" si="4"/>
        <v>Ceiling15</v>
      </c>
      <c r="D205" s="232" t="str">
        <f t="shared" si="4"/>
        <v>Ceiling</v>
      </c>
      <c r="E205" s="232">
        <f t="shared" si="4"/>
        <v>15</v>
      </c>
      <c r="F205" s="232" t="str">
        <f t="shared" si="4"/>
        <v>R-19</v>
      </c>
      <c r="G205" s="232" t="str">
        <f t="shared" si="4"/>
        <v>R-30</v>
      </c>
      <c r="H205" s="232" t="str">
        <f t="shared" si="4"/>
        <v>Heating Zone 2</v>
      </c>
      <c r="I205" s="232" t="str">
        <f t="shared" si="4"/>
        <v>Multi Family Weatherization - Insulate Attic - R-19 to R-30 - Heating Zone 2</v>
      </c>
      <c r="J205" s="232" t="s">
        <v>788</v>
      </c>
      <c r="K205" s="256">
        <f>Results!K69</f>
        <v>0.12301675468829548</v>
      </c>
      <c r="L205" s="219">
        <v>0</v>
      </c>
    </row>
    <row r="206" spans="1:12" ht="15.75" thickBot="1">
      <c r="A206" s="27" t="s">
        <v>849</v>
      </c>
      <c r="B206" s="232" t="str">
        <f t="shared" si="4"/>
        <v>Ceili16</v>
      </c>
      <c r="C206" s="232" t="str">
        <f t="shared" si="4"/>
        <v>Ceiling16</v>
      </c>
      <c r="D206" s="232" t="str">
        <f t="shared" si="4"/>
        <v>Ceiling</v>
      </c>
      <c r="E206" s="232">
        <f t="shared" si="4"/>
        <v>16</v>
      </c>
      <c r="F206" s="232" t="str">
        <f t="shared" si="4"/>
        <v>R-19</v>
      </c>
      <c r="G206" s="232" t="str">
        <f t="shared" si="4"/>
        <v>R-38</v>
      </c>
      <c r="H206" s="232" t="str">
        <f t="shared" si="4"/>
        <v>Heating Zone 2</v>
      </c>
      <c r="I206" s="232" t="str">
        <f t="shared" si="4"/>
        <v>Multi Family Weatherization - Insulate Attic - R-19 to R-38 - Heating Zone 2</v>
      </c>
      <c r="J206" s="232" t="s">
        <v>788</v>
      </c>
      <c r="K206" s="247">
        <f>Results!K70</f>
        <v>0.16980632308670501</v>
      </c>
      <c r="L206" s="219">
        <v>0</v>
      </c>
    </row>
    <row r="207" spans="1:12" ht="15.75" thickBot="1">
      <c r="A207" s="27" t="s">
        <v>850</v>
      </c>
      <c r="B207" s="232" t="str">
        <f t="shared" si="4"/>
        <v>Ceili17</v>
      </c>
      <c r="C207" s="232" t="str">
        <f t="shared" si="4"/>
        <v>Ceiling17</v>
      </c>
      <c r="D207" s="232" t="str">
        <f t="shared" si="4"/>
        <v>Ceiling</v>
      </c>
      <c r="E207" s="232">
        <f t="shared" si="4"/>
        <v>17</v>
      </c>
      <c r="F207" s="232" t="str">
        <f t="shared" si="4"/>
        <v>R-19</v>
      </c>
      <c r="G207" s="232" t="str">
        <f t="shared" si="4"/>
        <v>R-49</v>
      </c>
      <c r="H207" s="232" t="str">
        <f t="shared" si="4"/>
        <v>Heating Zone 2</v>
      </c>
      <c r="I207" s="232" t="str">
        <f t="shared" si="4"/>
        <v>Multi Family Weatherization - Insulate Attic - R-19 to R-49 - Heating Zone 2</v>
      </c>
      <c r="J207" s="232" t="s">
        <v>788</v>
      </c>
      <c r="K207" s="247">
        <f>Results!K71</f>
        <v>0.20923764022545513</v>
      </c>
      <c r="L207" s="219">
        <v>0</v>
      </c>
    </row>
    <row r="208" spans="1:12" ht="15.75" thickBot="1">
      <c r="A208" s="27" t="s">
        <v>851</v>
      </c>
      <c r="B208" s="232" t="str">
        <f t="shared" ref="B208:I223" si="5">B70</f>
        <v>Ceili18</v>
      </c>
      <c r="C208" s="232" t="str">
        <f t="shared" si="5"/>
        <v>Ceiling18</v>
      </c>
      <c r="D208" s="232" t="str">
        <f t="shared" si="5"/>
        <v>Ceiling</v>
      </c>
      <c r="E208" s="232">
        <f t="shared" si="5"/>
        <v>18</v>
      </c>
      <c r="F208" s="232" t="str">
        <f t="shared" si="5"/>
        <v>R-38</v>
      </c>
      <c r="G208" s="232" t="str">
        <f t="shared" si="5"/>
        <v>R-49</v>
      </c>
      <c r="H208" s="232" t="str">
        <f t="shared" si="5"/>
        <v>Heating Zone 2</v>
      </c>
      <c r="I208" s="232" t="str">
        <f t="shared" si="5"/>
        <v>Multi Family Weatherization - Insulate Attic - R-38 to R-49 - Heating Zone 2</v>
      </c>
      <c r="J208" s="232" t="s">
        <v>788</v>
      </c>
      <c r="K208" s="288">
        <f>Results!K72</f>
        <v>3.9431317138750137E-2</v>
      </c>
      <c r="L208" s="219">
        <v>0</v>
      </c>
    </row>
    <row r="209" spans="1:12" ht="15.75" thickBot="1">
      <c r="A209" s="27" t="s">
        <v>852</v>
      </c>
      <c r="B209" s="232" t="str">
        <f t="shared" si="5"/>
        <v>Windo10</v>
      </c>
      <c r="C209" s="232" t="str">
        <f t="shared" si="5"/>
        <v>Windows10</v>
      </c>
      <c r="D209" s="232" t="str">
        <f t="shared" si="5"/>
        <v>Windows</v>
      </c>
      <c r="E209" s="232">
        <f t="shared" si="5"/>
        <v>10</v>
      </c>
      <c r="F209" s="232" t="str">
        <f t="shared" si="5"/>
        <v>Class 85</v>
      </c>
      <c r="G209" s="232" t="str">
        <f t="shared" si="5"/>
        <v>Class 35</v>
      </c>
      <c r="H209" s="232" t="str">
        <f t="shared" si="5"/>
        <v>Heating Zone 2</v>
      </c>
      <c r="I209" s="232" t="str">
        <f t="shared" si="5"/>
        <v>Windows - Class 85 to Class 35 - Heating Zone 2</v>
      </c>
      <c r="J209" s="232" t="s">
        <v>788</v>
      </c>
      <c r="K209" s="256">
        <f>Results!K73</f>
        <v>-10.219096376847707</v>
      </c>
      <c r="L209" s="219">
        <v>0</v>
      </c>
    </row>
    <row r="210" spans="1:12" ht="15.75" thickBot="1">
      <c r="A210" s="27" t="s">
        <v>853</v>
      </c>
      <c r="B210" s="232" t="str">
        <f t="shared" si="5"/>
        <v>Windo11</v>
      </c>
      <c r="C210" s="232" t="str">
        <f t="shared" si="5"/>
        <v>Windows11</v>
      </c>
      <c r="D210" s="232" t="str">
        <f t="shared" si="5"/>
        <v>Windows</v>
      </c>
      <c r="E210" s="232">
        <f t="shared" si="5"/>
        <v>11</v>
      </c>
      <c r="F210" s="232" t="str">
        <f t="shared" si="5"/>
        <v>Class 85</v>
      </c>
      <c r="G210" s="232" t="str">
        <f t="shared" si="5"/>
        <v>Class 30</v>
      </c>
      <c r="H210" s="232" t="str">
        <f t="shared" si="5"/>
        <v>Heating Zone 2</v>
      </c>
      <c r="I210" s="232" t="str">
        <f t="shared" si="5"/>
        <v>Windows - Class 85 to Class 30 - Heating Zone 2</v>
      </c>
      <c r="J210" s="232" t="s">
        <v>788</v>
      </c>
      <c r="K210" s="256">
        <f>Results!K74</f>
        <v>-8.4523950756239294</v>
      </c>
      <c r="L210" s="219">
        <v>0</v>
      </c>
    </row>
    <row r="211" spans="1:12" ht="15.75" thickBot="1">
      <c r="A211" s="27" t="s">
        <v>854</v>
      </c>
      <c r="B211" s="232" t="str">
        <f t="shared" si="5"/>
        <v>Windo12</v>
      </c>
      <c r="C211" s="232" t="str">
        <f t="shared" si="5"/>
        <v>Windows12</v>
      </c>
      <c r="D211" s="232" t="str">
        <f t="shared" si="5"/>
        <v>Windows</v>
      </c>
      <c r="E211" s="232">
        <f t="shared" si="5"/>
        <v>12</v>
      </c>
      <c r="F211" s="232" t="str">
        <f t="shared" si="5"/>
        <v>Class 85</v>
      </c>
      <c r="G211" s="232" t="str">
        <f t="shared" si="5"/>
        <v>Class 25</v>
      </c>
      <c r="H211" s="232" t="str">
        <f t="shared" si="5"/>
        <v>Heating Zone 2</v>
      </c>
      <c r="I211" s="232" t="str">
        <f t="shared" si="5"/>
        <v>Windows - Class 85 to Class 25 - Heating Zone 2</v>
      </c>
      <c r="J211" s="232" t="s">
        <v>788</v>
      </c>
      <c r="K211" s="256">
        <f>Results!K75</f>
        <v>0</v>
      </c>
      <c r="L211" s="219">
        <v>0</v>
      </c>
    </row>
    <row r="212" spans="1:12" ht="15.75" thickBot="1">
      <c r="A212" s="27" t="s">
        <v>855</v>
      </c>
      <c r="B212" s="232" t="str">
        <f t="shared" si="5"/>
        <v>Windo13</v>
      </c>
      <c r="C212" s="232" t="str">
        <f t="shared" si="5"/>
        <v>Windows13</v>
      </c>
      <c r="D212" s="232" t="str">
        <f t="shared" si="5"/>
        <v>Windows</v>
      </c>
      <c r="E212" s="232">
        <f t="shared" si="5"/>
        <v>13</v>
      </c>
      <c r="F212" s="232" t="str">
        <f t="shared" si="5"/>
        <v>Class 85</v>
      </c>
      <c r="G212" s="232" t="str">
        <f t="shared" si="5"/>
        <v>Class 20</v>
      </c>
      <c r="H212" s="232" t="str">
        <f t="shared" si="5"/>
        <v>Heating Zone 2</v>
      </c>
      <c r="I212" s="232" t="str">
        <f t="shared" si="5"/>
        <v>Windows - Class 85 to Class 20 - Heating Zone 2</v>
      </c>
      <c r="J212" s="232" t="s">
        <v>788</v>
      </c>
      <c r="K212" s="256">
        <f>Results!K76</f>
        <v>-5.1388141524183171</v>
      </c>
      <c r="L212" s="219">
        <v>0</v>
      </c>
    </row>
    <row r="213" spans="1:12" ht="15.75" thickBot="1">
      <c r="A213" s="27" t="s">
        <v>856</v>
      </c>
      <c r="B213" s="232" t="str">
        <f t="shared" si="5"/>
        <v>Windo14</v>
      </c>
      <c r="C213" s="232" t="str">
        <f t="shared" si="5"/>
        <v>Windows14</v>
      </c>
      <c r="D213" s="232" t="str">
        <f t="shared" si="5"/>
        <v>Windows</v>
      </c>
      <c r="E213" s="232">
        <f t="shared" si="5"/>
        <v>14</v>
      </c>
      <c r="F213" s="232" t="str">
        <f t="shared" si="5"/>
        <v>Class 85</v>
      </c>
      <c r="G213" s="232" t="str">
        <f t="shared" si="5"/>
        <v>Class 15</v>
      </c>
      <c r="H213" s="232" t="str">
        <f t="shared" si="5"/>
        <v>Heating Zone 2</v>
      </c>
      <c r="I213" s="232" t="str">
        <f t="shared" si="5"/>
        <v>Windows - Class 85 to Class 15 - Heating Zone 2</v>
      </c>
      <c r="J213" s="232" t="s">
        <v>788</v>
      </c>
      <c r="K213" s="256">
        <f>Results!K77</f>
        <v>-3.1628867928755824</v>
      </c>
      <c r="L213" s="219">
        <v>0</v>
      </c>
    </row>
    <row r="214" spans="1:12" ht="15.75" thickBot="1">
      <c r="A214" s="27" t="s">
        <v>857</v>
      </c>
      <c r="B214" s="232" t="str">
        <f t="shared" si="5"/>
        <v>Windo15</v>
      </c>
      <c r="C214" s="232" t="str">
        <f t="shared" si="5"/>
        <v>Windows15</v>
      </c>
      <c r="D214" s="232" t="str">
        <f t="shared" si="5"/>
        <v>Windows</v>
      </c>
      <c r="E214" s="232">
        <f t="shared" si="5"/>
        <v>15</v>
      </c>
      <c r="F214" s="232" t="str">
        <f t="shared" si="5"/>
        <v>Class 50</v>
      </c>
      <c r="G214" s="232" t="str">
        <f t="shared" si="5"/>
        <v>Class 35</v>
      </c>
      <c r="H214" s="232" t="str">
        <f t="shared" si="5"/>
        <v>Heating Zone 2</v>
      </c>
      <c r="I214" s="232" t="str">
        <f t="shared" si="5"/>
        <v>Windows - Class 50 to Class 35 - Heating Zone 2</v>
      </c>
      <c r="J214" s="232" t="s">
        <v>788</v>
      </c>
      <c r="K214" s="256">
        <f>Results!K78</f>
        <v>1.8371264908447924</v>
      </c>
      <c r="L214" s="219">
        <v>0</v>
      </c>
    </row>
    <row r="215" spans="1:12" ht="15.75" thickBot="1">
      <c r="A215" s="27" t="s">
        <v>858</v>
      </c>
      <c r="B215" s="232" t="str">
        <f t="shared" si="5"/>
        <v>Windo16</v>
      </c>
      <c r="C215" s="232" t="str">
        <f t="shared" si="5"/>
        <v>Windows16</v>
      </c>
      <c r="D215" s="232" t="str">
        <f t="shared" si="5"/>
        <v>Windows</v>
      </c>
      <c r="E215" s="232">
        <f t="shared" si="5"/>
        <v>16</v>
      </c>
      <c r="F215" s="232" t="str">
        <f t="shared" si="5"/>
        <v>Class 50</v>
      </c>
      <c r="G215" s="232" t="str">
        <f t="shared" si="5"/>
        <v>Class 30</v>
      </c>
      <c r="H215" s="232" t="str">
        <f t="shared" si="5"/>
        <v>Heating Zone 2</v>
      </c>
      <c r="I215" s="232" t="str">
        <f t="shared" si="5"/>
        <v>Windows - Class 50 to Class 30 - Heating Zone 2</v>
      </c>
      <c r="J215" s="232" t="s">
        <v>788</v>
      </c>
      <c r="K215" s="256">
        <f>Results!K79</f>
        <v>3.6038277920685697</v>
      </c>
      <c r="L215" s="219">
        <v>0</v>
      </c>
    </row>
    <row r="216" spans="1:12" ht="15.75" thickBot="1">
      <c r="A216" s="27" t="s">
        <v>859</v>
      </c>
      <c r="B216" s="232" t="str">
        <f t="shared" si="5"/>
        <v>Windo17</v>
      </c>
      <c r="C216" s="232" t="str">
        <f t="shared" si="5"/>
        <v>Windows17</v>
      </c>
      <c r="D216" s="232" t="str">
        <f t="shared" si="5"/>
        <v>Windows</v>
      </c>
      <c r="E216" s="232">
        <f t="shared" si="5"/>
        <v>17</v>
      </c>
      <c r="F216" s="232" t="str">
        <f t="shared" si="5"/>
        <v>Class 50</v>
      </c>
      <c r="G216" s="232" t="str">
        <f t="shared" si="5"/>
        <v>Class 25</v>
      </c>
      <c r="H216" s="232" t="str">
        <f t="shared" si="5"/>
        <v>Heating Zone 2</v>
      </c>
      <c r="I216" s="232" t="str">
        <f t="shared" si="5"/>
        <v>Windows - Class 50 to Class 25 - Heating Zone 2</v>
      </c>
      <c r="J216" s="232" t="s">
        <v>788</v>
      </c>
      <c r="K216" s="256">
        <f>Results!K80</f>
        <v>12.056222867692501</v>
      </c>
      <c r="L216" s="219">
        <v>0</v>
      </c>
    </row>
    <row r="217" spans="1:12" ht="15.75" thickBot="1">
      <c r="A217" s="27" t="s">
        <v>860</v>
      </c>
      <c r="B217" s="232" t="str">
        <f t="shared" si="5"/>
        <v>Windo18</v>
      </c>
      <c r="C217" s="232" t="str">
        <f t="shared" si="5"/>
        <v>Windows18</v>
      </c>
      <c r="D217" s="232" t="str">
        <f t="shared" si="5"/>
        <v>Windows</v>
      </c>
      <c r="E217" s="232">
        <f t="shared" si="5"/>
        <v>18</v>
      </c>
      <c r="F217" s="232" t="str">
        <f t="shared" si="5"/>
        <v>Class 50</v>
      </c>
      <c r="G217" s="232" t="str">
        <f t="shared" si="5"/>
        <v>Class 20</v>
      </c>
      <c r="H217" s="232" t="str">
        <f t="shared" si="5"/>
        <v>Heating Zone 2</v>
      </c>
      <c r="I217" s="232" t="str">
        <f t="shared" si="5"/>
        <v>Windows - Class 50 to Class 20 - Heating Zone 2</v>
      </c>
      <c r="J217" s="232" t="s">
        <v>788</v>
      </c>
      <c r="K217" s="256">
        <f>Results!K81</f>
        <v>6.9174087152741812</v>
      </c>
      <c r="L217" s="219">
        <v>0</v>
      </c>
    </row>
    <row r="218" spans="1:12" ht="15.75" thickBot="1">
      <c r="A218" s="27" t="s">
        <v>861</v>
      </c>
      <c r="B218" s="232" t="str">
        <f t="shared" si="5"/>
        <v>Windo19</v>
      </c>
      <c r="C218" s="232" t="str">
        <f t="shared" si="5"/>
        <v>Windows19</v>
      </c>
      <c r="D218" s="232" t="str">
        <f t="shared" si="5"/>
        <v>Windows</v>
      </c>
      <c r="E218" s="232">
        <f t="shared" si="5"/>
        <v>19</v>
      </c>
      <c r="F218" s="232" t="str">
        <f t="shared" si="5"/>
        <v>Class 35</v>
      </c>
      <c r="G218" s="232" t="str">
        <f t="shared" si="5"/>
        <v>Class 22</v>
      </c>
      <c r="H218" s="232" t="str">
        <f t="shared" si="5"/>
        <v>Heating Zone 2</v>
      </c>
      <c r="I218" s="232" t="str">
        <f t="shared" si="5"/>
        <v>Windows - Class 35 to Class 22 - Heating Zone 2</v>
      </c>
      <c r="J218" s="232" t="s">
        <v>788</v>
      </c>
      <c r="K218" s="256">
        <f>Results!K82</f>
        <v>4.3619989873004066</v>
      </c>
      <c r="L218" s="219">
        <v>0</v>
      </c>
    </row>
    <row r="219" spans="1:12" ht="15.75" thickBot="1">
      <c r="A219" s="27" t="s">
        <v>862</v>
      </c>
      <c r="B219" s="232" t="str">
        <f t="shared" si="5"/>
        <v>Windo20</v>
      </c>
      <c r="C219" s="232" t="str">
        <f t="shared" si="5"/>
        <v>Windows20</v>
      </c>
      <c r="D219" s="232" t="str">
        <f t="shared" si="5"/>
        <v>Windows</v>
      </c>
      <c r="E219" s="232">
        <f t="shared" si="5"/>
        <v>20</v>
      </c>
      <c r="F219" s="232" t="str">
        <f t="shared" si="5"/>
        <v>Single Pane</v>
      </c>
      <c r="G219" s="232" t="str">
        <f t="shared" si="5"/>
        <v>Class 22</v>
      </c>
      <c r="H219" s="232" t="str">
        <f t="shared" si="5"/>
        <v>Heating Zone 2</v>
      </c>
      <c r="I219" s="232" t="str">
        <f t="shared" si="5"/>
        <v>Windows - Single Pane to Class 22 - Heating Zone 2</v>
      </c>
      <c r="J219" s="232" t="s">
        <v>788</v>
      </c>
      <c r="K219" s="256">
        <f>Results!K83</f>
        <v>31.736895128284569</v>
      </c>
      <c r="L219" s="219">
        <v>0</v>
      </c>
    </row>
    <row r="220" spans="1:12" ht="15.75" thickBot="1">
      <c r="A220" s="27" t="s">
        <v>863</v>
      </c>
      <c r="B220" s="232" t="str">
        <f t="shared" si="5"/>
        <v>Windo21</v>
      </c>
      <c r="C220" s="232" t="str">
        <f t="shared" si="5"/>
        <v>Windows21</v>
      </c>
      <c r="D220" s="232" t="str">
        <f t="shared" si="5"/>
        <v>Windows</v>
      </c>
      <c r="E220" s="232">
        <f t="shared" si="5"/>
        <v>21</v>
      </c>
      <c r="F220" s="232" t="str">
        <f t="shared" si="5"/>
        <v>Double Pane</v>
      </c>
      <c r="G220" s="232" t="str">
        <f t="shared" si="5"/>
        <v>Class 22</v>
      </c>
      <c r="H220" s="232" t="str">
        <f t="shared" si="5"/>
        <v>Heating Zone 2</v>
      </c>
      <c r="I220" s="232" t="str">
        <f t="shared" si="5"/>
        <v>Windows - Double Pane to Class 22 - Heating Zone 2</v>
      </c>
      <c r="J220" s="232" t="s">
        <v>788</v>
      </c>
      <c r="K220" s="256">
        <f>Results!K84</f>
        <v>18.897395849439391</v>
      </c>
      <c r="L220" s="219">
        <v>0</v>
      </c>
    </row>
    <row r="221" spans="1:12" ht="15.75" thickBot="1">
      <c r="A221" s="27" t="s">
        <v>864</v>
      </c>
      <c r="B221" s="232" t="str">
        <f t="shared" si="5"/>
        <v>Windo22</v>
      </c>
      <c r="C221" s="232" t="str">
        <f t="shared" si="5"/>
        <v>Windows22</v>
      </c>
      <c r="D221" s="232" t="str">
        <f t="shared" si="5"/>
        <v>Windows</v>
      </c>
      <c r="E221" s="232">
        <f t="shared" si="5"/>
        <v>22</v>
      </c>
      <c r="F221" s="232" t="str">
        <f t="shared" si="5"/>
        <v>Single Pane</v>
      </c>
      <c r="G221" s="232" t="str">
        <f t="shared" si="5"/>
        <v>Class 30</v>
      </c>
      <c r="H221" s="232" t="str">
        <f t="shared" si="5"/>
        <v>Heating Zone 2</v>
      </c>
      <c r="I221" s="232" t="str">
        <f t="shared" si="5"/>
        <v>Windows - Single Pane to Class 30 - Heating Zone 2</v>
      </c>
      <c r="J221" s="232" t="s">
        <v>788</v>
      </c>
      <c r="K221" s="247">
        <f>Results!K85</f>
        <v>29.141597442207942</v>
      </c>
      <c r="L221" s="219">
        <v>0</v>
      </c>
    </row>
    <row r="222" spans="1:12" ht="15.75" thickBot="1">
      <c r="A222" s="27" t="s">
        <v>865</v>
      </c>
      <c r="B222" s="232" t="str">
        <f t="shared" si="5"/>
        <v>Windo23</v>
      </c>
      <c r="C222" s="232" t="str">
        <f t="shared" si="5"/>
        <v>Windows23</v>
      </c>
      <c r="D222" s="232" t="str">
        <f t="shared" si="5"/>
        <v>Windows</v>
      </c>
      <c r="E222" s="232">
        <f t="shared" si="5"/>
        <v>23</v>
      </c>
      <c r="F222" s="232" t="str">
        <f t="shared" si="5"/>
        <v>Double Pane</v>
      </c>
      <c r="G222" s="232" t="str">
        <f t="shared" si="5"/>
        <v>Class 30</v>
      </c>
      <c r="H222" s="232" t="str">
        <f t="shared" si="5"/>
        <v>Heating Zone 2</v>
      </c>
      <c r="I222" s="232" t="str">
        <f t="shared" si="5"/>
        <v>Windows - Double Pane to Class 30 - Heating Zone 2</v>
      </c>
      <c r="J222" s="232" t="s">
        <v>788</v>
      </c>
      <c r="K222" s="247">
        <f>Results!K86</f>
        <v>16.302098163362761</v>
      </c>
      <c r="L222" s="219">
        <v>0</v>
      </c>
    </row>
    <row r="223" spans="1:12" ht="15.75" thickBot="1">
      <c r="A223" s="27" t="s">
        <v>866</v>
      </c>
      <c r="B223" s="232" t="str">
        <f t="shared" si="5"/>
        <v>Windo24</v>
      </c>
      <c r="C223" s="232" t="str">
        <f t="shared" si="5"/>
        <v>Windows24</v>
      </c>
      <c r="D223" s="232" t="str">
        <f t="shared" si="5"/>
        <v>Windows</v>
      </c>
      <c r="E223" s="232">
        <f t="shared" si="5"/>
        <v>24</v>
      </c>
      <c r="F223" s="232" t="str">
        <f t="shared" si="5"/>
        <v>Class 35</v>
      </c>
      <c r="G223" s="232" t="str">
        <f t="shared" si="5"/>
        <v>Class 30</v>
      </c>
      <c r="H223" s="232" t="str">
        <f t="shared" si="5"/>
        <v>Heating Zone 2</v>
      </c>
      <c r="I223" s="232" t="str">
        <f t="shared" si="5"/>
        <v>Windows - Class 35 to Class 30 - Heating Zone 2</v>
      </c>
      <c r="J223" s="232" t="s">
        <v>788</v>
      </c>
      <c r="K223" s="247">
        <f>Results!K87</f>
        <v>1.7667013012237769</v>
      </c>
      <c r="L223" s="219">
        <v>0</v>
      </c>
    </row>
    <row r="224" spans="1:12" ht="15.75" thickBot="1">
      <c r="A224" s="27" t="s">
        <v>867</v>
      </c>
      <c r="B224" s="232" t="str">
        <f t="shared" ref="B224:I239" si="6">B86</f>
        <v>Infil10</v>
      </c>
      <c r="C224" s="232" t="str">
        <f t="shared" si="6"/>
        <v>Infiltration10</v>
      </c>
      <c r="D224" s="232" t="str">
        <f t="shared" si="6"/>
        <v>Infiltration</v>
      </c>
      <c r="E224" s="232">
        <f t="shared" si="6"/>
        <v>10</v>
      </c>
      <c r="F224" s="232" t="str">
        <f t="shared" si="6"/>
        <v>0.45 ACHn</v>
      </c>
      <c r="G224" s="232" t="str">
        <f t="shared" si="6"/>
        <v>0.35 ACHn</v>
      </c>
      <c r="H224" s="232" t="str">
        <f t="shared" si="6"/>
        <v>Heating Zone 2</v>
      </c>
      <c r="I224" s="232" t="str">
        <f t="shared" si="6"/>
        <v>Infiltration Reduction - 0.45 ACHn to 0.35 ACHn - Heating Zone 2</v>
      </c>
      <c r="J224" s="232" t="s">
        <v>788</v>
      </c>
      <c r="K224" s="283">
        <f>Results!K88</f>
        <v>0</v>
      </c>
      <c r="L224" s="219">
        <v>0</v>
      </c>
    </row>
    <row r="225" spans="1:12" ht="15.75" thickBot="1">
      <c r="A225" s="27" t="s">
        <v>868</v>
      </c>
      <c r="B225" s="232" t="str">
        <f t="shared" si="6"/>
        <v>Infil11</v>
      </c>
      <c r="C225" s="232" t="str">
        <f t="shared" si="6"/>
        <v>Infiltration11</v>
      </c>
      <c r="D225" s="232" t="str">
        <f t="shared" si="6"/>
        <v>Infiltration</v>
      </c>
      <c r="E225" s="232">
        <f t="shared" si="6"/>
        <v>11</v>
      </c>
      <c r="F225" s="232" t="str">
        <f t="shared" si="6"/>
        <v>0.45 ACHn</v>
      </c>
      <c r="G225" s="232" t="str">
        <f t="shared" si="6"/>
        <v>0.20 ACHn</v>
      </c>
      <c r="H225" s="232" t="str">
        <f t="shared" si="6"/>
        <v>Heating Zone 2</v>
      </c>
      <c r="I225" s="232" t="str">
        <f t="shared" si="6"/>
        <v>Infiltration Reduction - 0.45 ACHn to 0.20 ACHn - Heating Zone 2</v>
      </c>
      <c r="J225" s="232" t="s">
        <v>788</v>
      </c>
      <c r="K225" s="256">
        <f>Results!K89</f>
        <v>0</v>
      </c>
      <c r="L225" s="219">
        <v>0</v>
      </c>
    </row>
    <row r="226" spans="1:12" ht="15.75" thickBot="1">
      <c r="A226" s="27" t="s">
        <v>869</v>
      </c>
      <c r="B226" s="232" t="str">
        <f t="shared" si="6"/>
        <v>Infil12</v>
      </c>
      <c r="C226" s="232" t="str">
        <f t="shared" si="6"/>
        <v>Infiltration12</v>
      </c>
      <c r="D226" s="232" t="str">
        <f t="shared" si="6"/>
        <v>Infiltration</v>
      </c>
      <c r="E226" s="232">
        <f t="shared" si="6"/>
        <v>12</v>
      </c>
      <c r="F226" s="232" t="str">
        <f t="shared" si="6"/>
        <v>0.35 ACHn</v>
      </c>
      <c r="G226" s="232" t="str">
        <f t="shared" si="6"/>
        <v>0.20 ACHn</v>
      </c>
      <c r="H226" s="232" t="str">
        <f t="shared" si="6"/>
        <v>Heating Zone 2</v>
      </c>
      <c r="I226" s="232" t="str">
        <f t="shared" si="6"/>
        <v>Infiltration Reduction - 0.35 ACHn to 0.20 ACHn - Heating Zone 2</v>
      </c>
      <c r="J226" s="232" t="s">
        <v>788</v>
      </c>
      <c r="K226" s="293">
        <f>Results!K90</f>
        <v>0</v>
      </c>
      <c r="L226" s="219">
        <v>0</v>
      </c>
    </row>
    <row r="227" spans="1:12" ht="15.75" thickBot="1">
      <c r="A227" s="27" t="s">
        <v>870</v>
      </c>
      <c r="B227" s="232" t="str">
        <f t="shared" si="6"/>
        <v>DuctT10</v>
      </c>
      <c r="C227" s="232" t="str">
        <f t="shared" si="6"/>
        <v>DuctTightness10</v>
      </c>
      <c r="D227" s="232" t="str">
        <f t="shared" si="6"/>
        <v>DuctTightness</v>
      </c>
      <c r="E227" s="232">
        <f t="shared" si="6"/>
        <v>10</v>
      </c>
      <c r="F227" s="232" t="str">
        <f t="shared" si="6"/>
        <v>Std-crawl</v>
      </c>
      <c r="G227" s="232" t="str">
        <f t="shared" si="6"/>
        <v>PTCS-crawl</v>
      </c>
      <c r="H227" s="232" t="str">
        <f t="shared" si="6"/>
        <v>Heating Zone 2</v>
      </c>
      <c r="I227" s="232" t="str">
        <f t="shared" si="6"/>
        <v>DuctTightness - Std-crawl to PTCS-crawl - Heating Zone 2</v>
      </c>
      <c r="J227" s="232" t="s">
        <v>788</v>
      </c>
      <c r="K227" s="295">
        <f>Results!K91</f>
        <v>0</v>
      </c>
      <c r="L227" s="219">
        <v>0</v>
      </c>
    </row>
    <row r="228" spans="1:12" ht="15.75" thickBot="1">
      <c r="A228" s="27" t="s">
        <v>871</v>
      </c>
      <c r="B228" s="232" t="str">
        <f t="shared" si="6"/>
        <v>DuctI10</v>
      </c>
      <c r="C228" s="232" t="str">
        <f t="shared" si="6"/>
        <v>DuctInsulation10</v>
      </c>
      <c r="D228" s="232" t="str">
        <f t="shared" si="6"/>
        <v>DuctInsulation</v>
      </c>
      <c r="E228" s="232">
        <f t="shared" si="6"/>
        <v>10</v>
      </c>
      <c r="F228" s="232" t="str">
        <f t="shared" si="6"/>
        <v>R-0</v>
      </c>
      <c r="G228" s="232" t="str">
        <f t="shared" si="6"/>
        <v>R-4.2</v>
      </c>
      <c r="H228" s="232" t="str">
        <f t="shared" si="6"/>
        <v>Heating Zone 2</v>
      </c>
      <c r="I228" s="232" t="str">
        <f t="shared" si="6"/>
        <v>DuctInsulation - R-0 to R-4.2 - Heating Zone 2</v>
      </c>
      <c r="J228" s="232" t="s">
        <v>788</v>
      </c>
      <c r="K228" s="299">
        <f>Results!K92</f>
        <v>0</v>
      </c>
      <c r="L228" s="219">
        <v>0</v>
      </c>
    </row>
    <row r="229" spans="1:12" ht="15.75" thickBot="1">
      <c r="A229" s="27" t="s">
        <v>872</v>
      </c>
      <c r="B229" s="232" t="str">
        <f t="shared" si="6"/>
        <v>DuctI11</v>
      </c>
      <c r="C229" s="232" t="str">
        <f t="shared" si="6"/>
        <v>DuctInsulation11</v>
      </c>
      <c r="D229" s="232" t="str">
        <f t="shared" si="6"/>
        <v>DuctInsulation</v>
      </c>
      <c r="E229" s="232">
        <f t="shared" si="6"/>
        <v>11</v>
      </c>
      <c r="F229" s="232" t="str">
        <f t="shared" si="6"/>
        <v>R-0</v>
      </c>
      <c r="G229" s="232" t="str">
        <f t="shared" si="6"/>
        <v>R-11</v>
      </c>
      <c r="H229" s="232" t="str">
        <f t="shared" si="6"/>
        <v>Heating Zone 2</v>
      </c>
      <c r="I229" s="232" t="str">
        <f t="shared" si="6"/>
        <v>DuctInsulation - R-0 to R-11 - Heating Zone 2</v>
      </c>
      <c r="J229" s="232" t="s">
        <v>788</v>
      </c>
      <c r="K229" s="301">
        <f>Results!K93</f>
        <v>0</v>
      </c>
      <c r="L229" s="219">
        <v>0</v>
      </c>
    </row>
    <row r="230" spans="1:12" ht="15.75" thickBot="1">
      <c r="A230" s="27" t="s">
        <v>873</v>
      </c>
      <c r="B230" s="232" t="str">
        <f t="shared" si="6"/>
        <v>DuctI12</v>
      </c>
      <c r="C230" s="232" t="str">
        <f t="shared" si="6"/>
        <v>DuctInsulation12</v>
      </c>
      <c r="D230" s="232" t="str">
        <f t="shared" si="6"/>
        <v>DuctInsulation</v>
      </c>
      <c r="E230" s="232">
        <f t="shared" si="6"/>
        <v>12</v>
      </c>
      <c r="F230" s="232" t="str">
        <f t="shared" si="6"/>
        <v>R-4.2</v>
      </c>
      <c r="G230" s="232" t="str">
        <f t="shared" si="6"/>
        <v>R-11</v>
      </c>
      <c r="H230" s="232" t="str">
        <f t="shared" si="6"/>
        <v>Heating Zone 2</v>
      </c>
      <c r="I230" s="232" t="str">
        <f t="shared" si="6"/>
        <v>DuctInsulation - R-4.2 to R-11 - Heating Zone 2</v>
      </c>
      <c r="J230" s="232" t="s">
        <v>788</v>
      </c>
      <c r="K230" s="303">
        <f>Results!K94</f>
        <v>0</v>
      </c>
      <c r="L230" s="219">
        <v>0</v>
      </c>
    </row>
    <row r="231" spans="1:12" ht="15.75" thickBot="1">
      <c r="A231" s="27" t="s">
        <v>874</v>
      </c>
      <c r="B231" s="232" t="str">
        <f t="shared" si="6"/>
        <v>HeatP10</v>
      </c>
      <c r="C231" s="232" t="str">
        <f t="shared" si="6"/>
        <v>HeatPump10</v>
      </c>
      <c r="D231" s="232" t="str">
        <f t="shared" si="6"/>
        <v>HeatPump</v>
      </c>
      <c r="E231" s="232">
        <f t="shared" si="6"/>
        <v>10</v>
      </c>
      <c r="F231" s="232" t="str">
        <f t="shared" si="6"/>
        <v>7.7/13</v>
      </c>
      <c r="G231" s="232" t="str">
        <f t="shared" si="6"/>
        <v>8.5/13</v>
      </c>
      <c r="H231" s="232" t="str">
        <f t="shared" si="6"/>
        <v>Heating Zone 2</v>
      </c>
      <c r="I231" s="232" t="str">
        <f t="shared" si="6"/>
        <v>HeatPump Upgrade - 7.7/13 to 8.5/13 - Heating Zone 2</v>
      </c>
      <c r="J231" s="232" t="s">
        <v>788</v>
      </c>
      <c r="K231" s="301">
        <f>Results!K95</f>
        <v>0</v>
      </c>
      <c r="L231" s="219">
        <v>0</v>
      </c>
    </row>
    <row r="232" spans="1:12" ht="15.75" thickBot="1">
      <c r="A232" s="27" t="s">
        <v>875</v>
      </c>
      <c r="B232" s="232" t="str">
        <f t="shared" si="6"/>
        <v>HeatP11</v>
      </c>
      <c r="C232" s="232" t="str">
        <f t="shared" si="6"/>
        <v>HeatPump11</v>
      </c>
      <c r="D232" s="232" t="str">
        <f t="shared" si="6"/>
        <v>HeatPump</v>
      </c>
      <c r="E232" s="232">
        <f t="shared" si="6"/>
        <v>11</v>
      </c>
      <c r="F232" s="232" t="str">
        <f t="shared" si="6"/>
        <v>7.7/13</v>
      </c>
      <c r="G232" s="232" t="str">
        <f t="shared" si="6"/>
        <v>9.0/14</v>
      </c>
      <c r="H232" s="232" t="str">
        <f t="shared" si="6"/>
        <v>Heating Zone 2</v>
      </c>
      <c r="I232" s="232" t="str">
        <f t="shared" si="6"/>
        <v>HeatPump Upgrade - 7.7/13 to 9.0/14 - Heating Zone 2</v>
      </c>
      <c r="J232" s="232" t="s">
        <v>788</v>
      </c>
      <c r="K232" s="301">
        <f>Results!K96</f>
        <v>0</v>
      </c>
      <c r="L232" s="219">
        <v>0</v>
      </c>
    </row>
    <row r="233" spans="1:12" ht="15.75" thickBot="1">
      <c r="A233" s="27" t="s">
        <v>876</v>
      </c>
      <c r="B233" s="232" t="str">
        <f t="shared" si="6"/>
        <v>HeatP12</v>
      </c>
      <c r="C233" s="232" t="str">
        <f t="shared" si="6"/>
        <v>HeatPump12</v>
      </c>
      <c r="D233" s="232" t="str">
        <f t="shared" si="6"/>
        <v>HeatPump</v>
      </c>
      <c r="E233" s="232">
        <f t="shared" si="6"/>
        <v>12</v>
      </c>
      <c r="F233" s="232" t="str">
        <f t="shared" si="6"/>
        <v>7.7/13</v>
      </c>
      <c r="G233" s="232" t="str">
        <f t="shared" si="6"/>
        <v>8.2/13</v>
      </c>
      <c r="H233" s="232" t="str">
        <f t="shared" si="6"/>
        <v>Heating Zone 2</v>
      </c>
      <c r="I233" s="232" t="str">
        <f t="shared" si="6"/>
        <v>HeatPump Upgrade - 7.7/13 to 8.2/13 - Heating Zone 2</v>
      </c>
      <c r="J233" s="232" t="s">
        <v>788</v>
      </c>
      <c r="K233" s="301">
        <f>Results!K97</f>
        <v>0</v>
      </c>
      <c r="L233" s="219">
        <v>0</v>
      </c>
    </row>
    <row r="234" spans="1:12" ht="15.75" thickBot="1">
      <c r="A234" s="27" t="s">
        <v>877</v>
      </c>
      <c r="B234" s="232" t="str">
        <f t="shared" si="6"/>
        <v>HPCnt10</v>
      </c>
      <c r="C234" s="232" t="str">
        <f t="shared" si="6"/>
        <v>HPCntrls10</v>
      </c>
      <c r="D234" s="232" t="str">
        <f t="shared" si="6"/>
        <v>HPCntrls</v>
      </c>
      <c r="E234" s="232">
        <f t="shared" si="6"/>
        <v>10</v>
      </c>
      <c r="F234" s="232" t="str">
        <f t="shared" si="6"/>
        <v>Standard</v>
      </c>
      <c r="G234" s="232" t="str">
        <f t="shared" si="6"/>
        <v>PTCS</v>
      </c>
      <c r="H234" s="232" t="str">
        <f t="shared" si="6"/>
        <v>Heating Zone 2</v>
      </c>
      <c r="I234" s="232" t="str">
        <f t="shared" si="6"/>
        <v>HPCntrls Upgrade - Standard to PTCS - Heating Zone 2</v>
      </c>
      <c r="J234" s="232" t="s">
        <v>788</v>
      </c>
      <c r="K234" s="318">
        <f>Results!K98</f>
        <v>0</v>
      </c>
      <c r="L234" s="219">
        <v>0</v>
      </c>
    </row>
    <row r="235" spans="1:12" ht="15.75" thickBot="1">
      <c r="A235" s="27" t="s">
        <v>878</v>
      </c>
      <c r="B235" s="232" t="str">
        <f t="shared" si="6"/>
        <v>Walls10</v>
      </c>
      <c r="C235" s="232" t="str">
        <f t="shared" si="6"/>
        <v>Walls10</v>
      </c>
      <c r="D235" s="232" t="str">
        <f t="shared" si="6"/>
        <v>Walls</v>
      </c>
      <c r="E235" s="232">
        <f t="shared" si="6"/>
        <v>10</v>
      </c>
      <c r="F235" s="232" t="str">
        <f t="shared" si="6"/>
        <v>R-0</v>
      </c>
      <c r="G235" s="232" t="str">
        <f t="shared" si="6"/>
        <v>R-11</v>
      </c>
      <c r="H235" s="232" t="str">
        <f t="shared" si="6"/>
        <v>Heating Zone 3</v>
      </c>
      <c r="I235" s="232" t="str">
        <f t="shared" si="6"/>
        <v>Multi Family Weatherization - Insulate Walls - R-0 to R-11 - Heating Zone 3</v>
      </c>
      <c r="J235" s="232" t="s">
        <v>788</v>
      </c>
      <c r="K235" s="235">
        <f>Results!K99</f>
        <v>2.1186632912856931</v>
      </c>
      <c r="L235" s="219">
        <v>0</v>
      </c>
    </row>
    <row r="236" spans="1:12" ht="15.75" thickBot="1">
      <c r="A236" s="27" t="s">
        <v>879</v>
      </c>
      <c r="B236" s="232" t="str">
        <f t="shared" si="6"/>
        <v>BGWal10</v>
      </c>
      <c r="C236" s="232" t="str">
        <f t="shared" si="6"/>
        <v>BGWalls10</v>
      </c>
      <c r="D236" s="232" t="str">
        <f t="shared" si="6"/>
        <v>BGWalls</v>
      </c>
      <c r="E236" s="232">
        <f t="shared" si="6"/>
        <v>10</v>
      </c>
      <c r="F236" s="232" t="str">
        <f t="shared" si="6"/>
        <v>R-0</v>
      </c>
      <c r="G236" s="232" t="str">
        <f t="shared" si="6"/>
        <v>R-11</v>
      </c>
      <c r="H236" s="232" t="str">
        <f t="shared" si="6"/>
        <v>Heating Zone 3</v>
      </c>
      <c r="I236" s="232" t="str">
        <f t="shared" si="6"/>
        <v>Multi Family Weatherization - Insulate BGWalls - R-0 to R-11 - Heating Zone 3</v>
      </c>
      <c r="J236" s="232" t="s">
        <v>788</v>
      </c>
      <c r="K236" s="242">
        <f>Results!K100</f>
        <v>0</v>
      </c>
      <c r="L236" s="219">
        <v>0</v>
      </c>
    </row>
    <row r="237" spans="1:12" ht="15.75" thickBot="1">
      <c r="A237" s="27" t="s">
        <v>880</v>
      </c>
      <c r="B237" s="232" t="str">
        <f t="shared" si="6"/>
        <v>Floor10</v>
      </c>
      <c r="C237" s="232" t="str">
        <f t="shared" si="6"/>
        <v>Floors10</v>
      </c>
      <c r="D237" s="232" t="str">
        <f t="shared" si="6"/>
        <v>Floors</v>
      </c>
      <c r="E237" s="232">
        <f t="shared" si="6"/>
        <v>10</v>
      </c>
      <c r="F237" s="232" t="str">
        <f t="shared" si="6"/>
        <v>R-0</v>
      </c>
      <c r="G237" s="232" t="str">
        <f t="shared" si="6"/>
        <v>R-19</v>
      </c>
      <c r="H237" s="232" t="str">
        <f t="shared" si="6"/>
        <v>Heating Zone 3</v>
      </c>
      <c r="I237" s="232" t="str">
        <f t="shared" si="6"/>
        <v>Multi Family Weatherization - Insulate Floors - R-0 to R-19 - Heating Zone 3</v>
      </c>
      <c r="J237" s="232" t="s">
        <v>788</v>
      </c>
      <c r="K237" s="247">
        <f>Results!K101</f>
        <v>0.83933543743850392</v>
      </c>
      <c r="L237" s="219">
        <v>0</v>
      </c>
    </row>
    <row r="238" spans="1:12" ht="15.75" thickBot="1">
      <c r="A238" s="27" t="s">
        <v>881</v>
      </c>
      <c r="B238" s="232" t="str">
        <f t="shared" si="6"/>
        <v>Floor11</v>
      </c>
      <c r="C238" s="232" t="str">
        <f t="shared" si="6"/>
        <v>Floors11</v>
      </c>
      <c r="D238" s="232" t="str">
        <f t="shared" si="6"/>
        <v>Floors</v>
      </c>
      <c r="E238" s="232">
        <f t="shared" si="6"/>
        <v>11</v>
      </c>
      <c r="F238" s="232" t="str">
        <f t="shared" si="6"/>
        <v>R-0</v>
      </c>
      <c r="G238" s="232" t="str">
        <f t="shared" si="6"/>
        <v>R-25</v>
      </c>
      <c r="H238" s="232" t="str">
        <f t="shared" si="6"/>
        <v>Heating Zone 3</v>
      </c>
      <c r="I238" s="232" t="str">
        <f t="shared" si="6"/>
        <v>Multi Family Weatherization - Insulate Floors - R-0 to R-25 - Heating Zone 3</v>
      </c>
      <c r="J238" s="232" t="s">
        <v>788</v>
      </c>
      <c r="K238" s="256">
        <f>Results!K102</f>
        <v>0.96383913254010711</v>
      </c>
      <c r="L238" s="219">
        <v>0</v>
      </c>
    </row>
    <row r="239" spans="1:12" ht="15.75" thickBot="1">
      <c r="A239" s="27" t="s">
        <v>882</v>
      </c>
      <c r="B239" s="232" t="str">
        <f t="shared" si="6"/>
        <v>Floor12</v>
      </c>
      <c r="C239" s="232" t="str">
        <f t="shared" si="6"/>
        <v>Floors12</v>
      </c>
      <c r="D239" s="232" t="str">
        <f t="shared" si="6"/>
        <v>Floors</v>
      </c>
      <c r="E239" s="232">
        <f t="shared" si="6"/>
        <v>12</v>
      </c>
      <c r="F239" s="232" t="str">
        <f t="shared" si="6"/>
        <v>R-0</v>
      </c>
      <c r="G239" s="232" t="str">
        <f t="shared" si="6"/>
        <v>R-30</v>
      </c>
      <c r="H239" s="232" t="str">
        <f t="shared" si="6"/>
        <v>Heating Zone 3</v>
      </c>
      <c r="I239" s="232" t="str">
        <f t="shared" si="6"/>
        <v>Multi Family Weatherization - Insulate Floors - R-0 to R-30 - Heating Zone 3</v>
      </c>
      <c r="J239" s="232" t="s">
        <v>788</v>
      </c>
      <c r="K239" s="247">
        <f>Results!K103</f>
        <v>1.0954997954090917</v>
      </c>
      <c r="L239" s="219">
        <v>0</v>
      </c>
    </row>
    <row r="240" spans="1:12" ht="15.75" thickBot="1">
      <c r="A240" s="27" t="s">
        <v>883</v>
      </c>
      <c r="B240" s="232" t="str">
        <f t="shared" ref="B240:I255" si="7">B102</f>
        <v>Floor13</v>
      </c>
      <c r="C240" s="232" t="str">
        <f t="shared" si="7"/>
        <v>Floors13</v>
      </c>
      <c r="D240" s="232" t="str">
        <f t="shared" si="7"/>
        <v>Floors</v>
      </c>
      <c r="E240" s="232">
        <f t="shared" si="7"/>
        <v>13</v>
      </c>
      <c r="F240" s="232" t="str">
        <f t="shared" si="7"/>
        <v>R-0</v>
      </c>
      <c r="G240" s="232" t="str">
        <f t="shared" si="7"/>
        <v>R-38</v>
      </c>
      <c r="H240" s="232" t="str">
        <f t="shared" si="7"/>
        <v>Heating Zone 3</v>
      </c>
      <c r="I240" s="232" t="str">
        <f t="shared" si="7"/>
        <v>Multi Family Weatherization - Insulate Floors - R-0 to R-38 - Heating Zone 3</v>
      </c>
      <c r="J240" s="232" t="s">
        <v>788</v>
      </c>
      <c r="K240" s="256">
        <f>Results!K104</f>
        <v>1.1306003745133688</v>
      </c>
      <c r="L240" s="219">
        <v>0</v>
      </c>
    </row>
    <row r="241" spans="1:12" ht="15.75" thickBot="1">
      <c r="A241" s="27" t="s">
        <v>884</v>
      </c>
      <c r="B241" s="232" t="str">
        <f t="shared" si="7"/>
        <v>Floor14</v>
      </c>
      <c r="C241" s="232" t="str">
        <f t="shared" si="7"/>
        <v>Floors14</v>
      </c>
      <c r="D241" s="232" t="str">
        <f t="shared" si="7"/>
        <v>Floors</v>
      </c>
      <c r="E241" s="232">
        <f t="shared" si="7"/>
        <v>14</v>
      </c>
      <c r="F241" s="232" t="str">
        <f t="shared" si="7"/>
        <v>R-19</v>
      </c>
      <c r="G241" s="232" t="str">
        <f t="shared" si="7"/>
        <v>R-25</v>
      </c>
      <c r="H241" s="232" t="str">
        <f t="shared" si="7"/>
        <v>Heating Zone 3</v>
      </c>
      <c r="I241" s="232" t="str">
        <f t="shared" si="7"/>
        <v>Multi Family Weatherization - Insulate Floors - R-19 to R-25 - Heating Zone 3</v>
      </c>
      <c r="J241" s="232" t="s">
        <v>788</v>
      </c>
      <c r="K241" s="256">
        <f>Results!K105</f>
        <v>0.12450369510160321</v>
      </c>
      <c r="L241" s="219">
        <v>0</v>
      </c>
    </row>
    <row r="242" spans="1:12" ht="15.75" thickBot="1">
      <c r="A242" s="27" t="s">
        <v>885</v>
      </c>
      <c r="B242" s="232" t="str">
        <f t="shared" si="7"/>
        <v>Floor15</v>
      </c>
      <c r="C242" s="232" t="str">
        <f t="shared" si="7"/>
        <v>Floors15</v>
      </c>
      <c r="D242" s="232" t="str">
        <f t="shared" si="7"/>
        <v>Floors</v>
      </c>
      <c r="E242" s="232">
        <f t="shared" si="7"/>
        <v>15</v>
      </c>
      <c r="F242" s="232" t="str">
        <f t="shared" si="7"/>
        <v>R-19</v>
      </c>
      <c r="G242" s="232" t="str">
        <f t="shared" si="7"/>
        <v>R-30</v>
      </c>
      <c r="H242" s="232" t="str">
        <f t="shared" si="7"/>
        <v>Heating Zone 3</v>
      </c>
      <c r="I242" s="232" t="str">
        <f t="shared" si="7"/>
        <v>Multi Family Weatherization - Insulate Floors - R-19 to R-30 - Heating Zone 3</v>
      </c>
      <c r="J242" s="232" t="s">
        <v>788</v>
      </c>
      <c r="K242" s="247">
        <f>Results!K106</f>
        <v>0.25616435797058795</v>
      </c>
      <c r="L242" s="219">
        <v>0</v>
      </c>
    </row>
    <row r="243" spans="1:12" ht="15.75" thickBot="1">
      <c r="A243" s="27" t="s">
        <v>886</v>
      </c>
      <c r="B243" s="232" t="str">
        <f t="shared" si="7"/>
        <v>Floor16</v>
      </c>
      <c r="C243" s="232" t="str">
        <f t="shared" si="7"/>
        <v>Floors16</v>
      </c>
      <c r="D243" s="232" t="str">
        <f t="shared" si="7"/>
        <v>Floors</v>
      </c>
      <c r="E243" s="232">
        <f t="shared" si="7"/>
        <v>16</v>
      </c>
      <c r="F243" s="232" t="str">
        <f t="shared" si="7"/>
        <v>R-19</v>
      </c>
      <c r="G243" s="232" t="str">
        <f t="shared" si="7"/>
        <v>R-38</v>
      </c>
      <c r="H243" s="232" t="str">
        <f t="shared" si="7"/>
        <v>Heating Zone 3</v>
      </c>
      <c r="I243" s="232" t="str">
        <f t="shared" si="7"/>
        <v>Multi Family Weatherization - Insulate Floors - R-19 to R-38 - Heating Zone 3</v>
      </c>
      <c r="J243" s="232" t="s">
        <v>788</v>
      </c>
      <c r="K243" s="256">
        <f>Results!K107</f>
        <v>0.29126493707486489</v>
      </c>
      <c r="L243" s="219">
        <v>0</v>
      </c>
    </row>
    <row r="244" spans="1:12" ht="15.75" thickBot="1">
      <c r="A244" s="27" t="s">
        <v>887</v>
      </c>
      <c r="B244" s="232" t="str">
        <f t="shared" si="7"/>
        <v>Floor17</v>
      </c>
      <c r="C244" s="232" t="str">
        <f t="shared" si="7"/>
        <v>Floors17</v>
      </c>
      <c r="D244" s="232" t="str">
        <f t="shared" si="7"/>
        <v>Floors</v>
      </c>
      <c r="E244" s="232">
        <f t="shared" si="7"/>
        <v>17</v>
      </c>
      <c r="F244" s="232" t="str">
        <f t="shared" si="7"/>
        <v>R-11</v>
      </c>
      <c r="G244" s="232" t="str">
        <f t="shared" si="7"/>
        <v>R-30</v>
      </c>
      <c r="H244" s="232" t="str">
        <f t="shared" si="7"/>
        <v>Heating Zone 3</v>
      </c>
      <c r="I244" s="232" t="str">
        <f t="shared" si="7"/>
        <v>Multi Family Weatherization - Insulate Floors - R-11 to R-30 - Heating Zone 3</v>
      </c>
      <c r="J244" s="232" t="s">
        <v>788</v>
      </c>
      <c r="K244" s="256">
        <f>Results!K108</f>
        <v>2.4116216873262033</v>
      </c>
      <c r="L244" s="219">
        <v>0</v>
      </c>
    </row>
    <row r="245" spans="1:12" ht="15.75" thickBot="1">
      <c r="A245" s="27" t="s">
        <v>880</v>
      </c>
      <c r="B245" s="232" t="str">
        <f t="shared" si="7"/>
        <v>Floor18</v>
      </c>
      <c r="C245" s="232" t="str">
        <f t="shared" si="7"/>
        <v>Floors18</v>
      </c>
      <c r="D245" s="232" t="str">
        <f t="shared" si="7"/>
        <v>Floors</v>
      </c>
      <c r="E245" s="232">
        <f t="shared" si="7"/>
        <v>18</v>
      </c>
      <c r="F245" s="232" t="str">
        <f t="shared" si="7"/>
        <v>R-0</v>
      </c>
      <c r="G245" s="232" t="str">
        <f t="shared" si="7"/>
        <v>R-19</v>
      </c>
      <c r="H245" s="232" t="str">
        <f t="shared" si="7"/>
        <v>Heating Zone 3</v>
      </c>
      <c r="I245" s="232" t="str">
        <f t="shared" si="7"/>
        <v>Multi Family Weatherization - Insulate Floors - R-0 to R-19 - Heating Zone 3</v>
      </c>
      <c r="J245" s="232" t="s">
        <v>788</v>
      </c>
      <c r="K245" s="256">
        <f>Results!K109</f>
        <v>0.83933543743850392</v>
      </c>
      <c r="L245" s="219">
        <v>0</v>
      </c>
    </row>
    <row r="246" spans="1:12" ht="15.75" thickBot="1">
      <c r="A246" s="27" t="s">
        <v>888</v>
      </c>
      <c r="B246" s="232" t="str">
        <f t="shared" si="7"/>
        <v>Ceili10</v>
      </c>
      <c r="C246" s="232" t="str">
        <f t="shared" si="7"/>
        <v>Ceiling10</v>
      </c>
      <c r="D246" s="232" t="str">
        <f t="shared" si="7"/>
        <v>Ceiling</v>
      </c>
      <c r="E246" s="232">
        <f t="shared" si="7"/>
        <v>10</v>
      </c>
      <c r="F246" s="232" t="str">
        <f t="shared" si="7"/>
        <v>R-0</v>
      </c>
      <c r="G246" s="232" t="str">
        <f t="shared" si="7"/>
        <v>R-19</v>
      </c>
      <c r="H246" s="232" t="str">
        <f t="shared" si="7"/>
        <v>Heating Zone 3</v>
      </c>
      <c r="I246" s="232" t="str">
        <f t="shared" si="7"/>
        <v>Multi Family Weatherization - Insulate Attic - R-0 to R-19 - Heating Zone 3</v>
      </c>
      <c r="J246" s="232" t="s">
        <v>788</v>
      </c>
      <c r="K246" s="283">
        <f>Results!K110</f>
        <v>0.42681917023409172</v>
      </c>
      <c r="L246" s="219">
        <v>0</v>
      </c>
    </row>
    <row r="247" spans="1:12" ht="15.75" thickBot="1">
      <c r="A247" s="27" t="s">
        <v>889</v>
      </c>
      <c r="B247" s="232" t="str">
        <f t="shared" si="7"/>
        <v>Ceili11</v>
      </c>
      <c r="C247" s="232" t="str">
        <f t="shared" si="7"/>
        <v>Ceiling11</v>
      </c>
      <c r="D247" s="232" t="str">
        <f t="shared" si="7"/>
        <v>Ceiling</v>
      </c>
      <c r="E247" s="232">
        <f t="shared" si="7"/>
        <v>11</v>
      </c>
      <c r="F247" s="232" t="str">
        <f t="shared" si="7"/>
        <v>R-0</v>
      </c>
      <c r="G247" s="232" t="str">
        <f t="shared" si="7"/>
        <v>R-38</v>
      </c>
      <c r="H247" s="232" t="str">
        <f t="shared" si="7"/>
        <v>Heating Zone 3</v>
      </c>
      <c r="I247" s="232" t="str">
        <f t="shared" si="7"/>
        <v>Multi Family Weatherization - Insulate Attic - R-0 to R-38 - Heating Zone 3</v>
      </c>
      <c r="J247" s="232" t="s">
        <v>788</v>
      </c>
      <c r="K247" s="247">
        <f>Results!K111</f>
        <v>0.58275977589772743</v>
      </c>
      <c r="L247" s="219">
        <v>0</v>
      </c>
    </row>
    <row r="248" spans="1:12" ht="15.75" thickBot="1">
      <c r="A248" s="27" t="s">
        <v>890</v>
      </c>
      <c r="B248" s="232" t="str">
        <f t="shared" si="7"/>
        <v>Ceili12</v>
      </c>
      <c r="C248" s="232" t="str">
        <f t="shared" si="7"/>
        <v>Ceiling12</v>
      </c>
      <c r="D248" s="232" t="str">
        <f t="shared" si="7"/>
        <v>Ceiling</v>
      </c>
      <c r="E248" s="232">
        <f t="shared" si="7"/>
        <v>12</v>
      </c>
      <c r="F248" s="232" t="str">
        <f t="shared" si="7"/>
        <v>R-0</v>
      </c>
      <c r="G248" s="232" t="str">
        <f t="shared" si="7"/>
        <v>R-49</v>
      </c>
      <c r="H248" s="232" t="str">
        <f t="shared" si="7"/>
        <v>Heating Zone 3</v>
      </c>
      <c r="I248" s="232" t="str">
        <f t="shared" si="7"/>
        <v>Multi Family Weatherization - Insulate Attic - R-0 to R-49 - Heating Zone 3</v>
      </c>
      <c r="J248" s="232" t="s">
        <v>788</v>
      </c>
      <c r="K248" s="247">
        <f>Results!K112</f>
        <v>0.61900856289545525</v>
      </c>
      <c r="L248" s="219">
        <v>0</v>
      </c>
    </row>
    <row r="249" spans="1:12" ht="15.75" thickBot="1">
      <c r="A249" s="27" t="s">
        <v>891</v>
      </c>
      <c r="B249" s="232" t="str">
        <f t="shared" si="7"/>
        <v>Ceili13</v>
      </c>
      <c r="C249" s="232" t="str">
        <f t="shared" si="7"/>
        <v>Ceiling13</v>
      </c>
      <c r="D249" s="232" t="str">
        <f t="shared" si="7"/>
        <v>Ceiling</v>
      </c>
      <c r="E249" s="232">
        <f t="shared" si="7"/>
        <v>13</v>
      </c>
      <c r="F249" s="232" t="str">
        <f t="shared" si="7"/>
        <v>R-30</v>
      </c>
      <c r="G249" s="232" t="str">
        <f t="shared" si="7"/>
        <v>R-38</v>
      </c>
      <c r="H249" s="232" t="str">
        <f t="shared" si="7"/>
        <v>Heating Zone 3</v>
      </c>
      <c r="I249" s="232" t="str">
        <f t="shared" si="7"/>
        <v>Multi Family Weatherization - Insulate Attic - R-30 to R-38 - Heating Zone 3</v>
      </c>
      <c r="J249" s="232" t="s">
        <v>788</v>
      </c>
      <c r="K249" s="256">
        <f>Results!K113</f>
        <v>4.2994746247727096E-2</v>
      </c>
      <c r="L249" s="219">
        <v>0</v>
      </c>
    </row>
    <row r="250" spans="1:12" ht="15.75" thickBot="1">
      <c r="A250" s="27" t="s">
        <v>892</v>
      </c>
      <c r="B250" s="232" t="str">
        <f t="shared" si="7"/>
        <v>Ceili14</v>
      </c>
      <c r="C250" s="232" t="str">
        <f t="shared" si="7"/>
        <v>Ceiling14</v>
      </c>
      <c r="D250" s="232" t="str">
        <f t="shared" si="7"/>
        <v>Ceiling</v>
      </c>
      <c r="E250" s="232">
        <f t="shared" si="7"/>
        <v>14</v>
      </c>
      <c r="F250" s="232" t="str">
        <f t="shared" si="7"/>
        <v>R-30</v>
      </c>
      <c r="G250" s="232" t="str">
        <f t="shared" si="7"/>
        <v>R-49</v>
      </c>
      <c r="H250" s="232" t="str">
        <f t="shared" si="7"/>
        <v>Heating Zone 3</v>
      </c>
      <c r="I250" s="232" t="str">
        <f t="shared" si="7"/>
        <v>Multi Family Weatherization - Insulate Attic - R-30 to R-49 - Heating Zone 3</v>
      </c>
      <c r="J250" s="232" t="s">
        <v>788</v>
      </c>
      <c r="K250" s="256">
        <f>Results!K114</f>
        <v>7.924353324545487E-2</v>
      </c>
      <c r="L250" s="219">
        <v>0</v>
      </c>
    </row>
    <row r="251" spans="1:12" ht="15.75" thickBot="1">
      <c r="A251" s="27" t="s">
        <v>893</v>
      </c>
      <c r="B251" s="232" t="str">
        <f t="shared" si="7"/>
        <v>Ceili15</v>
      </c>
      <c r="C251" s="232" t="str">
        <f t="shared" si="7"/>
        <v>Ceiling15</v>
      </c>
      <c r="D251" s="232" t="str">
        <f t="shared" si="7"/>
        <v>Ceiling</v>
      </c>
      <c r="E251" s="232">
        <f t="shared" si="7"/>
        <v>15</v>
      </c>
      <c r="F251" s="232" t="str">
        <f t="shared" si="7"/>
        <v>R-19</v>
      </c>
      <c r="G251" s="232" t="str">
        <f t="shared" si="7"/>
        <v>R-30</v>
      </c>
      <c r="H251" s="232" t="str">
        <f t="shared" si="7"/>
        <v>Heating Zone 3</v>
      </c>
      <c r="I251" s="232" t="str">
        <f t="shared" si="7"/>
        <v>Multi Family Weatherization - Insulate Attic - R-19 to R-30 - Heating Zone 3</v>
      </c>
      <c r="J251" s="232" t="s">
        <v>788</v>
      </c>
      <c r="K251" s="256">
        <f>Results!K115</f>
        <v>0.11294585941590859</v>
      </c>
      <c r="L251" s="219">
        <v>0</v>
      </c>
    </row>
    <row r="252" spans="1:12" ht="15.75" thickBot="1">
      <c r="A252" s="27" t="s">
        <v>894</v>
      </c>
      <c r="B252" s="232" t="str">
        <f t="shared" si="7"/>
        <v>Ceili16</v>
      </c>
      <c r="C252" s="232" t="str">
        <f t="shared" si="7"/>
        <v>Ceiling16</v>
      </c>
      <c r="D252" s="232" t="str">
        <f t="shared" si="7"/>
        <v>Ceiling</v>
      </c>
      <c r="E252" s="232">
        <f t="shared" si="7"/>
        <v>16</v>
      </c>
      <c r="F252" s="232" t="str">
        <f t="shared" si="7"/>
        <v>R-19</v>
      </c>
      <c r="G252" s="232" t="str">
        <f t="shared" si="7"/>
        <v>R-38</v>
      </c>
      <c r="H252" s="232" t="str">
        <f t="shared" si="7"/>
        <v>Heating Zone 3</v>
      </c>
      <c r="I252" s="232" t="str">
        <f t="shared" si="7"/>
        <v>Multi Family Weatherization - Insulate Attic - R-19 to R-38 - Heating Zone 3</v>
      </c>
      <c r="J252" s="232" t="s">
        <v>788</v>
      </c>
      <c r="K252" s="247">
        <f>Results!K116</f>
        <v>0.15594060566363571</v>
      </c>
      <c r="L252" s="219">
        <v>0</v>
      </c>
    </row>
    <row r="253" spans="1:12" ht="15.75" thickBot="1">
      <c r="A253" s="27" t="s">
        <v>895</v>
      </c>
      <c r="B253" s="232" t="str">
        <f t="shared" si="7"/>
        <v>Ceili17</v>
      </c>
      <c r="C253" s="232" t="str">
        <f t="shared" si="7"/>
        <v>Ceiling17</v>
      </c>
      <c r="D253" s="232" t="str">
        <f t="shared" si="7"/>
        <v>Ceiling</v>
      </c>
      <c r="E253" s="232">
        <f t="shared" si="7"/>
        <v>17</v>
      </c>
      <c r="F253" s="232" t="str">
        <f t="shared" si="7"/>
        <v>R-19</v>
      </c>
      <c r="G253" s="232" t="str">
        <f t="shared" si="7"/>
        <v>R-49</v>
      </c>
      <c r="H253" s="232" t="str">
        <f t="shared" si="7"/>
        <v>Heating Zone 3</v>
      </c>
      <c r="I253" s="232" t="str">
        <f t="shared" si="7"/>
        <v>Multi Family Weatherization - Insulate Attic - R-19 to R-49 - Heating Zone 3</v>
      </c>
      <c r="J253" s="232" t="s">
        <v>788</v>
      </c>
      <c r="K253" s="247">
        <f>Results!K117</f>
        <v>0.19218939266136348</v>
      </c>
      <c r="L253" s="219">
        <v>0</v>
      </c>
    </row>
    <row r="254" spans="1:12" ht="15.75" thickBot="1">
      <c r="A254" s="27" t="s">
        <v>896</v>
      </c>
      <c r="B254" s="232" t="str">
        <f t="shared" si="7"/>
        <v>Ceili18</v>
      </c>
      <c r="C254" s="232" t="str">
        <f t="shared" si="7"/>
        <v>Ceiling18</v>
      </c>
      <c r="D254" s="232" t="str">
        <f t="shared" si="7"/>
        <v>Ceiling</v>
      </c>
      <c r="E254" s="232">
        <f t="shared" si="7"/>
        <v>18</v>
      </c>
      <c r="F254" s="232" t="str">
        <f t="shared" si="7"/>
        <v>R-38</v>
      </c>
      <c r="G254" s="232" t="str">
        <f t="shared" si="7"/>
        <v>R-49</v>
      </c>
      <c r="H254" s="232" t="str">
        <f t="shared" si="7"/>
        <v>Heating Zone 3</v>
      </c>
      <c r="I254" s="232" t="str">
        <f t="shared" si="7"/>
        <v>Multi Family Weatherization - Insulate Attic - R-38 to R-49 - Heating Zone 3</v>
      </c>
      <c r="J254" s="232" t="s">
        <v>788</v>
      </c>
      <c r="K254" s="288">
        <f>Results!K118</f>
        <v>3.6248786997727767E-2</v>
      </c>
      <c r="L254" s="219">
        <v>0</v>
      </c>
    </row>
    <row r="255" spans="1:12" ht="15.75" thickBot="1">
      <c r="A255" s="27" t="s">
        <v>897</v>
      </c>
      <c r="B255" s="232" t="str">
        <f t="shared" si="7"/>
        <v>Windo10</v>
      </c>
      <c r="C255" s="232" t="str">
        <f t="shared" si="7"/>
        <v>Windows10</v>
      </c>
      <c r="D255" s="232" t="str">
        <f t="shared" si="7"/>
        <v>Windows</v>
      </c>
      <c r="E255" s="232">
        <f t="shared" si="7"/>
        <v>10</v>
      </c>
      <c r="F255" s="232" t="str">
        <f t="shared" si="7"/>
        <v>Class 85</v>
      </c>
      <c r="G255" s="232" t="str">
        <f t="shared" si="7"/>
        <v>Class 35</v>
      </c>
      <c r="H255" s="232" t="str">
        <f t="shared" si="7"/>
        <v>Heating Zone 3</v>
      </c>
      <c r="I255" s="232" t="str">
        <f t="shared" si="7"/>
        <v>Windows - Class 85 to Class 35 - Heating Zone 3</v>
      </c>
      <c r="J255" s="232" t="s">
        <v>788</v>
      </c>
      <c r="K255" s="256">
        <f>Results!K119</f>
        <v>-12.905144495730379</v>
      </c>
      <c r="L255" s="219">
        <v>0</v>
      </c>
    </row>
    <row r="256" spans="1:12" ht="15.75" thickBot="1">
      <c r="A256" s="27" t="s">
        <v>898</v>
      </c>
      <c r="B256" s="232" t="str">
        <f t="shared" ref="B256:I271" si="8">B118</f>
        <v>Windo11</v>
      </c>
      <c r="C256" s="232" t="str">
        <f t="shared" si="8"/>
        <v>Windows11</v>
      </c>
      <c r="D256" s="232" t="str">
        <f t="shared" si="8"/>
        <v>Windows</v>
      </c>
      <c r="E256" s="232">
        <f t="shared" si="8"/>
        <v>11</v>
      </c>
      <c r="F256" s="232" t="str">
        <f t="shared" si="8"/>
        <v>Class 85</v>
      </c>
      <c r="G256" s="232" t="str">
        <f t="shared" si="8"/>
        <v>Class 30</v>
      </c>
      <c r="H256" s="232" t="str">
        <f t="shared" si="8"/>
        <v>Heating Zone 3</v>
      </c>
      <c r="I256" s="232" t="str">
        <f t="shared" si="8"/>
        <v>Windows - Class 85 to Class 30 - Heating Zone 3</v>
      </c>
      <c r="J256" s="232" t="s">
        <v>788</v>
      </c>
      <c r="K256" s="256">
        <f>Results!K120</f>
        <v>-10.739034236752136</v>
      </c>
      <c r="L256" s="219">
        <v>0</v>
      </c>
    </row>
    <row r="257" spans="1:12" ht="15.75" thickBot="1">
      <c r="A257" s="27" t="s">
        <v>899</v>
      </c>
      <c r="B257" s="232" t="str">
        <f t="shared" si="8"/>
        <v>Windo12</v>
      </c>
      <c r="C257" s="232" t="str">
        <f t="shared" si="8"/>
        <v>Windows12</v>
      </c>
      <c r="D257" s="232" t="str">
        <f t="shared" si="8"/>
        <v>Windows</v>
      </c>
      <c r="E257" s="232">
        <f t="shared" si="8"/>
        <v>12</v>
      </c>
      <c r="F257" s="232" t="str">
        <f t="shared" si="8"/>
        <v>Class 85</v>
      </c>
      <c r="G257" s="232" t="str">
        <f t="shared" si="8"/>
        <v>Class 25</v>
      </c>
      <c r="H257" s="232" t="str">
        <f t="shared" si="8"/>
        <v>Heating Zone 3</v>
      </c>
      <c r="I257" s="232" t="str">
        <f t="shared" si="8"/>
        <v>Windows - Class 85 to Class 25 - Heating Zone 3</v>
      </c>
      <c r="J257" s="232" t="s">
        <v>788</v>
      </c>
      <c r="K257" s="256">
        <f>Results!K121</f>
        <v>0</v>
      </c>
      <c r="L257" s="219">
        <v>0</v>
      </c>
    </row>
    <row r="258" spans="1:12" ht="15.75" thickBot="1">
      <c r="A258" s="27" t="s">
        <v>900</v>
      </c>
      <c r="B258" s="232" t="str">
        <f t="shared" si="8"/>
        <v>Windo13</v>
      </c>
      <c r="C258" s="232" t="str">
        <f t="shared" si="8"/>
        <v>Windows13</v>
      </c>
      <c r="D258" s="232" t="str">
        <f t="shared" si="8"/>
        <v>Windows</v>
      </c>
      <c r="E258" s="232">
        <f t="shared" si="8"/>
        <v>13</v>
      </c>
      <c r="F258" s="232" t="str">
        <f t="shared" si="8"/>
        <v>Class 85</v>
      </c>
      <c r="G258" s="232" t="str">
        <f t="shared" si="8"/>
        <v>Class 20</v>
      </c>
      <c r="H258" s="232" t="str">
        <f t="shared" si="8"/>
        <v>Heating Zone 3</v>
      </c>
      <c r="I258" s="232" t="str">
        <f t="shared" si="8"/>
        <v>Windows - Class 85 to Class 20 - Heating Zone 3</v>
      </c>
      <c r="J258" s="232" t="s">
        <v>788</v>
      </c>
      <c r="K258" s="256">
        <f>Results!K122</f>
        <v>-6.6319485717035747</v>
      </c>
      <c r="L258" s="219">
        <v>0</v>
      </c>
    </row>
    <row r="259" spans="1:12" ht="15.75" thickBot="1">
      <c r="A259" s="27" t="s">
        <v>901</v>
      </c>
      <c r="B259" s="232" t="str">
        <f t="shared" si="8"/>
        <v>Windo14</v>
      </c>
      <c r="C259" s="232" t="str">
        <f t="shared" si="8"/>
        <v>Windows14</v>
      </c>
      <c r="D259" s="232" t="str">
        <f t="shared" si="8"/>
        <v>Windows</v>
      </c>
      <c r="E259" s="232">
        <f t="shared" si="8"/>
        <v>14</v>
      </c>
      <c r="F259" s="232" t="str">
        <f t="shared" si="8"/>
        <v>Class 85</v>
      </c>
      <c r="G259" s="232" t="str">
        <f t="shared" si="8"/>
        <v>Class 15</v>
      </c>
      <c r="H259" s="232" t="str">
        <f t="shared" si="8"/>
        <v>Heating Zone 3</v>
      </c>
      <c r="I259" s="232" t="str">
        <f t="shared" si="8"/>
        <v>Windows - Class 85 to Class 15 - Heating Zone 3</v>
      </c>
      <c r="J259" s="232" t="s">
        <v>788</v>
      </c>
      <c r="K259" s="256">
        <f>Results!K123</f>
        <v>-4.1991526195376832</v>
      </c>
      <c r="L259" s="219">
        <v>0</v>
      </c>
    </row>
    <row r="260" spans="1:12" ht="15.75" thickBot="1">
      <c r="A260" s="27" t="s">
        <v>902</v>
      </c>
      <c r="B260" s="232" t="str">
        <f t="shared" si="8"/>
        <v>Windo15</v>
      </c>
      <c r="C260" s="232" t="str">
        <f t="shared" si="8"/>
        <v>Windows15</v>
      </c>
      <c r="D260" s="232" t="str">
        <f t="shared" si="8"/>
        <v>Windows</v>
      </c>
      <c r="E260" s="232">
        <f t="shared" si="8"/>
        <v>15</v>
      </c>
      <c r="F260" s="232" t="str">
        <f t="shared" si="8"/>
        <v>Class 50</v>
      </c>
      <c r="G260" s="232" t="str">
        <f t="shared" si="8"/>
        <v>Class 35</v>
      </c>
      <c r="H260" s="232" t="str">
        <f t="shared" si="8"/>
        <v>Heating Zone 3</v>
      </c>
      <c r="I260" s="232" t="str">
        <f t="shared" si="8"/>
        <v>Windows - Class 50 to Class 35 - Heating Zone 3</v>
      </c>
      <c r="J260" s="232" t="s">
        <v>788</v>
      </c>
      <c r="K260" s="256">
        <f>Results!K124</f>
        <v>2.5999497985722604</v>
      </c>
      <c r="L260" s="219">
        <v>0</v>
      </c>
    </row>
    <row r="261" spans="1:12" ht="15.75" thickBot="1">
      <c r="A261" s="27" t="s">
        <v>903</v>
      </c>
      <c r="B261" s="232" t="str">
        <f t="shared" si="8"/>
        <v>Windo16</v>
      </c>
      <c r="C261" s="232" t="str">
        <f t="shared" si="8"/>
        <v>Windows16</v>
      </c>
      <c r="D261" s="232" t="str">
        <f t="shared" si="8"/>
        <v>Windows</v>
      </c>
      <c r="E261" s="232">
        <f t="shared" si="8"/>
        <v>16</v>
      </c>
      <c r="F261" s="232" t="str">
        <f t="shared" si="8"/>
        <v>Class 50</v>
      </c>
      <c r="G261" s="232" t="str">
        <f t="shared" si="8"/>
        <v>Class 30</v>
      </c>
      <c r="H261" s="232" t="str">
        <f t="shared" si="8"/>
        <v>Heating Zone 3</v>
      </c>
      <c r="I261" s="232" t="str">
        <f t="shared" si="8"/>
        <v>Windows - Class 50 to Class 30 - Heating Zone 3</v>
      </c>
      <c r="J261" s="232" t="s">
        <v>788</v>
      </c>
      <c r="K261" s="256">
        <f>Results!K125</f>
        <v>4.7660600575505043</v>
      </c>
      <c r="L261" s="219">
        <v>0</v>
      </c>
    </row>
    <row r="262" spans="1:12" ht="15.75" thickBot="1">
      <c r="A262" s="27" t="s">
        <v>904</v>
      </c>
      <c r="B262" s="232" t="str">
        <f t="shared" si="8"/>
        <v>Windo17</v>
      </c>
      <c r="C262" s="232" t="str">
        <f t="shared" si="8"/>
        <v>Windows17</v>
      </c>
      <c r="D262" s="232" t="str">
        <f t="shared" si="8"/>
        <v>Windows</v>
      </c>
      <c r="E262" s="232">
        <f t="shared" si="8"/>
        <v>17</v>
      </c>
      <c r="F262" s="232" t="str">
        <f t="shared" si="8"/>
        <v>Class 50</v>
      </c>
      <c r="G262" s="232" t="str">
        <f t="shared" si="8"/>
        <v>Class 25</v>
      </c>
      <c r="H262" s="232" t="str">
        <f t="shared" si="8"/>
        <v>Heating Zone 3</v>
      </c>
      <c r="I262" s="232" t="str">
        <f t="shared" si="8"/>
        <v>Windows - Class 50 to Class 25 - Heating Zone 3</v>
      </c>
      <c r="J262" s="232" t="s">
        <v>788</v>
      </c>
      <c r="K262" s="256">
        <f>Results!K126</f>
        <v>15.505094294302641</v>
      </c>
      <c r="L262" s="219">
        <v>0</v>
      </c>
    </row>
    <row r="263" spans="1:12" ht="15.75" thickBot="1">
      <c r="A263" s="27" t="s">
        <v>905</v>
      </c>
      <c r="B263" s="232" t="str">
        <f t="shared" si="8"/>
        <v>Windo18</v>
      </c>
      <c r="C263" s="232" t="str">
        <f t="shared" si="8"/>
        <v>Windows18</v>
      </c>
      <c r="D263" s="232" t="str">
        <f t="shared" si="8"/>
        <v>Windows</v>
      </c>
      <c r="E263" s="232">
        <f t="shared" si="8"/>
        <v>18</v>
      </c>
      <c r="F263" s="232" t="str">
        <f t="shared" si="8"/>
        <v>Class 50</v>
      </c>
      <c r="G263" s="232" t="str">
        <f t="shared" si="8"/>
        <v>Class 20</v>
      </c>
      <c r="H263" s="232" t="str">
        <f t="shared" si="8"/>
        <v>Heating Zone 3</v>
      </c>
      <c r="I263" s="232" t="str">
        <f t="shared" si="8"/>
        <v>Windows - Class 50 to Class 20 - Heating Zone 3</v>
      </c>
      <c r="J263" s="232" t="s">
        <v>788</v>
      </c>
      <c r="K263" s="256">
        <f>Results!K127</f>
        <v>8.873145722599066</v>
      </c>
      <c r="L263" s="219">
        <v>0</v>
      </c>
    </row>
    <row r="264" spans="1:12" ht="15.75" thickBot="1">
      <c r="A264" s="27" t="s">
        <v>906</v>
      </c>
      <c r="B264" s="232" t="str">
        <f t="shared" si="8"/>
        <v>Windo19</v>
      </c>
      <c r="C264" s="232" t="str">
        <f t="shared" si="8"/>
        <v>Windows19</v>
      </c>
      <c r="D264" s="232" t="str">
        <f t="shared" si="8"/>
        <v>Windows</v>
      </c>
      <c r="E264" s="232">
        <f t="shared" si="8"/>
        <v>19</v>
      </c>
      <c r="F264" s="232" t="str">
        <f t="shared" si="8"/>
        <v>Class 35</v>
      </c>
      <c r="G264" s="232" t="str">
        <f t="shared" si="8"/>
        <v>Class 22</v>
      </c>
      <c r="H264" s="232" t="str">
        <f t="shared" si="8"/>
        <v>Heating Zone 3</v>
      </c>
      <c r="I264" s="232" t="str">
        <f t="shared" si="8"/>
        <v>Windows - Class 35 to Class 22 - Heating Zone 3</v>
      </c>
      <c r="J264" s="232" t="s">
        <v>788</v>
      </c>
      <c r="K264" s="256">
        <f>Results!K128</f>
        <v>5.3816533510023312</v>
      </c>
      <c r="L264" s="219">
        <v>0</v>
      </c>
    </row>
    <row r="265" spans="1:12" ht="15.75" thickBot="1">
      <c r="A265" s="27" t="s">
        <v>907</v>
      </c>
      <c r="B265" s="232" t="str">
        <f t="shared" si="8"/>
        <v>Windo20</v>
      </c>
      <c r="C265" s="232" t="str">
        <f t="shared" si="8"/>
        <v>Windows20</v>
      </c>
      <c r="D265" s="232" t="str">
        <f t="shared" si="8"/>
        <v>Windows</v>
      </c>
      <c r="E265" s="232">
        <f t="shared" si="8"/>
        <v>20</v>
      </c>
      <c r="F265" s="232" t="str">
        <f t="shared" si="8"/>
        <v>Single Pane</v>
      </c>
      <c r="G265" s="232" t="str">
        <f t="shared" si="8"/>
        <v>Class 22</v>
      </c>
      <c r="H265" s="232" t="str">
        <f t="shared" si="8"/>
        <v>Heating Zone 3</v>
      </c>
      <c r="I265" s="232" t="str">
        <f t="shared" si="8"/>
        <v>Windows - Single Pane to Class 22 - Heating Zone 3</v>
      </c>
      <c r="J265" s="232" t="s">
        <v>788</v>
      </c>
      <c r="K265" s="256">
        <f>Results!K129</f>
        <v>38.722478213319739</v>
      </c>
      <c r="L265" s="219">
        <v>0</v>
      </c>
    </row>
    <row r="266" spans="1:12" ht="15.75" thickBot="1">
      <c r="A266" s="27" t="s">
        <v>908</v>
      </c>
      <c r="B266" s="232" t="str">
        <f t="shared" si="8"/>
        <v>Windo21</v>
      </c>
      <c r="C266" s="232" t="str">
        <f t="shared" si="8"/>
        <v>Windows21</v>
      </c>
      <c r="D266" s="232" t="str">
        <f t="shared" si="8"/>
        <v>Windows</v>
      </c>
      <c r="E266" s="232">
        <f t="shared" si="8"/>
        <v>21</v>
      </c>
      <c r="F266" s="232" t="str">
        <f t="shared" si="8"/>
        <v>Double Pane</v>
      </c>
      <c r="G266" s="232" t="str">
        <f t="shared" si="8"/>
        <v>Class 22</v>
      </c>
      <c r="H266" s="232" t="str">
        <f t="shared" si="8"/>
        <v>Heating Zone 3</v>
      </c>
      <c r="I266" s="232" t="str">
        <f t="shared" si="8"/>
        <v>Windows - Double Pane to Class 22 - Heating Zone 3</v>
      </c>
      <c r="J266" s="232" t="s">
        <v>788</v>
      </c>
      <c r="K266" s="256">
        <f>Results!K130</f>
        <v>23.377004959203571</v>
      </c>
      <c r="L266" s="219">
        <v>0</v>
      </c>
    </row>
    <row r="267" spans="1:12" ht="15.75" thickBot="1">
      <c r="A267" s="27" t="s">
        <v>909</v>
      </c>
      <c r="B267" s="232" t="str">
        <f t="shared" si="8"/>
        <v>Windo22</v>
      </c>
      <c r="C267" s="232" t="str">
        <f t="shared" si="8"/>
        <v>Windows22</v>
      </c>
      <c r="D267" s="232" t="str">
        <f t="shared" si="8"/>
        <v>Windows</v>
      </c>
      <c r="E267" s="232">
        <f t="shared" si="8"/>
        <v>22</v>
      </c>
      <c r="F267" s="232" t="str">
        <f t="shared" si="8"/>
        <v>Single Pane</v>
      </c>
      <c r="G267" s="232" t="str">
        <f t="shared" si="8"/>
        <v>Class 30</v>
      </c>
      <c r="H267" s="232" t="str">
        <f t="shared" si="8"/>
        <v>Heating Zone 3</v>
      </c>
      <c r="I267" s="232" t="str">
        <f t="shared" si="8"/>
        <v>Windows - Single Pane to Class 30 - Heating Zone 3</v>
      </c>
      <c r="J267" s="232" t="s">
        <v>788</v>
      </c>
      <c r="K267" s="247">
        <f>Results!K131</f>
        <v>35.506935121295648</v>
      </c>
      <c r="L267" s="219">
        <v>0</v>
      </c>
    </row>
    <row r="268" spans="1:12" ht="15.75" thickBot="1">
      <c r="A268" s="27" t="s">
        <v>910</v>
      </c>
      <c r="B268" s="232" t="str">
        <f t="shared" si="8"/>
        <v>Windo23</v>
      </c>
      <c r="C268" s="232" t="str">
        <f t="shared" si="8"/>
        <v>Windows23</v>
      </c>
      <c r="D268" s="232" t="str">
        <f t="shared" si="8"/>
        <v>Windows</v>
      </c>
      <c r="E268" s="232">
        <f t="shared" si="8"/>
        <v>23</v>
      </c>
      <c r="F268" s="232" t="str">
        <f t="shared" si="8"/>
        <v>Double Pane</v>
      </c>
      <c r="G268" s="232" t="str">
        <f t="shared" si="8"/>
        <v>Class 30</v>
      </c>
      <c r="H268" s="232" t="str">
        <f t="shared" si="8"/>
        <v>Heating Zone 3</v>
      </c>
      <c r="I268" s="232" t="str">
        <f t="shared" si="8"/>
        <v>Windows - Double Pane to Class 30 - Heating Zone 3</v>
      </c>
      <c r="J268" s="232" t="s">
        <v>788</v>
      </c>
      <c r="K268" s="247">
        <f>Results!K132</f>
        <v>20.161461867179487</v>
      </c>
      <c r="L268" s="219">
        <v>0</v>
      </c>
    </row>
    <row r="269" spans="1:12" ht="15.75" thickBot="1">
      <c r="A269" s="27" t="s">
        <v>911</v>
      </c>
      <c r="B269" s="232" t="str">
        <f t="shared" si="8"/>
        <v>Windo24</v>
      </c>
      <c r="C269" s="232" t="str">
        <f t="shared" si="8"/>
        <v>Windows24</v>
      </c>
      <c r="D269" s="232" t="str">
        <f t="shared" si="8"/>
        <v>Windows</v>
      </c>
      <c r="E269" s="232">
        <f t="shared" si="8"/>
        <v>24</v>
      </c>
      <c r="F269" s="232" t="str">
        <f t="shared" si="8"/>
        <v>Class 35</v>
      </c>
      <c r="G269" s="232" t="str">
        <f t="shared" si="8"/>
        <v>Class 30</v>
      </c>
      <c r="H269" s="232" t="str">
        <f t="shared" si="8"/>
        <v>Heating Zone 3</v>
      </c>
      <c r="I269" s="232" t="str">
        <f t="shared" si="8"/>
        <v>Windows - Class 35 to Class 30 - Heating Zone 3</v>
      </c>
      <c r="J269" s="232" t="s">
        <v>788</v>
      </c>
      <c r="K269" s="247">
        <f>Results!K133</f>
        <v>2.1661102589782435</v>
      </c>
      <c r="L269" s="219">
        <v>0</v>
      </c>
    </row>
    <row r="270" spans="1:12" ht="15.75" thickBot="1">
      <c r="A270" s="27" t="s">
        <v>912</v>
      </c>
      <c r="B270" s="232" t="str">
        <f t="shared" si="8"/>
        <v>Infil10</v>
      </c>
      <c r="C270" s="232" t="str">
        <f t="shared" si="8"/>
        <v>Infiltration10</v>
      </c>
      <c r="D270" s="232" t="str">
        <f t="shared" si="8"/>
        <v>Infiltration</v>
      </c>
      <c r="E270" s="232">
        <f t="shared" si="8"/>
        <v>10</v>
      </c>
      <c r="F270" s="232" t="str">
        <f t="shared" si="8"/>
        <v>0.45 ACHn</v>
      </c>
      <c r="G270" s="232" t="str">
        <f t="shared" si="8"/>
        <v>0.35 ACHn</v>
      </c>
      <c r="H270" s="232" t="str">
        <f t="shared" si="8"/>
        <v>Heating Zone 3</v>
      </c>
      <c r="I270" s="232" t="str">
        <f t="shared" si="8"/>
        <v>Infiltration Reduction - 0.45 ACHn to 0.35 ACHn - Heating Zone 3</v>
      </c>
      <c r="J270" s="232" t="s">
        <v>788</v>
      </c>
      <c r="K270" s="283">
        <f>Results!K134</f>
        <v>0</v>
      </c>
      <c r="L270" s="219">
        <v>0</v>
      </c>
    </row>
    <row r="271" spans="1:12" ht="15.75" thickBot="1">
      <c r="A271" s="27" t="s">
        <v>913</v>
      </c>
      <c r="B271" s="232" t="str">
        <f t="shared" si="8"/>
        <v>Infil11</v>
      </c>
      <c r="C271" s="232" t="str">
        <f t="shared" si="8"/>
        <v>Infiltration11</v>
      </c>
      <c r="D271" s="232" t="str">
        <f t="shared" si="8"/>
        <v>Infiltration</v>
      </c>
      <c r="E271" s="232">
        <f t="shared" si="8"/>
        <v>11</v>
      </c>
      <c r="F271" s="232" t="str">
        <f t="shared" si="8"/>
        <v>0.45 ACHn</v>
      </c>
      <c r="G271" s="232" t="str">
        <f t="shared" si="8"/>
        <v>0.20 ACHn</v>
      </c>
      <c r="H271" s="232" t="str">
        <f t="shared" si="8"/>
        <v>Heating Zone 3</v>
      </c>
      <c r="I271" s="232" t="str">
        <f t="shared" si="8"/>
        <v>Infiltration Reduction - 0.45 ACHn to 0.20 ACHn - Heating Zone 3</v>
      </c>
      <c r="J271" s="232" t="s">
        <v>788</v>
      </c>
      <c r="K271" s="256">
        <f>Results!K135</f>
        <v>0</v>
      </c>
      <c r="L271" s="219">
        <v>0</v>
      </c>
    </row>
    <row r="272" spans="1:12" ht="15.75" thickBot="1">
      <c r="A272" s="27" t="s">
        <v>914</v>
      </c>
      <c r="B272" s="232" t="str">
        <f t="shared" ref="B272:I281" si="9">B134</f>
        <v>Infil12</v>
      </c>
      <c r="C272" s="232" t="str">
        <f t="shared" si="9"/>
        <v>Infiltration12</v>
      </c>
      <c r="D272" s="232" t="str">
        <f t="shared" si="9"/>
        <v>Infiltration</v>
      </c>
      <c r="E272" s="232">
        <f t="shared" si="9"/>
        <v>12</v>
      </c>
      <c r="F272" s="232" t="str">
        <f t="shared" si="9"/>
        <v>0.35 ACHn</v>
      </c>
      <c r="G272" s="232" t="str">
        <f t="shared" si="9"/>
        <v>0.20 ACHn</v>
      </c>
      <c r="H272" s="232" t="str">
        <f t="shared" si="9"/>
        <v>Heating Zone 3</v>
      </c>
      <c r="I272" s="232" t="str">
        <f t="shared" si="9"/>
        <v>Infiltration Reduction - 0.35 ACHn to 0.20 ACHn - Heating Zone 3</v>
      </c>
      <c r="J272" s="232" t="s">
        <v>788</v>
      </c>
      <c r="K272" s="293">
        <f>Results!K136</f>
        <v>0</v>
      </c>
      <c r="L272" s="219">
        <v>0</v>
      </c>
    </row>
    <row r="273" spans="1:12" ht="15.75" thickBot="1">
      <c r="A273" s="27" t="s">
        <v>915</v>
      </c>
      <c r="B273" s="232" t="str">
        <f t="shared" si="9"/>
        <v>DuctT10</v>
      </c>
      <c r="C273" s="232" t="str">
        <f t="shared" si="9"/>
        <v>DuctTightness10</v>
      </c>
      <c r="D273" s="232" t="str">
        <f t="shared" si="9"/>
        <v>DuctTightness</v>
      </c>
      <c r="E273" s="232">
        <f t="shared" si="9"/>
        <v>10</v>
      </c>
      <c r="F273" s="232" t="str">
        <f t="shared" si="9"/>
        <v>Std-crawl</v>
      </c>
      <c r="G273" s="232" t="str">
        <f t="shared" si="9"/>
        <v>PTCS-crawl</v>
      </c>
      <c r="H273" s="232" t="str">
        <f t="shared" si="9"/>
        <v>Heating Zone 3</v>
      </c>
      <c r="I273" s="232" t="str">
        <f t="shared" si="9"/>
        <v>DuctTightness - Std-crawl to PTCS-crawl - Heating Zone 3</v>
      </c>
      <c r="J273" s="232" t="s">
        <v>788</v>
      </c>
      <c r="K273" s="295">
        <f>Results!K137</f>
        <v>0</v>
      </c>
      <c r="L273" s="219">
        <v>0</v>
      </c>
    </row>
    <row r="274" spans="1:12" ht="15.75" thickBot="1">
      <c r="A274" s="27" t="s">
        <v>916</v>
      </c>
      <c r="B274" s="232" t="str">
        <f t="shared" si="9"/>
        <v>DuctI10</v>
      </c>
      <c r="C274" s="232" t="str">
        <f t="shared" si="9"/>
        <v>DuctInsulation10</v>
      </c>
      <c r="D274" s="232" t="str">
        <f t="shared" si="9"/>
        <v>DuctInsulation</v>
      </c>
      <c r="E274" s="232">
        <f t="shared" si="9"/>
        <v>10</v>
      </c>
      <c r="F274" s="232" t="str">
        <f t="shared" si="9"/>
        <v>R-0</v>
      </c>
      <c r="G274" s="232" t="str">
        <f t="shared" si="9"/>
        <v>R-4.2</v>
      </c>
      <c r="H274" s="232" t="str">
        <f t="shared" si="9"/>
        <v>Heating Zone 3</v>
      </c>
      <c r="I274" s="232" t="str">
        <f t="shared" si="9"/>
        <v>DuctInsulation - R-0 to R-4.2 - Heating Zone 3</v>
      </c>
      <c r="J274" s="232" t="s">
        <v>788</v>
      </c>
      <c r="K274" s="299">
        <f>Results!K138</f>
        <v>0</v>
      </c>
      <c r="L274" s="219">
        <v>0</v>
      </c>
    </row>
    <row r="275" spans="1:12" ht="15.75" thickBot="1">
      <c r="A275" s="27" t="s">
        <v>917</v>
      </c>
      <c r="B275" s="232" t="str">
        <f t="shared" si="9"/>
        <v>DuctI11</v>
      </c>
      <c r="C275" s="232" t="str">
        <f t="shared" si="9"/>
        <v>DuctInsulation11</v>
      </c>
      <c r="D275" s="232" t="str">
        <f t="shared" si="9"/>
        <v>DuctInsulation</v>
      </c>
      <c r="E275" s="232">
        <f t="shared" si="9"/>
        <v>11</v>
      </c>
      <c r="F275" s="232" t="str">
        <f t="shared" si="9"/>
        <v>R-0</v>
      </c>
      <c r="G275" s="232" t="str">
        <f t="shared" si="9"/>
        <v>R-11</v>
      </c>
      <c r="H275" s="232" t="str">
        <f t="shared" si="9"/>
        <v>Heating Zone 3</v>
      </c>
      <c r="I275" s="232" t="str">
        <f t="shared" si="9"/>
        <v>DuctInsulation - R-0 to R-11 - Heating Zone 3</v>
      </c>
      <c r="J275" s="232" t="s">
        <v>788</v>
      </c>
      <c r="K275" s="301">
        <f>Results!K139</f>
        <v>0</v>
      </c>
      <c r="L275" s="219">
        <v>0</v>
      </c>
    </row>
    <row r="276" spans="1:12" ht="15.75" thickBot="1">
      <c r="A276" s="27" t="s">
        <v>918</v>
      </c>
      <c r="B276" s="232" t="str">
        <f t="shared" si="9"/>
        <v>DuctI12</v>
      </c>
      <c r="C276" s="232" t="str">
        <f t="shared" si="9"/>
        <v>DuctInsulation12</v>
      </c>
      <c r="D276" s="232" t="str">
        <f t="shared" si="9"/>
        <v>DuctInsulation</v>
      </c>
      <c r="E276" s="232">
        <f t="shared" si="9"/>
        <v>12</v>
      </c>
      <c r="F276" s="232" t="str">
        <f t="shared" si="9"/>
        <v>R-4.2</v>
      </c>
      <c r="G276" s="232" t="str">
        <f t="shared" si="9"/>
        <v>R-11</v>
      </c>
      <c r="H276" s="232" t="str">
        <f t="shared" si="9"/>
        <v>Heating Zone 3</v>
      </c>
      <c r="I276" s="232" t="str">
        <f t="shared" si="9"/>
        <v>DuctInsulation - R-4.2 to R-11 - Heating Zone 3</v>
      </c>
      <c r="J276" s="232" t="s">
        <v>788</v>
      </c>
      <c r="K276" s="303">
        <f>Results!K140</f>
        <v>0</v>
      </c>
      <c r="L276" s="219">
        <v>0</v>
      </c>
    </row>
    <row r="277" spans="1:12" ht="15.75" thickBot="1">
      <c r="A277" s="27" t="s">
        <v>919</v>
      </c>
      <c r="B277" s="232" t="str">
        <f t="shared" si="9"/>
        <v>HeatP10</v>
      </c>
      <c r="C277" s="232" t="str">
        <f t="shared" si="9"/>
        <v>HeatPump10</v>
      </c>
      <c r="D277" s="232" t="str">
        <f t="shared" si="9"/>
        <v>HeatPump</v>
      </c>
      <c r="E277" s="232">
        <f t="shared" si="9"/>
        <v>10</v>
      </c>
      <c r="F277" s="232" t="str">
        <f t="shared" si="9"/>
        <v>7.7/13</v>
      </c>
      <c r="G277" s="232" t="str">
        <f t="shared" si="9"/>
        <v>8.5/13</v>
      </c>
      <c r="H277" s="232" t="str">
        <f t="shared" si="9"/>
        <v>Heating Zone 3</v>
      </c>
      <c r="I277" s="232" t="str">
        <f t="shared" si="9"/>
        <v>HeatPump Upgrade - 7.7/13 to 8.5/13 - Heating Zone 3</v>
      </c>
      <c r="J277" s="232" t="s">
        <v>788</v>
      </c>
      <c r="K277" s="301">
        <f>Results!K141</f>
        <v>0</v>
      </c>
      <c r="L277" s="219">
        <v>0</v>
      </c>
    </row>
    <row r="278" spans="1:12" ht="15.75" thickBot="1">
      <c r="A278" s="27" t="s">
        <v>920</v>
      </c>
      <c r="B278" s="232" t="str">
        <f t="shared" si="9"/>
        <v>HeatP11</v>
      </c>
      <c r="C278" s="232" t="str">
        <f t="shared" si="9"/>
        <v>HeatPump11</v>
      </c>
      <c r="D278" s="232" t="str">
        <f t="shared" si="9"/>
        <v>HeatPump</v>
      </c>
      <c r="E278" s="232">
        <f t="shared" si="9"/>
        <v>11</v>
      </c>
      <c r="F278" s="232" t="str">
        <f t="shared" si="9"/>
        <v>7.7/13</v>
      </c>
      <c r="G278" s="232" t="str">
        <f t="shared" si="9"/>
        <v>9.0/14</v>
      </c>
      <c r="H278" s="232" t="str">
        <f t="shared" si="9"/>
        <v>Heating Zone 3</v>
      </c>
      <c r="I278" s="232" t="str">
        <f t="shared" si="9"/>
        <v>HeatPump Upgrade - 7.7/13 to 9.0/14 - Heating Zone 3</v>
      </c>
      <c r="J278" s="232" t="s">
        <v>788</v>
      </c>
      <c r="K278" s="301">
        <f>Results!K142</f>
        <v>0</v>
      </c>
      <c r="L278" s="219">
        <v>0</v>
      </c>
    </row>
    <row r="279" spans="1:12" ht="15.75" thickBot="1">
      <c r="A279" s="27" t="s">
        <v>921</v>
      </c>
      <c r="B279" s="232" t="str">
        <f t="shared" si="9"/>
        <v>HeatP12</v>
      </c>
      <c r="C279" s="232" t="str">
        <f t="shared" si="9"/>
        <v>HeatPump12</v>
      </c>
      <c r="D279" s="232" t="str">
        <f t="shared" si="9"/>
        <v>HeatPump</v>
      </c>
      <c r="E279" s="232">
        <f t="shared" si="9"/>
        <v>12</v>
      </c>
      <c r="F279" s="232" t="str">
        <f t="shared" si="9"/>
        <v>7.7/13</v>
      </c>
      <c r="G279" s="232" t="str">
        <f t="shared" si="9"/>
        <v>8.2/13</v>
      </c>
      <c r="H279" s="232" t="str">
        <f t="shared" si="9"/>
        <v>Heating Zone 3</v>
      </c>
      <c r="I279" s="232" t="str">
        <f t="shared" si="9"/>
        <v>HeatPump Upgrade - 7.7/13 to 8.2/13 - Heating Zone 3</v>
      </c>
      <c r="J279" s="232" t="s">
        <v>788</v>
      </c>
      <c r="K279" s="301">
        <f>Results!K143</f>
        <v>0</v>
      </c>
      <c r="L279" s="219">
        <v>0</v>
      </c>
    </row>
    <row r="280" spans="1:12" ht="15.75" thickBot="1">
      <c r="A280" s="27" t="s">
        <v>922</v>
      </c>
      <c r="B280" s="232" t="str">
        <f t="shared" si="9"/>
        <v>HPCnt10</v>
      </c>
      <c r="C280" s="232" t="str">
        <f t="shared" si="9"/>
        <v>HPCntrls10</v>
      </c>
      <c r="D280" s="232" t="str">
        <f t="shared" si="9"/>
        <v>HPCntrls</v>
      </c>
      <c r="E280" s="232">
        <f t="shared" si="9"/>
        <v>10</v>
      </c>
      <c r="F280" s="232" t="str">
        <f t="shared" si="9"/>
        <v>Standard</v>
      </c>
      <c r="G280" s="232" t="str">
        <f t="shared" si="9"/>
        <v>PTCS</v>
      </c>
      <c r="H280" s="232" t="str">
        <f t="shared" si="9"/>
        <v>Heating Zone 3</v>
      </c>
      <c r="I280" s="232" t="str">
        <f t="shared" si="9"/>
        <v>HPCntrls Upgrade - Standard to PTCS - Heating Zone 3</v>
      </c>
      <c r="J280" s="232" t="s">
        <v>788</v>
      </c>
      <c r="K280" s="318">
        <f>Results!K144</f>
        <v>0</v>
      </c>
      <c r="L280" s="219">
        <v>0</v>
      </c>
    </row>
    <row r="281" spans="1:12" ht="15">
      <c r="A281" s="27" t="s">
        <v>923</v>
      </c>
      <c r="B281" s="325" t="str">
        <f>B143</f>
        <v>Walls10</v>
      </c>
      <c r="C281" s="325" t="str">
        <f t="shared" si="9"/>
        <v>Walls10</v>
      </c>
      <c r="D281" s="325" t="str">
        <f t="shared" si="9"/>
        <v>Walls</v>
      </c>
      <c r="E281" s="325">
        <f t="shared" si="9"/>
        <v>10</v>
      </c>
      <c r="F281" s="325" t="str">
        <f t="shared" si="9"/>
        <v>R-0</v>
      </c>
      <c r="G281" s="325" t="str">
        <f t="shared" si="9"/>
        <v>R-11</v>
      </c>
      <c r="H281" s="325" t="str">
        <f t="shared" si="9"/>
        <v>Heating Zone 1</v>
      </c>
      <c r="I281" s="325" t="str">
        <f t="shared" si="9"/>
        <v>Multi Family Weatherization - Insulate Walls - R-0 to R-11 - Heating Zone 1</v>
      </c>
      <c r="J281" s="325" t="s">
        <v>924</v>
      </c>
      <c r="K281" s="235">
        <f>Results!L7</f>
        <v>1.2795366082093165</v>
      </c>
      <c r="L281" s="219">
        <v>0</v>
      </c>
    </row>
    <row r="282" spans="1:12" ht="15">
      <c r="A282" s="27" t="s">
        <v>925</v>
      </c>
      <c r="B282" s="325" t="str">
        <f t="shared" ref="B282:I297" si="10">B144</f>
        <v>BGWal10</v>
      </c>
      <c r="C282" s="325" t="str">
        <f t="shared" si="10"/>
        <v>BGWalls10</v>
      </c>
      <c r="D282" s="325" t="str">
        <f t="shared" si="10"/>
        <v>BGWalls</v>
      </c>
      <c r="E282" s="325">
        <f t="shared" si="10"/>
        <v>10</v>
      </c>
      <c r="F282" s="325" t="str">
        <f t="shared" si="10"/>
        <v>R-0</v>
      </c>
      <c r="G282" s="325" t="str">
        <f t="shared" si="10"/>
        <v>R-11</v>
      </c>
      <c r="H282" s="325" t="str">
        <f t="shared" si="10"/>
        <v>Heating Zone 1</v>
      </c>
      <c r="I282" s="325" t="str">
        <f t="shared" si="10"/>
        <v>Multi Family Weatherization - Insulate BGWalls - R-0 to R-11 - Heating Zone 1</v>
      </c>
      <c r="J282" s="325" t="s">
        <v>924</v>
      </c>
      <c r="K282" s="242">
        <f>Results!L8</f>
        <v>0</v>
      </c>
      <c r="L282" s="219">
        <v>0</v>
      </c>
    </row>
    <row r="283" spans="1:12" ht="15">
      <c r="A283" s="27" t="s">
        <v>926</v>
      </c>
      <c r="B283" s="325" t="str">
        <f t="shared" si="10"/>
        <v>Floor10</v>
      </c>
      <c r="C283" s="325" t="str">
        <f t="shared" si="10"/>
        <v>Floors10</v>
      </c>
      <c r="D283" s="325" t="str">
        <f t="shared" si="10"/>
        <v>Floors</v>
      </c>
      <c r="E283" s="325">
        <f t="shared" si="10"/>
        <v>10</v>
      </c>
      <c r="F283" s="325" t="str">
        <f t="shared" si="10"/>
        <v>R-0</v>
      </c>
      <c r="G283" s="325" t="str">
        <f t="shared" si="10"/>
        <v>R-19</v>
      </c>
      <c r="H283" s="325" t="str">
        <f t="shared" si="10"/>
        <v>Heating Zone 1</v>
      </c>
      <c r="I283" s="325" t="str">
        <f t="shared" si="10"/>
        <v>Multi Family Weatherization - Insulate Floors - R-0 to R-19 - Heating Zone 1</v>
      </c>
      <c r="J283" s="325" t="s">
        <v>924</v>
      </c>
      <c r="K283" s="247">
        <f>Results!L9</f>
        <v>0.54992417293141704</v>
      </c>
      <c r="L283" s="219">
        <v>0</v>
      </c>
    </row>
    <row r="284" spans="1:12" ht="15">
      <c r="A284" s="27" t="s">
        <v>927</v>
      </c>
      <c r="B284" s="325" t="str">
        <f t="shared" si="10"/>
        <v>Floor11</v>
      </c>
      <c r="C284" s="325" t="str">
        <f t="shared" si="10"/>
        <v>Floors11</v>
      </c>
      <c r="D284" s="325" t="str">
        <f t="shared" si="10"/>
        <v>Floors</v>
      </c>
      <c r="E284" s="325">
        <f t="shared" si="10"/>
        <v>11</v>
      </c>
      <c r="F284" s="325" t="str">
        <f t="shared" si="10"/>
        <v>R-0</v>
      </c>
      <c r="G284" s="325" t="str">
        <f t="shared" si="10"/>
        <v>R-25</v>
      </c>
      <c r="H284" s="325" t="str">
        <f t="shared" si="10"/>
        <v>Heating Zone 1</v>
      </c>
      <c r="I284" s="325" t="str">
        <f t="shared" si="10"/>
        <v>Multi Family Weatherization - Insulate Floors - R-0 to R-25 - Heating Zone 1</v>
      </c>
      <c r="J284" s="325" t="s">
        <v>924</v>
      </c>
      <c r="K284" s="256">
        <f>Results!L10</f>
        <v>0.63036915132647064</v>
      </c>
      <c r="L284" s="219">
        <v>0</v>
      </c>
    </row>
    <row r="285" spans="1:12" ht="15">
      <c r="A285" s="27" t="s">
        <v>928</v>
      </c>
      <c r="B285" s="325" t="str">
        <f t="shared" si="10"/>
        <v>Floor12</v>
      </c>
      <c r="C285" s="325" t="str">
        <f t="shared" si="10"/>
        <v>Floors12</v>
      </c>
      <c r="D285" s="325" t="str">
        <f t="shared" si="10"/>
        <v>Floors</v>
      </c>
      <c r="E285" s="325">
        <f t="shared" si="10"/>
        <v>12</v>
      </c>
      <c r="F285" s="325" t="str">
        <f t="shared" si="10"/>
        <v>R-0</v>
      </c>
      <c r="G285" s="325" t="str">
        <f t="shared" si="10"/>
        <v>R-30</v>
      </c>
      <c r="H285" s="325" t="str">
        <f t="shared" si="10"/>
        <v>Heating Zone 1</v>
      </c>
      <c r="I285" s="325" t="str">
        <f t="shared" si="10"/>
        <v>Multi Family Weatherization - Insulate Floors - R-0 to R-30 - Heating Zone 1</v>
      </c>
      <c r="J285" s="325" t="s">
        <v>924</v>
      </c>
      <c r="K285" s="247">
        <f>Results!L11</f>
        <v>0.71506655842459887</v>
      </c>
      <c r="L285" s="219">
        <v>0</v>
      </c>
    </row>
    <row r="286" spans="1:12" ht="15">
      <c r="A286" s="27" t="s">
        <v>929</v>
      </c>
      <c r="B286" s="325" t="str">
        <f t="shared" si="10"/>
        <v>Floor13</v>
      </c>
      <c r="C286" s="325" t="str">
        <f t="shared" si="10"/>
        <v>Floors13</v>
      </c>
      <c r="D286" s="325" t="str">
        <f t="shared" si="10"/>
        <v>Floors</v>
      </c>
      <c r="E286" s="325">
        <f t="shared" si="10"/>
        <v>13</v>
      </c>
      <c r="F286" s="325" t="str">
        <f t="shared" si="10"/>
        <v>R-0</v>
      </c>
      <c r="G286" s="325" t="str">
        <f t="shared" si="10"/>
        <v>R-38</v>
      </c>
      <c r="H286" s="325" t="str">
        <f t="shared" si="10"/>
        <v>Heating Zone 1</v>
      </c>
      <c r="I286" s="325" t="str">
        <f t="shared" si="10"/>
        <v>Multi Family Weatherization - Insulate Floors - R-0 to R-38 - Heating Zone 1</v>
      </c>
      <c r="J286" s="325" t="s">
        <v>924</v>
      </c>
      <c r="K286" s="256">
        <f>Results!L12</f>
        <v>0.73758250343048126</v>
      </c>
      <c r="L286" s="219">
        <v>0</v>
      </c>
    </row>
    <row r="287" spans="1:12" ht="15">
      <c r="A287" s="27" t="s">
        <v>930</v>
      </c>
      <c r="B287" s="325" t="str">
        <f t="shared" si="10"/>
        <v>Floor14</v>
      </c>
      <c r="C287" s="325" t="str">
        <f t="shared" si="10"/>
        <v>Floors14</v>
      </c>
      <c r="D287" s="325" t="str">
        <f t="shared" si="10"/>
        <v>Floors</v>
      </c>
      <c r="E287" s="325">
        <f t="shared" si="10"/>
        <v>14</v>
      </c>
      <c r="F287" s="325" t="str">
        <f t="shared" si="10"/>
        <v>R-19</v>
      </c>
      <c r="G287" s="325" t="str">
        <f t="shared" si="10"/>
        <v>R-25</v>
      </c>
      <c r="H287" s="325" t="str">
        <f t="shared" si="10"/>
        <v>Heating Zone 1</v>
      </c>
      <c r="I287" s="325" t="str">
        <f t="shared" si="10"/>
        <v>Multi Family Weatherization - Insulate Floors - R-19 to R-25 - Heating Zone 1</v>
      </c>
      <c r="J287" s="325" t="s">
        <v>924</v>
      </c>
      <c r="K287" s="256">
        <f>Results!L13</f>
        <v>8.0444978395053601E-2</v>
      </c>
      <c r="L287" s="219">
        <v>0</v>
      </c>
    </row>
    <row r="288" spans="1:12" ht="15">
      <c r="A288" s="27" t="s">
        <v>931</v>
      </c>
      <c r="B288" s="325" t="str">
        <f t="shared" si="10"/>
        <v>Floor15</v>
      </c>
      <c r="C288" s="325" t="str">
        <f t="shared" si="10"/>
        <v>Floors15</v>
      </c>
      <c r="D288" s="325" t="str">
        <f t="shared" si="10"/>
        <v>Floors</v>
      </c>
      <c r="E288" s="325">
        <f t="shared" si="10"/>
        <v>15</v>
      </c>
      <c r="F288" s="325" t="str">
        <f t="shared" si="10"/>
        <v>R-19</v>
      </c>
      <c r="G288" s="325" t="str">
        <f t="shared" si="10"/>
        <v>R-30</v>
      </c>
      <c r="H288" s="325" t="str">
        <f t="shared" si="10"/>
        <v>Heating Zone 1</v>
      </c>
      <c r="I288" s="325" t="str">
        <f t="shared" si="10"/>
        <v>Multi Family Weatherization - Insulate Floors - R-19 to R-30 - Heating Zone 1</v>
      </c>
      <c r="J288" s="325" t="s">
        <v>924</v>
      </c>
      <c r="K288" s="247">
        <f>Results!L14</f>
        <v>0.16514238549318172</v>
      </c>
      <c r="L288" s="219">
        <v>0</v>
      </c>
    </row>
    <row r="289" spans="1:12" ht="15">
      <c r="A289" s="27" t="s">
        <v>932</v>
      </c>
      <c r="B289" s="325" t="str">
        <f t="shared" si="10"/>
        <v>Floor16</v>
      </c>
      <c r="C289" s="325" t="str">
        <f t="shared" si="10"/>
        <v>Floors16</v>
      </c>
      <c r="D289" s="325" t="str">
        <f t="shared" si="10"/>
        <v>Floors</v>
      </c>
      <c r="E289" s="325">
        <f t="shared" si="10"/>
        <v>16</v>
      </c>
      <c r="F289" s="325" t="str">
        <f t="shared" si="10"/>
        <v>R-19</v>
      </c>
      <c r="G289" s="325" t="str">
        <f t="shared" si="10"/>
        <v>R-38</v>
      </c>
      <c r="H289" s="325" t="str">
        <f t="shared" si="10"/>
        <v>Heating Zone 1</v>
      </c>
      <c r="I289" s="325" t="str">
        <f t="shared" si="10"/>
        <v>Multi Family Weatherization - Insulate Floors - R-19 to R-38 - Heating Zone 1</v>
      </c>
      <c r="J289" s="325" t="s">
        <v>924</v>
      </c>
      <c r="K289" s="256">
        <f>Results!L15</f>
        <v>0.18765833049906411</v>
      </c>
      <c r="L289" s="219">
        <v>0</v>
      </c>
    </row>
    <row r="290" spans="1:12" ht="15">
      <c r="A290" s="27" t="s">
        <v>933</v>
      </c>
      <c r="B290" s="325" t="str">
        <f t="shared" si="10"/>
        <v>Floor17</v>
      </c>
      <c r="C290" s="325" t="str">
        <f t="shared" si="10"/>
        <v>Floors17</v>
      </c>
      <c r="D290" s="325" t="str">
        <f t="shared" si="10"/>
        <v>Floors</v>
      </c>
      <c r="E290" s="325">
        <f t="shared" si="10"/>
        <v>17</v>
      </c>
      <c r="F290" s="325" t="str">
        <f t="shared" si="10"/>
        <v>R-11</v>
      </c>
      <c r="G290" s="325" t="str">
        <f t="shared" si="10"/>
        <v>R-30</v>
      </c>
      <c r="H290" s="325" t="str">
        <f t="shared" si="10"/>
        <v>Heating Zone 1</v>
      </c>
      <c r="I290" s="325" t="str">
        <f t="shared" si="10"/>
        <v>Multi Family Weatherization - Insulate Floors - R-11 to R-30 - Heating Zone 1</v>
      </c>
      <c r="J290" s="325" t="s">
        <v>924</v>
      </c>
      <c r="K290" s="256">
        <f>Results!L16</f>
        <v>1.6020059360994654</v>
      </c>
      <c r="L290" s="219">
        <v>0</v>
      </c>
    </row>
    <row r="291" spans="1:12" ht="15">
      <c r="A291" s="27" t="s">
        <v>926</v>
      </c>
      <c r="B291" s="325" t="str">
        <f t="shared" si="10"/>
        <v>Floor18</v>
      </c>
      <c r="C291" s="325" t="str">
        <f t="shared" si="10"/>
        <v>Floors18</v>
      </c>
      <c r="D291" s="325" t="str">
        <f t="shared" si="10"/>
        <v>Floors</v>
      </c>
      <c r="E291" s="325">
        <f t="shared" si="10"/>
        <v>18</v>
      </c>
      <c r="F291" s="325" t="str">
        <f t="shared" si="10"/>
        <v>R-0</v>
      </c>
      <c r="G291" s="325" t="str">
        <f t="shared" si="10"/>
        <v>R-19</v>
      </c>
      <c r="H291" s="325" t="str">
        <f t="shared" si="10"/>
        <v>Heating Zone 1</v>
      </c>
      <c r="I291" s="325" t="str">
        <f t="shared" si="10"/>
        <v>Multi Family Weatherization - Insulate Floors - R-0 to R-19 - Heating Zone 1</v>
      </c>
      <c r="J291" s="325" t="s">
        <v>924</v>
      </c>
      <c r="K291" s="256">
        <f>Results!L17</f>
        <v>0.54992417293141704</v>
      </c>
      <c r="L291" s="219">
        <v>0</v>
      </c>
    </row>
    <row r="292" spans="1:12" ht="15">
      <c r="A292" s="27" t="s">
        <v>934</v>
      </c>
      <c r="B292" s="325" t="str">
        <f t="shared" si="10"/>
        <v>Ceili10</v>
      </c>
      <c r="C292" s="325" t="str">
        <f t="shared" si="10"/>
        <v>Ceiling10</v>
      </c>
      <c r="D292" s="325" t="str">
        <f t="shared" si="10"/>
        <v>Ceiling</v>
      </c>
      <c r="E292" s="325">
        <f t="shared" si="10"/>
        <v>10</v>
      </c>
      <c r="F292" s="325" t="str">
        <f t="shared" si="10"/>
        <v>R-0</v>
      </c>
      <c r="G292" s="325" t="str">
        <f t="shared" si="10"/>
        <v>R-19</v>
      </c>
      <c r="H292" s="325" t="str">
        <f t="shared" si="10"/>
        <v>Heating Zone 1</v>
      </c>
      <c r="I292" s="325" t="str">
        <f t="shared" si="10"/>
        <v>Multi Family Weatherization - Insulate Attic - R-0 to R-19 - Heating Zone 1</v>
      </c>
      <c r="J292" s="325" t="s">
        <v>924</v>
      </c>
      <c r="K292" s="283">
        <f>Results!L18</f>
        <v>0.46621429878568194</v>
      </c>
      <c r="L292" s="219">
        <v>0</v>
      </c>
    </row>
    <row r="293" spans="1:12" ht="15">
      <c r="A293" s="27" t="s">
        <v>935</v>
      </c>
      <c r="B293" s="325" t="str">
        <f t="shared" si="10"/>
        <v>Ceili11</v>
      </c>
      <c r="C293" s="325" t="str">
        <f t="shared" si="10"/>
        <v>Ceiling11</v>
      </c>
      <c r="D293" s="325" t="str">
        <f t="shared" si="10"/>
        <v>Ceiling</v>
      </c>
      <c r="E293" s="325">
        <f t="shared" si="10"/>
        <v>11</v>
      </c>
      <c r="F293" s="325" t="str">
        <f t="shared" si="10"/>
        <v>R-0</v>
      </c>
      <c r="G293" s="325" t="str">
        <f t="shared" si="10"/>
        <v>R-38</v>
      </c>
      <c r="H293" s="325" t="str">
        <f t="shared" si="10"/>
        <v>Heating Zone 1</v>
      </c>
      <c r="I293" s="325" t="str">
        <f t="shared" si="10"/>
        <v>Multi Family Weatherization - Insulate Attic - R-0 to R-38 - Heating Zone 1</v>
      </c>
      <c r="J293" s="325" t="s">
        <v>924</v>
      </c>
      <c r="K293" s="247">
        <f>Results!L19</f>
        <v>0.63424727150579585</v>
      </c>
      <c r="L293" s="219">
        <v>0</v>
      </c>
    </row>
    <row r="294" spans="1:12" ht="15">
      <c r="A294" s="27" t="s">
        <v>936</v>
      </c>
      <c r="B294" s="325" t="str">
        <f t="shared" si="10"/>
        <v>Ceili12</v>
      </c>
      <c r="C294" s="325" t="str">
        <f t="shared" si="10"/>
        <v>Ceiling12</v>
      </c>
      <c r="D294" s="325" t="str">
        <f t="shared" si="10"/>
        <v>Ceiling</v>
      </c>
      <c r="E294" s="325">
        <f t="shared" si="10"/>
        <v>12</v>
      </c>
      <c r="F294" s="325" t="str">
        <f t="shared" si="10"/>
        <v>R-0</v>
      </c>
      <c r="G294" s="325" t="str">
        <f t="shared" si="10"/>
        <v>R-49</v>
      </c>
      <c r="H294" s="325" t="str">
        <f t="shared" si="10"/>
        <v>Heating Zone 1</v>
      </c>
      <c r="I294" s="325" t="str">
        <f t="shared" si="10"/>
        <v>Multi Family Weatherization - Insulate Attic - R-0 to R-49 - Heating Zone 1</v>
      </c>
      <c r="J294" s="325" t="s">
        <v>924</v>
      </c>
      <c r="K294" s="247">
        <f>Results!L20</f>
        <v>0.67311479770670479</v>
      </c>
      <c r="L294" s="219">
        <v>0</v>
      </c>
    </row>
    <row r="295" spans="1:12" ht="15">
      <c r="A295" s="27" t="s">
        <v>937</v>
      </c>
      <c r="B295" s="325" t="str">
        <f t="shared" si="10"/>
        <v>Ceili13</v>
      </c>
      <c r="C295" s="325" t="str">
        <f t="shared" si="10"/>
        <v>Ceiling13</v>
      </c>
      <c r="D295" s="325" t="str">
        <f t="shared" si="10"/>
        <v>Ceiling</v>
      </c>
      <c r="E295" s="325">
        <f t="shared" si="10"/>
        <v>13</v>
      </c>
      <c r="F295" s="325" t="str">
        <f t="shared" si="10"/>
        <v>R-30</v>
      </c>
      <c r="G295" s="325" t="str">
        <f t="shared" si="10"/>
        <v>R-38</v>
      </c>
      <c r="H295" s="325" t="str">
        <f t="shared" si="10"/>
        <v>Heating Zone 1</v>
      </c>
      <c r="I295" s="325" t="str">
        <f t="shared" si="10"/>
        <v>Multi Family Weatherization - Insulate Attic - R-30 to R-38 - Heating Zone 1</v>
      </c>
      <c r="J295" s="325" t="s">
        <v>924</v>
      </c>
      <c r="K295" s="247">
        <f>Results!L21</f>
        <v>4.6205455862954554E-2</v>
      </c>
      <c r="L295" s="219">
        <v>0</v>
      </c>
    </row>
    <row r="296" spans="1:12" ht="15">
      <c r="A296" s="27" t="s">
        <v>938</v>
      </c>
      <c r="B296" s="325" t="str">
        <f t="shared" si="10"/>
        <v>Ceili14</v>
      </c>
      <c r="C296" s="325" t="str">
        <f t="shared" si="10"/>
        <v>Ceiling14</v>
      </c>
      <c r="D296" s="325" t="str">
        <f t="shared" si="10"/>
        <v>Ceiling</v>
      </c>
      <c r="E296" s="325">
        <f t="shared" si="10"/>
        <v>14</v>
      </c>
      <c r="F296" s="325" t="str">
        <f t="shared" si="10"/>
        <v>R-30</v>
      </c>
      <c r="G296" s="325" t="str">
        <f t="shared" si="10"/>
        <v>R-49</v>
      </c>
      <c r="H296" s="325" t="str">
        <f t="shared" si="10"/>
        <v>Heating Zone 1</v>
      </c>
      <c r="I296" s="325" t="str">
        <f t="shared" si="10"/>
        <v>Multi Family Weatherization - Insulate Attic - R-30 to R-49 - Heating Zone 1</v>
      </c>
      <c r="J296" s="325" t="s">
        <v>924</v>
      </c>
      <c r="K296" s="247">
        <f>Results!L22</f>
        <v>8.5072982063863586E-2</v>
      </c>
      <c r="L296" s="219">
        <v>0</v>
      </c>
    </row>
    <row r="297" spans="1:12" ht="15">
      <c r="A297" s="27" t="s">
        <v>939</v>
      </c>
      <c r="B297" s="325" t="str">
        <f t="shared" si="10"/>
        <v>Ceili15</v>
      </c>
      <c r="C297" s="325" t="str">
        <f t="shared" si="10"/>
        <v>Ceiling15</v>
      </c>
      <c r="D297" s="325" t="str">
        <f t="shared" si="10"/>
        <v>Ceiling</v>
      </c>
      <c r="E297" s="325">
        <f t="shared" si="10"/>
        <v>15</v>
      </c>
      <c r="F297" s="325" t="str">
        <f t="shared" si="10"/>
        <v>R-19</v>
      </c>
      <c r="G297" s="325" t="str">
        <f t="shared" si="10"/>
        <v>R-30</v>
      </c>
      <c r="H297" s="325" t="str">
        <f t="shared" si="10"/>
        <v>Heating Zone 1</v>
      </c>
      <c r="I297" s="325" t="str">
        <f t="shared" si="10"/>
        <v>Multi Family Weatherization - Insulate Attic - R-19 to R-30 - Heating Zone 1</v>
      </c>
      <c r="J297" s="325" t="s">
        <v>924</v>
      </c>
      <c r="K297" s="256">
        <f>Results!L23</f>
        <v>0.12182751685715926</v>
      </c>
      <c r="L297" s="219">
        <v>0</v>
      </c>
    </row>
    <row r="298" spans="1:12" ht="15">
      <c r="A298" s="27" t="s">
        <v>940</v>
      </c>
      <c r="B298" s="325" t="str">
        <f t="shared" ref="B298:I313" si="11">B160</f>
        <v>Ceili16</v>
      </c>
      <c r="C298" s="325" t="str">
        <f t="shared" si="11"/>
        <v>Ceiling16</v>
      </c>
      <c r="D298" s="325" t="str">
        <f t="shared" si="11"/>
        <v>Ceiling</v>
      </c>
      <c r="E298" s="325">
        <f t="shared" si="11"/>
        <v>16</v>
      </c>
      <c r="F298" s="325" t="str">
        <f t="shared" si="11"/>
        <v>R-19</v>
      </c>
      <c r="G298" s="325" t="str">
        <f t="shared" si="11"/>
        <v>R-38</v>
      </c>
      <c r="H298" s="325" t="str">
        <f t="shared" si="11"/>
        <v>Heating Zone 1</v>
      </c>
      <c r="I298" s="325" t="str">
        <f t="shared" si="11"/>
        <v>Multi Family Weatherization - Insulate Attic - R-19 to R-38 - Heating Zone 1</v>
      </c>
      <c r="J298" s="325" t="s">
        <v>924</v>
      </c>
      <c r="K298" s="247">
        <f>Results!L24</f>
        <v>0.1680329727201138</v>
      </c>
      <c r="L298" s="219">
        <v>0</v>
      </c>
    </row>
    <row r="299" spans="1:12" ht="15">
      <c r="A299" s="27" t="s">
        <v>941</v>
      </c>
      <c r="B299" s="325" t="str">
        <f t="shared" si="11"/>
        <v>Ceili17</v>
      </c>
      <c r="C299" s="325" t="str">
        <f t="shared" si="11"/>
        <v>Ceiling17</v>
      </c>
      <c r="D299" s="325" t="str">
        <f t="shared" si="11"/>
        <v>Ceiling</v>
      </c>
      <c r="E299" s="325">
        <f t="shared" si="11"/>
        <v>17</v>
      </c>
      <c r="F299" s="325" t="str">
        <f t="shared" si="11"/>
        <v>R-19</v>
      </c>
      <c r="G299" s="325" t="str">
        <f t="shared" si="11"/>
        <v>R-49</v>
      </c>
      <c r="H299" s="325" t="str">
        <f t="shared" si="11"/>
        <v>Heating Zone 1</v>
      </c>
      <c r="I299" s="325" t="str">
        <f t="shared" si="11"/>
        <v>Multi Family Weatherization - Insulate Attic - R-19 to R-49 - Heating Zone 1</v>
      </c>
      <c r="J299" s="325" t="s">
        <v>924</v>
      </c>
      <c r="K299" s="247">
        <f>Results!L25</f>
        <v>0.20690049892102283</v>
      </c>
      <c r="L299" s="219">
        <v>0</v>
      </c>
    </row>
    <row r="300" spans="1:12" ht="15">
      <c r="A300" s="27" t="s">
        <v>942</v>
      </c>
      <c r="B300" s="325" t="str">
        <f t="shared" si="11"/>
        <v>Ceili18</v>
      </c>
      <c r="C300" s="325" t="str">
        <f t="shared" si="11"/>
        <v>Ceiling18</v>
      </c>
      <c r="D300" s="325" t="str">
        <f t="shared" si="11"/>
        <v>Ceiling</v>
      </c>
      <c r="E300" s="325">
        <f t="shared" si="11"/>
        <v>18</v>
      </c>
      <c r="F300" s="325" t="str">
        <f t="shared" si="11"/>
        <v>R-38</v>
      </c>
      <c r="G300" s="325" t="str">
        <f t="shared" si="11"/>
        <v>R-49</v>
      </c>
      <c r="H300" s="325" t="str">
        <f t="shared" si="11"/>
        <v>Heating Zone 1</v>
      </c>
      <c r="I300" s="325" t="str">
        <f t="shared" si="11"/>
        <v>Multi Family Weatherization - Insulate Attic - R-38 to R-49 - Heating Zone 1</v>
      </c>
      <c r="J300" s="325" t="s">
        <v>924</v>
      </c>
      <c r="K300" s="288">
        <f>Results!L26</f>
        <v>3.8867526200909039E-2</v>
      </c>
      <c r="L300" s="219">
        <v>0</v>
      </c>
    </row>
    <row r="301" spans="1:12" ht="15">
      <c r="A301" s="27" t="s">
        <v>943</v>
      </c>
      <c r="B301" s="325" t="str">
        <f t="shared" si="11"/>
        <v>Windo10</v>
      </c>
      <c r="C301" s="325" t="str">
        <f t="shared" si="11"/>
        <v>Windows10</v>
      </c>
      <c r="D301" s="325" t="str">
        <f t="shared" si="11"/>
        <v>Windows</v>
      </c>
      <c r="E301" s="325">
        <f t="shared" si="11"/>
        <v>10</v>
      </c>
      <c r="F301" s="325" t="str">
        <f t="shared" si="11"/>
        <v>Class 85</v>
      </c>
      <c r="G301" s="325" t="str">
        <f t="shared" si="11"/>
        <v>Class 35</v>
      </c>
      <c r="H301" s="325" t="str">
        <f t="shared" si="11"/>
        <v>Heating Zone 1</v>
      </c>
      <c r="I301" s="325" t="str">
        <f t="shared" si="11"/>
        <v>Windows - Class 85 to Class 35 - Heating Zone 1</v>
      </c>
      <c r="J301" s="325" t="s">
        <v>924</v>
      </c>
      <c r="K301" s="256">
        <f>Results!L27</f>
        <v>-7.16193690852195</v>
      </c>
      <c r="L301" s="219">
        <v>0</v>
      </c>
    </row>
    <row r="302" spans="1:12" ht="15">
      <c r="A302" s="27" t="s">
        <v>944</v>
      </c>
      <c r="B302" s="325" t="str">
        <f t="shared" si="11"/>
        <v>Windo11</v>
      </c>
      <c r="C302" s="325" t="str">
        <f t="shared" si="11"/>
        <v>Windows11</v>
      </c>
      <c r="D302" s="325" t="str">
        <f t="shared" si="11"/>
        <v>Windows</v>
      </c>
      <c r="E302" s="325">
        <f t="shared" si="11"/>
        <v>11</v>
      </c>
      <c r="F302" s="325" t="str">
        <f t="shared" si="11"/>
        <v>Class 85</v>
      </c>
      <c r="G302" s="325" t="str">
        <f t="shared" si="11"/>
        <v>Class 30</v>
      </c>
      <c r="H302" s="325" t="str">
        <f t="shared" si="11"/>
        <v>Heating Zone 1</v>
      </c>
      <c r="I302" s="325" t="str">
        <f t="shared" si="11"/>
        <v>Windows - Class 85 to Class 30 - Heating Zone 1</v>
      </c>
      <c r="J302" s="325" t="s">
        <v>924</v>
      </c>
      <c r="K302" s="256">
        <f>Results!L28</f>
        <v>-5.8862502334801858</v>
      </c>
      <c r="L302" s="219">
        <v>0</v>
      </c>
    </row>
    <row r="303" spans="1:12" ht="15">
      <c r="A303" s="27" t="s">
        <v>945</v>
      </c>
      <c r="B303" s="325" t="str">
        <f t="shared" si="11"/>
        <v>Windo12</v>
      </c>
      <c r="C303" s="325" t="str">
        <f t="shared" si="11"/>
        <v>Windows12</v>
      </c>
      <c r="D303" s="325" t="str">
        <f t="shared" si="11"/>
        <v>Windows</v>
      </c>
      <c r="E303" s="325">
        <f t="shared" si="11"/>
        <v>12</v>
      </c>
      <c r="F303" s="325" t="str">
        <f t="shared" si="11"/>
        <v>Class 85</v>
      </c>
      <c r="G303" s="325" t="str">
        <f t="shared" si="11"/>
        <v>Class 25</v>
      </c>
      <c r="H303" s="325" t="str">
        <f t="shared" si="11"/>
        <v>Heating Zone 1</v>
      </c>
      <c r="I303" s="325" t="str">
        <f t="shared" si="11"/>
        <v>Windows - Class 85 to Class 25 - Heating Zone 1</v>
      </c>
      <c r="J303" s="325" t="s">
        <v>924</v>
      </c>
      <c r="K303" s="256">
        <f>Results!L29</f>
        <v>0</v>
      </c>
      <c r="L303" s="219">
        <v>0</v>
      </c>
    </row>
    <row r="304" spans="1:12" ht="15">
      <c r="A304" s="27" t="s">
        <v>946</v>
      </c>
      <c r="B304" s="325" t="str">
        <f t="shared" si="11"/>
        <v>Windo13</v>
      </c>
      <c r="C304" s="325" t="str">
        <f t="shared" si="11"/>
        <v>Windows13</v>
      </c>
      <c r="D304" s="325" t="str">
        <f t="shared" si="11"/>
        <v>Windows</v>
      </c>
      <c r="E304" s="325">
        <f t="shared" si="11"/>
        <v>13</v>
      </c>
      <c r="F304" s="325" t="str">
        <f t="shared" si="11"/>
        <v>Class 85</v>
      </c>
      <c r="G304" s="325" t="str">
        <f t="shared" si="11"/>
        <v>Class 20</v>
      </c>
      <c r="H304" s="325" t="str">
        <f t="shared" si="11"/>
        <v>Heating Zone 1</v>
      </c>
      <c r="I304" s="325" t="str">
        <f t="shared" si="11"/>
        <v>Windows - Class 85 to Class 20 - Heating Zone 1</v>
      </c>
      <c r="J304" s="325" t="s">
        <v>924</v>
      </c>
      <c r="K304" s="256">
        <f>Results!L30</f>
        <v>-3.5253858548301276</v>
      </c>
      <c r="L304" s="219">
        <v>0</v>
      </c>
    </row>
    <row r="305" spans="1:12" ht="15">
      <c r="A305" s="27" t="s">
        <v>947</v>
      </c>
      <c r="B305" s="325" t="str">
        <f t="shared" si="11"/>
        <v>Windo14</v>
      </c>
      <c r="C305" s="325" t="str">
        <f t="shared" si="11"/>
        <v>Windows14</v>
      </c>
      <c r="D305" s="325" t="str">
        <f t="shared" si="11"/>
        <v>Windows</v>
      </c>
      <c r="E305" s="325">
        <f t="shared" si="11"/>
        <v>14</v>
      </c>
      <c r="F305" s="325" t="str">
        <f t="shared" si="11"/>
        <v>Class 85</v>
      </c>
      <c r="G305" s="325" t="str">
        <f t="shared" si="11"/>
        <v>Class 15</v>
      </c>
      <c r="H305" s="325" t="str">
        <f t="shared" si="11"/>
        <v>Heating Zone 1</v>
      </c>
      <c r="I305" s="325" t="str">
        <f t="shared" si="11"/>
        <v>Windows - Class 85 to Class 15 - Heating Zone 1</v>
      </c>
      <c r="J305" s="325" t="s">
        <v>924</v>
      </c>
      <c r="K305" s="256">
        <f>Results!L31</f>
        <v>-2.127760459081391</v>
      </c>
      <c r="L305" s="219">
        <v>0</v>
      </c>
    </row>
    <row r="306" spans="1:12" ht="15">
      <c r="A306" s="27" t="s">
        <v>948</v>
      </c>
      <c r="B306" s="325" t="str">
        <f t="shared" si="11"/>
        <v>Windo15</v>
      </c>
      <c r="C306" s="325" t="str">
        <f t="shared" si="11"/>
        <v>Windows15</v>
      </c>
      <c r="D306" s="325" t="str">
        <f t="shared" si="11"/>
        <v>Windows</v>
      </c>
      <c r="E306" s="325">
        <f t="shared" si="11"/>
        <v>15</v>
      </c>
      <c r="F306" s="325" t="str">
        <f t="shared" si="11"/>
        <v>Class 50</v>
      </c>
      <c r="G306" s="325" t="str">
        <f t="shared" si="11"/>
        <v>Class 35</v>
      </c>
      <c r="H306" s="325" t="str">
        <f t="shared" si="11"/>
        <v>Heating Zone 1</v>
      </c>
      <c r="I306" s="325" t="str">
        <f t="shared" si="11"/>
        <v>Windows - Class 50 to Class 35 - Heating Zone 1</v>
      </c>
      <c r="J306" s="325" t="s">
        <v>924</v>
      </c>
      <c r="K306" s="256">
        <f>Results!L32</f>
        <v>1.2220005068442104</v>
      </c>
      <c r="L306" s="219">
        <v>0</v>
      </c>
    </row>
    <row r="307" spans="1:12" ht="15">
      <c r="A307" s="27" t="s">
        <v>949</v>
      </c>
      <c r="B307" s="325" t="str">
        <f t="shared" si="11"/>
        <v>Windo16</v>
      </c>
      <c r="C307" s="325" t="str">
        <f t="shared" si="11"/>
        <v>Windows16</v>
      </c>
      <c r="D307" s="325" t="str">
        <f t="shared" si="11"/>
        <v>Windows</v>
      </c>
      <c r="E307" s="325">
        <f t="shared" si="11"/>
        <v>16</v>
      </c>
      <c r="F307" s="325" t="str">
        <f t="shared" si="11"/>
        <v>Class 50</v>
      </c>
      <c r="G307" s="325" t="str">
        <f t="shared" si="11"/>
        <v>Class 30</v>
      </c>
      <c r="H307" s="325" t="str">
        <f t="shared" si="11"/>
        <v>Heating Zone 1</v>
      </c>
      <c r="I307" s="325" t="str">
        <f t="shared" si="11"/>
        <v>Windows - Class 50 to Class 30 - Heating Zone 1</v>
      </c>
      <c r="J307" s="325" t="s">
        <v>924</v>
      </c>
      <c r="K307" s="256">
        <f>Results!L33</f>
        <v>2.4976871818859747</v>
      </c>
      <c r="L307" s="219">
        <v>0</v>
      </c>
    </row>
    <row r="308" spans="1:12" ht="15">
      <c r="A308" s="27" t="s">
        <v>950</v>
      </c>
      <c r="B308" s="325" t="str">
        <f t="shared" si="11"/>
        <v>Windo17</v>
      </c>
      <c r="C308" s="325" t="str">
        <f t="shared" si="11"/>
        <v>Windows17</v>
      </c>
      <c r="D308" s="325" t="str">
        <f t="shared" si="11"/>
        <v>Windows</v>
      </c>
      <c r="E308" s="325">
        <f t="shared" si="11"/>
        <v>17</v>
      </c>
      <c r="F308" s="325" t="str">
        <f t="shared" si="11"/>
        <v>Class 50</v>
      </c>
      <c r="G308" s="325" t="str">
        <f t="shared" si="11"/>
        <v>Class 25</v>
      </c>
      <c r="H308" s="325" t="str">
        <f t="shared" si="11"/>
        <v>Heating Zone 1</v>
      </c>
      <c r="I308" s="325" t="str">
        <f t="shared" si="11"/>
        <v>Windows - Class 50 to Class 25 - Heating Zone 1</v>
      </c>
      <c r="J308" s="325" t="s">
        <v>924</v>
      </c>
      <c r="K308" s="256">
        <f>Results!L34</f>
        <v>8.3839374153661606</v>
      </c>
      <c r="L308" s="219">
        <v>0</v>
      </c>
    </row>
    <row r="309" spans="1:12" ht="15">
      <c r="A309" s="27" t="s">
        <v>951</v>
      </c>
      <c r="B309" s="325" t="str">
        <f t="shared" si="11"/>
        <v>Windo18</v>
      </c>
      <c r="C309" s="325" t="str">
        <f t="shared" si="11"/>
        <v>Windows18</v>
      </c>
      <c r="D309" s="325" t="str">
        <f t="shared" si="11"/>
        <v>Windows</v>
      </c>
      <c r="E309" s="325">
        <f t="shared" si="11"/>
        <v>18</v>
      </c>
      <c r="F309" s="325" t="str">
        <f t="shared" si="11"/>
        <v>Class 50</v>
      </c>
      <c r="G309" s="325" t="str">
        <f t="shared" si="11"/>
        <v>Class 20</v>
      </c>
      <c r="H309" s="325" t="str">
        <f t="shared" si="11"/>
        <v>Heating Zone 1</v>
      </c>
      <c r="I309" s="325" t="str">
        <f t="shared" si="11"/>
        <v>Windows - Class 50 to Class 20 - Heating Zone 1</v>
      </c>
      <c r="J309" s="325" t="s">
        <v>924</v>
      </c>
      <c r="K309" s="256">
        <f>Results!L35</f>
        <v>4.858551560536033</v>
      </c>
      <c r="L309" s="219">
        <v>0</v>
      </c>
    </row>
    <row r="310" spans="1:12" ht="15">
      <c r="A310" s="27" t="s">
        <v>952</v>
      </c>
      <c r="B310" s="325" t="str">
        <f t="shared" si="11"/>
        <v>Windo19</v>
      </c>
      <c r="C310" s="325" t="str">
        <f t="shared" si="11"/>
        <v>Windows19</v>
      </c>
      <c r="D310" s="325" t="str">
        <f t="shared" si="11"/>
        <v>Windows</v>
      </c>
      <c r="E310" s="325">
        <f t="shared" si="11"/>
        <v>19</v>
      </c>
      <c r="F310" s="325" t="str">
        <f t="shared" si="11"/>
        <v>Class 35</v>
      </c>
      <c r="G310" s="325" t="str">
        <f t="shared" si="11"/>
        <v>Class 22</v>
      </c>
      <c r="H310" s="325" t="str">
        <f t="shared" si="11"/>
        <v>Heating Zone 1</v>
      </c>
      <c r="I310" s="325" t="str">
        <f t="shared" si="11"/>
        <v>Windows - Class 35 to Class 22 - Heating Zone 1</v>
      </c>
      <c r="J310" s="325" t="s">
        <v>924</v>
      </c>
      <c r="K310" s="256">
        <f>Results!L36</f>
        <v>3.1273374948945216</v>
      </c>
      <c r="L310" s="219">
        <v>0</v>
      </c>
    </row>
    <row r="311" spans="1:12" ht="15">
      <c r="A311" s="27" t="s">
        <v>953</v>
      </c>
      <c r="B311" s="325" t="str">
        <f t="shared" si="11"/>
        <v>Windo20</v>
      </c>
      <c r="C311" s="325" t="str">
        <f t="shared" si="11"/>
        <v>Windows20</v>
      </c>
      <c r="D311" s="325" t="str">
        <f t="shared" si="11"/>
        <v>Windows</v>
      </c>
      <c r="E311" s="325">
        <f t="shared" si="11"/>
        <v>20</v>
      </c>
      <c r="F311" s="325" t="str">
        <f t="shared" si="11"/>
        <v>Single Pane</v>
      </c>
      <c r="G311" s="325" t="str">
        <f t="shared" si="11"/>
        <v>Class 22</v>
      </c>
      <c r="H311" s="325" t="str">
        <f t="shared" si="11"/>
        <v>Heating Zone 1</v>
      </c>
      <c r="I311" s="325" t="str">
        <f t="shared" si="11"/>
        <v>Windows - Single Pane to Class 22 - Heating Zone 1</v>
      </c>
      <c r="J311" s="325" t="s">
        <v>924</v>
      </c>
      <c r="K311" s="256">
        <f>Results!L37</f>
        <v>23.366702249546424</v>
      </c>
      <c r="L311" s="219">
        <v>0</v>
      </c>
    </row>
    <row r="312" spans="1:12" ht="15">
      <c r="A312" s="27" t="s">
        <v>954</v>
      </c>
      <c r="B312" s="325" t="str">
        <f t="shared" si="11"/>
        <v>Windo21</v>
      </c>
      <c r="C312" s="325" t="str">
        <f t="shared" si="11"/>
        <v>Windows21</v>
      </c>
      <c r="D312" s="325" t="str">
        <f t="shared" si="11"/>
        <v>Windows</v>
      </c>
      <c r="E312" s="325">
        <f t="shared" si="11"/>
        <v>21</v>
      </c>
      <c r="F312" s="325" t="str">
        <f t="shared" si="11"/>
        <v>Double Pane</v>
      </c>
      <c r="G312" s="325" t="str">
        <f t="shared" si="11"/>
        <v>Class 22</v>
      </c>
      <c r="H312" s="325" t="str">
        <f t="shared" si="11"/>
        <v>Heating Zone 1</v>
      </c>
      <c r="I312" s="325" t="str">
        <f t="shared" si="11"/>
        <v>Windows - Double Pane to Class 22 - Heating Zone 1</v>
      </c>
      <c r="J312" s="325" t="s">
        <v>924</v>
      </c>
      <c r="K312" s="256">
        <f>Results!L38</f>
        <v>13.672746268447941</v>
      </c>
      <c r="L312" s="219">
        <v>0</v>
      </c>
    </row>
    <row r="313" spans="1:12" ht="15">
      <c r="A313" s="27" t="s">
        <v>955</v>
      </c>
      <c r="B313" s="325" t="str">
        <f t="shared" si="11"/>
        <v>Windo22</v>
      </c>
      <c r="C313" s="325" t="str">
        <f t="shared" si="11"/>
        <v>Windows22</v>
      </c>
      <c r="D313" s="325" t="str">
        <f t="shared" si="11"/>
        <v>Windows</v>
      </c>
      <c r="E313" s="325">
        <f t="shared" si="11"/>
        <v>22</v>
      </c>
      <c r="F313" s="325" t="str">
        <f t="shared" si="11"/>
        <v>Single Pane</v>
      </c>
      <c r="G313" s="325" t="str">
        <f t="shared" si="11"/>
        <v>Class 30</v>
      </c>
      <c r="H313" s="325" t="str">
        <f t="shared" si="11"/>
        <v>Heating Zone 1</v>
      </c>
      <c r="I313" s="325" t="str">
        <f t="shared" si="11"/>
        <v>Windows - Single Pane to Class 30 - Heating Zone 1</v>
      </c>
      <c r="J313" s="325" t="s">
        <v>924</v>
      </c>
      <c r="K313" s="247">
        <f>Results!L39</f>
        <v>21.515051429693667</v>
      </c>
      <c r="L313" s="219">
        <v>0</v>
      </c>
    </row>
    <row r="314" spans="1:12" ht="15">
      <c r="A314" s="27" t="s">
        <v>956</v>
      </c>
      <c r="B314" s="325" t="str">
        <f t="shared" ref="B314:I329" si="12">B176</f>
        <v>Windo23</v>
      </c>
      <c r="C314" s="325" t="str">
        <f t="shared" si="12"/>
        <v>Windows23</v>
      </c>
      <c r="D314" s="325" t="str">
        <f t="shared" si="12"/>
        <v>Windows</v>
      </c>
      <c r="E314" s="325">
        <f t="shared" si="12"/>
        <v>23</v>
      </c>
      <c r="F314" s="325" t="str">
        <f t="shared" si="12"/>
        <v>Double Pane</v>
      </c>
      <c r="G314" s="325" t="str">
        <f t="shared" si="12"/>
        <v>Class 30</v>
      </c>
      <c r="H314" s="325" t="str">
        <f t="shared" si="12"/>
        <v>Heating Zone 1</v>
      </c>
      <c r="I314" s="325" t="str">
        <f t="shared" si="12"/>
        <v>Windows - Double Pane to Class 30 - Heating Zone 1</v>
      </c>
      <c r="J314" s="325" t="s">
        <v>924</v>
      </c>
      <c r="K314" s="247">
        <f>Results!L40</f>
        <v>11.821095448595184</v>
      </c>
      <c r="L314" s="219">
        <v>0</v>
      </c>
    </row>
    <row r="315" spans="1:12" ht="15">
      <c r="A315" s="27" t="s">
        <v>957</v>
      </c>
      <c r="B315" s="325" t="str">
        <f t="shared" si="12"/>
        <v>Windo24</v>
      </c>
      <c r="C315" s="325" t="str">
        <f t="shared" si="12"/>
        <v>Windows24</v>
      </c>
      <c r="D315" s="325" t="str">
        <f t="shared" si="12"/>
        <v>Windows</v>
      </c>
      <c r="E315" s="325">
        <f t="shared" si="12"/>
        <v>24</v>
      </c>
      <c r="F315" s="325" t="str">
        <f t="shared" si="12"/>
        <v>Class 35</v>
      </c>
      <c r="G315" s="325" t="str">
        <f t="shared" si="12"/>
        <v>Class 30</v>
      </c>
      <c r="H315" s="325" t="str">
        <f t="shared" si="12"/>
        <v>Heating Zone 1</v>
      </c>
      <c r="I315" s="325" t="str">
        <f t="shared" si="12"/>
        <v>Windows - Class 35 to Class 30 - Heating Zone 1</v>
      </c>
      <c r="J315" s="325" t="s">
        <v>924</v>
      </c>
      <c r="K315" s="247">
        <f>Results!L41</f>
        <v>1.2756866750417644</v>
      </c>
      <c r="L315" s="219">
        <v>0</v>
      </c>
    </row>
    <row r="316" spans="1:12" ht="15">
      <c r="A316" s="27" t="s">
        <v>958</v>
      </c>
      <c r="B316" s="325" t="str">
        <f t="shared" si="12"/>
        <v>Infil10</v>
      </c>
      <c r="C316" s="325" t="str">
        <f t="shared" si="12"/>
        <v>Infiltration10</v>
      </c>
      <c r="D316" s="325" t="str">
        <f t="shared" si="12"/>
        <v>Infiltration</v>
      </c>
      <c r="E316" s="325">
        <f t="shared" si="12"/>
        <v>10</v>
      </c>
      <c r="F316" s="325" t="str">
        <f t="shared" si="12"/>
        <v>0.45 ACHn</v>
      </c>
      <c r="G316" s="325" t="str">
        <f t="shared" si="12"/>
        <v>0.35 ACHn</v>
      </c>
      <c r="H316" s="325" t="str">
        <f t="shared" si="12"/>
        <v>Heating Zone 1</v>
      </c>
      <c r="I316" s="325" t="str">
        <f t="shared" si="12"/>
        <v>Infiltration Reduction - 0.45 ACHn to 0.35 ACHn - Heating Zone 1</v>
      </c>
      <c r="J316" s="325" t="s">
        <v>924</v>
      </c>
      <c r="K316" s="283">
        <f>Results!L42</f>
        <v>0</v>
      </c>
      <c r="L316" s="219">
        <v>0</v>
      </c>
    </row>
    <row r="317" spans="1:12" ht="15">
      <c r="A317" s="27" t="s">
        <v>959</v>
      </c>
      <c r="B317" s="325" t="str">
        <f t="shared" si="12"/>
        <v>Infil11</v>
      </c>
      <c r="C317" s="325" t="str">
        <f t="shared" si="12"/>
        <v>Infiltration11</v>
      </c>
      <c r="D317" s="325" t="str">
        <f t="shared" si="12"/>
        <v>Infiltration</v>
      </c>
      <c r="E317" s="325">
        <f t="shared" si="12"/>
        <v>11</v>
      </c>
      <c r="F317" s="325" t="str">
        <f t="shared" si="12"/>
        <v>0.45 ACHn</v>
      </c>
      <c r="G317" s="325" t="str">
        <f t="shared" si="12"/>
        <v>0.20 ACHn</v>
      </c>
      <c r="H317" s="325" t="str">
        <f t="shared" si="12"/>
        <v>Heating Zone 1</v>
      </c>
      <c r="I317" s="325" t="str">
        <f t="shared" si="12"/>
        <v>Infiltration Reduction - 0.45 ACHn to 0.20 ACHn - Heating Zone 1</v>
      </c>
      <c r="J317" s="325" t="s">
        <v>924</v>
      </c>
      <c r="K317" s="256">
        <f>Results!L43</f>
        <v>0</v>
      </c>
      <c r="L317" s="219">
        <v>0</v>
      </c>
    </row>
    <row r="318" spans="1:12" ht="15">
      <c r="A318" s="27" t="s">
        <v>960</v>
      </c>
      <c r="B318" s="325" t="str">
        <f t="shared" si="12"/>
        <v>Infil12</v>
      </c>
      <c r="C318" s="325" t="str">
        <f t="shared" si="12"/>
        <v>Infiltration12</v>
      </c>
      <c r="D318" s="325" t="str">
        <f t="shared" si="12"/>
        <v>Infiltration</v>
      </c>
      <c r="E318" s="325">
        <f t="shared" si="12"/>
        <v>12</v>
      </c>
      <c r="F318" s="325" t="str">
        <f t="shared" si="12"/>
        <v>0.35 ACHn</v>
      </c>
      <c r="G318" s="325" t="str">
        <f t="shared" si="12"/>
        <v>0.20 ACHn</v>
      </c>
      <c r="H318" s="325" t="str">
        <f t="shared" si="12"/>
        <v>Heating Zone 1</v>
      </c>
      <c r="I318" s="325" t="str">
        <f t="shared" si="12"/>
        <v>Infiltration Reduction - 0.35 ACHn to 0.20 ACHn - Heating Zone 1</v>
      </c>
      <c r="J318" s="325" t="s">
        <v>924</v>
      </c>
      <c r="K318" s="293">
        <f>Results!L44</f>
        <v>0</v>
      </c>
      <c r="L318" s="219">
        <v>0</v>
      </c>
    </row>
    <row r="319" spans="1:12" ht="15">
      <c r="A319" s="27" t="s">
        <v>961</v>
      </c>
      <c r="B319" s="325" t="str">
        <f t="shared" si="12"/>
        <v>DuctT10</v>
      </c>
      <c r="C319" s="325" t="str">
        <f t="shared" si="12"/>
        <v>DuctTightness10</v>
      </c>
      <c r="D319" s="325" t="str">
        <f t="shared" si="12"/>
        <v>DuctTightness</v>
      </c>
      <c r="E319" s="325">
        <f t="shared" si="12"/>
        <v>10</v>
      </c>
      <c r="F319" s="325" t="str">
        <f t="shared" si="12"/>
        <v>Std-crawl</v>
      </c>
      <c r="G319" s="325" t="str">
        <f t="shared" si="12"/>
        <v>PTCS-crawl</v>
      </c>
      <c r="H319" s="325" t="str">
        <f t="shared" si="12"/>
        <v>Heating Zone 1</v>
      </c>
      <c r="I319" s="325" t="str">
        <f t="shared" si="12"/>
        <v>DuctTightness - Std-crawl to PTCS-crawl - Heating Zone 1</v>
      </c>
      <c r="J319" s="325" t="s">
        <v>924</v>
      </c>
      <c r="K319" s="295">
        <f>Results!L45</f>
        <v>184.69439358000014</v>
      </c>
      <c r="L319" s="219">
        <v>0</v>
      </c>
    </row>
    <row r="320" spans="1:12" ht="15">
      <c r="A320" s="27" t="s">
        <v>962</v>
      </c>
      <c r="B320" s="325" t="str">
        <f t="shared" si="12"/>
        <v>DuctI10</v>
      </c>
      <c r="C320" s="325" t="str">
        <f t="shared" si="12"/>
        <v>DuctInsulation10</v>
      </c>
      <c r="D320" s="325" t="str">
        <f t="shared" si="12"/>
        <v>DuctInsulation</v>
      </c>
      <c r="E320" s="325">
        <f t="shared" si="12"/>
        <v>10</v>
      </c>
      <c r="F320" s="325" t="str">
        <f t="shared" si="12"/>
        <v>R-0</v>
      </c>
      <c r="G320" s="325" t="str">
        <f t="shared" si="12"/>
        <v>R-4.2</v>
      </c>
      <c r="H320" s="325" t="str">
        <f t="shared" si="12"/>
        <v>Heating Zone 1</v>
      </c>
      <c r="I320" s="325" t="str">
        <f t="shared" si="12"/>
        <v>DuctInsulation - R-0 to R-4.2 - Heating Zone 1</v>
      </c>
      <c r="J320" s="325" t="s">
        <v>924</v>
      </c>
      <c r="K320" s="299">
        <f>Results!L46</f>
        <v>68.242642545000038</v>
      </c>
      <c r="L320" s="219">
        <v>0</v>
      </c>
    </row>
    <row r="321" spans="1:12" ht="15">
      <c r="A321" s="27" t="s">
        <v>963</v>
      </c>
      <c r="B321" s="325" t="str">
        <f t="shared" si="12"/>
        <v>DuctI11</v>
      </c>
      <c r="C321" s="325" t="str">
        <f t="shared" si="12"/>
        <v>DuctInsulation11</v>
      </c>
      <c r="D321" s="325" t="str">
        <f t="shared" si="12"/>
        <v>DuctInsulation</v>
      </c>
      <c r="E321" s="325">
        <f t="shared" si="12"/>
        <v>11</v>
      </c>
      <c r="F321" s="325" t="str">
        <f t="shared" si="12"/>
        <v>R-0</v>
      </c>
      <c r="G321" s="325" t="str">
        <f t="shared" si="12"/>
        <v>R-11</v>
      </c>
      <c r="H321" s="325" t="str">
        <f t="shared" si="12"/>
        <v>Heating Zone 1</v>
      </c>
      <c r="I321" s="325" t="str">
        <f t="shared" si="12"/>
        <v>DuctInsulation - R-0 to R-11 - Heating Zone 1</v>
      </c>
      <c r="J321" s="325" t="s">
        <v>924</v>
      </c>
      <c r="K321" s="301">
        <f>Results!L47</f>
        <v>93.650358559997841</v>
      </c>
      <c r="L321" s="219">
        <v>0</v>
      </c>
    </row>
    <row r="322" spans="1:12" ht="15">
      <c r="A322" s="27" t="s">
        <v>964</v>
      </c>
      <c r="B322" s="325" t="str">
        <f t="shared" si="12"/>
        <v>DuctI12</v>
      </c>
      <c r="C322" s="325" t="str">
        <f t="shared" si="12"/>
        <v>DuctInsulation12</v>
      </c>
      <c r="D322" s="325" t="str">
        <f t="shared" si="12"/>
        <v>DuctInsulation</v>
      </c>
      <c r="E322" s="325">
        <f t="shared" si="12"/>
        <v>12</v>
      </c>
      <c r="F322" s="325" t="str">
        <f t="shared" si="12"/>
        <v>R-4.2</v>
      </c>
      <c r="G322" s="325" t="str">
        <f t="shared" si="12"/>
        <v>R-11</v>
      </c>
      <c r="H322" s="325" t="str">
        <f t="shared" si="12"/>
        <v>Heating Zone 1</v>
      </c>
      <c r="I322" s="325" t="str">
        <f t="shared" si="12"/>
        <v>DuctInsulation - R-4.2 to R-11 - Heating Zone 1</v>
      </c>
      <c r="J322" s="325" t="s">
        <v>924</v>
      </c>
      <c r="K322" s="303">
        <f>Results!L48</f>
        <v>25.407716014997813</v>
      </c>
      <c r="L322" s="219">
        <v>0</v>
      </c>
    </row>
    <row r="323" spans="1:12" ht="15">
      <c r="A323" s="27" t="s">
        <v>965</v>
      </c>
      <c r="B323" s="325" t="str">
        <f t="shared" si="12"/>
        <v>HeatP10</v>
      </c>
      <c r="C323" s="325" t="str">
        <f t="shared" si="12"/>
        <v>HeatPump10</v>
      </c>
      <c r="D323" s="325" t="str">
        <f t="shared" si="12"/>
        <v>HeatPump</v>
      </c>
      <c r="E323" s="325">
        <f t="shared" si="12"/>
        <v>10</v>
      </c>
      <c r="F323" s="325" t="str">
        <f t="shared" si="12"/>
        <v>7.7/13</v>
      </c>
      <c r="G323" s="325" t="str">
        <f t="shared" si="12"/>
        <v>8.5/13</v>
      </c>
      <c r="H323" s="325" t="str">
        <f t="shared" si="12"/>
        <v>Heating Zone 1</v>
      </c>
      <c r="I323" s="325" t="str">
        <f t="shared" si="12"/>
        <v>HeatPump Upgrade - 7.7/13 to 8.5/13 - Heating Zone 1</v>
      </c>
      <c r="J323" s="325" t="s">
        <v>924</v>
      </c>
      <c r="K323" s="301">
        <f>Results!L49</f>
        <v>0</v>
      </c>
      <c r="L323" s="219">
        <v>0</v>
      </c>
    </row>
    <row r="324" spans="1:12" ht="15">
      <c r="A324" s="27" t="s">
        <v>966</v>
      </c>
      <c r="B324" s="325" t="str">
        <f t="shared" si="12"/>
        <v>HeatP11</v>
      </c>
      <c r="C324" s="325" t="str">
        <f t="shared" si="12"/>
        <v>HeatPump11</v>
      </c>
      <c r="D324" s="325" t="str">
        <f t="shared" si="12"/>
        <v>HeatPump</v>
      </c>
      <c r="E324" s="325">
        <f t="shared" si="12"/>
        <v>11</v>
      </c>
      <c r="F324" s="325" t="str">
        <f t="shared" si="12"/>
        <v>7.7/13</v>
      </c>
      <c r="G324" s="325" t="str">
        <f t="shared" si="12"/>
        <v>9.0/14</v>
      </c>
      <c r="H324" s="325" t="str">
        <f t="shared" si="12"/>
        <v>Heating Zone 1</v>
      </c>
      <c r="I324" s="325" t="str">
        <f t="shared" si="12"/>
        <v>HeatPump Upgrade - 7.7/13 to 9.0/14 - Heating Zone 1</v>
      </c>
      <c r="J324" s="325" t="s">
        <v>924</v>
      </c>
      <c r="K324" s="301">
        <f>Results!L50</f>
        <v>0</v>
      </c>
      <c r="L324" s="219">
        <v>0</v>
      </c>
    </row>
    <row r="325" spans="1:12" ht="15">
      <c r="A325" s="27" t="s">
        <v>967</v>
      </c>
      <c r="B325" s="325" t="str">
        <f t="shared" si="12"/>
        <v>HeatP12</v>
      </c>
      <c r="C325" s="325" t="str">
        <f t="shared" si="12"/>
        <v>HeatPump12</v>
      </c>
      <c r="D325" s="325" t="str">
        <f t="shared" si="12"/>
        <v>HeatPump</v>
      </c>
      <c r="E325" s="325">
        <f t="shared" si="12"/>
        <v>12</v>
      </c>
      <c r="F325" s="325" t="str">
        <f t="shared" si="12"/>
        <v>7.7/13</v>
      </c>
      <c r="G325" s="325" t="str">
        <f t="shared" si="12"/>
        <v>8.2/13</v>
      </c>
      <c r="H325" s="325" t="str">
        <f t="shared" si="12"/>
        <v>Heating Zone 1</v>
      </c>
      <c r="I325" s="325" t="str">
        <f t="shared" si="12"/>
        <v>HeatPump Upgrade - 7.7/13 to 8.2/13 - Heating Zone 1</v>
      </c>
      <c r="J325" s="325" t="s">
        <v>924</v>
      </c>
      <c r="K325" s="303">
        <f>Results!L51</f>
        <v>0</v>
      </c>
      <c r="L325" s="219">
        <v>0</v>
      </c>
    </row>
    <row r="326" spans="1:12" ht="15.75" thickBot="1">
      <c r="A326" s="27" t="s">
        <v>968</v>
      </c>
      <c r="B326" s="325" t="str">
        <f t="shared" si="12"/>
        <v>HPCnt10</v>
      </c>
      <c r="C326" s="325" t="str">
        <f t="shared" si="12"/>
        <v>HPCntrls10</v>
      </c>
      <c r="D326" s="325" t="str">
        <f t="shared" si="12"/>
        <v>HPCntrls</v>
      </c>
      <c r="E326" s="325">
        <f t="shared" si="12"/>
        <v>10</v>
      </c>
      <c r="F326" s="325" t="str">
        <f t="shared" si="12"/>
        <v>Standard</v>
      </c>
      <c r="G326" s="325" t="str">
        <f t="shared" si="12"/>
        <v>PTCS</v>
      </c>
      <c r="H326" s="325" t="str">
        <f t="shared" si="12"/>
        <v>Heating Zone 1</v>
      </c>
      <c r="I326" s="325" t="str">
        <f t="shared" si="12"/>
        <v>HPCntrls Upgrade - Standard to PTCS - Heating Zone 1</v>
      </c>
      <c r="J326" s="325" t="s">
        <v>924</v>
      </c>
      <c r="K326" s="307">
        <f>Results!L52</f>
        <v>0</v>
      </c>
      <c r="L326" s="219">
        <v>0</v>
      </c>
    </row>
    <row r="327" spans="1:12" ht="15">
      <c r="A327" s="27" t="s">
        <v>969</v>
      </c>
      <c r="B327" s="325" t="str">
        <f t="shared" si="12"/>
        <v>Walls10</v>
      </c>
      <c r="C327" s="325" t="str">
        <f t="shared" si="12"/>
        <v>Walls10</v>
      </c>
      <c r="D327" s="325" t="str">
        <f t="shared" si="12"/>
        <v>Walls</v>
      </c>
      <c r="E327" s="325">
        <f t="shared" si="12"/>
        <v>10</v>
      </c>
      <c r="F327" s="325" t="str">
        <f t="shared" si="12"/>
        <v>R-0</v>
      </c>
      <c r="G327" s="325" t="str">
        <f t="shared" si="12"/>
        <v>R-11</v>
      </c>
      <c r="H327" s="325" t="str">
        <f t="shared" si="12"/>
        <v>Heating Zone 2</v>
      </c>
      <c r="I327" s="325" t="str">
        <f t="shared" si="12"/>
        <v>Multi Family Weatherization - Insulate Walls - R-0 to R-11 - Heating Zone 2</v>
      </c>
      <c r="J327" s="325" t="s">
        <v>924</v>
      </c>
      <c r="K327" s="235">
        <f>Results!L53</f>
        <v>1.7844209808021618</v>
      </c>
      <c r="L327" s="219">
        <v>0</v>
      </c>
    </row>
    <row r="328" spans="1:12" ht="15">
      <c r="A328" s="27" t="s">
        <v>970</v>
      </c>
      <c r="B328" s="325" t="str">
        <f t="shared" si="12"/>
        <v>BGWal10</v>
      </c>
      <c r="C328" s="325" t="str">
        <f t="shared" si="12"/>
        <v>BGWalls10</v>
      </c>
      <c r="D328" s="325" t="str">
        <f t="shared" si="12"/>
        <v>BGWalls</v>
      </c>
      <c r="E328" s="325">
        <f t="shared" si="12"/>
        <v>10</v>
      </c>
      <c r="F328" s="325" t="str">
        <f t="shared" si="12"/>
        <v>R-0</v>
      </c>
      <c r="G328" s="325" t="str">
        <f t="shared" si="12"/>
        <v>R-11</v>
      </c>
      <c r="H328" s="325" t="str">
        <f t="shared" si="12"/>
        <v>Heating Zone 2</v>
      </c>
      <c r="I328" s="325" t="str">
        <f t="shared" si="12"/>
        <v>Multi Family Weatherization - Insulate BGWalls - R-0 to R-11 - Heating Zone 2</v>
      </c>
      <c r="J328" s="325" t="s">
        <v>924</v>
      </c>
      <c r="K328" s="242">
        <f>Results!L54</f>
        <v>0</v>
      </c>
      <c r="L328" s="219">
        <v>0</v>
      </c>
    </row>
    <row r="329" spans="1:12" ht="15">
      <c r="A329" s="27" t="s">
        <v>971</v>
      </c>
      <c r="B329" s="325" t="str">
        <f t="shared" si="12"/>
        <v>Floor10</v>
      </c>
      <c r="C329" s="325" t="str">
        <f t="shared" si="12"/>
        <v>Floors10</v>
      </c>
      <c r="D329" s="325" t="str">
        <f t="shared" si="12"/>
        <v>Floors</v>
      </c>
      <c r="E329" s="325">
        <f t="shared" si="12"/>
        <v>10</v>
      </c>
      <c r="F329" s="325" t="str">
        <f t="shared" si="12"/>
        <v>R-0</v>
      </c>
      <c r="G329" s="325" t="str">
        <f t="shared" si="12"/>
        <v>R-19</v>
      </c>
      <c r="H329" s="325" t="str">
        <f t="shared" si="12"/>
        <v>Heating Zone 2</v>
      </c>
      <c r="I329" s="325" t="str">
        <f t="shared" si="12"/>
        <v>Multi Family Weatherization - Insulate Floors - R-0 to R-19 - Heating Zone 2</v>
      </c>
      <c r="J329" s="325" t="s">
        <v>924</v>
      </c>
      <c r="K329" s="247">
        <f>Results!L55</f>
        <v>0.69790597720695102</v>
      </c>
      <c r="L329" s="219">
        <v>0</v>
      </c>
    </row>
    <row r="330" spans="1:12" ht="15">
      <c r="A330" s="27" t="s">
        <v>972</v>
      </c>
      <c r="B330" s="325" t="str">
        <f t="shared" ref="B330:I345" si="13">B192</f>
        <v>Floor11</v>
      </c>
      <c r="C330" s="325" t="str">
        <f t="shared" si="13"/>
        <v>Floors11</v>
      </c>
      <c r="D330" s="325" t="str">
        <f t="shared" si="13"/>
        <v>Floors</v>
      </c>
      <c r="E330" s="325">
        <f t="shared" si="13"/>
        <v>11</v>
      </c>
      <c r="F330" s="325" t="str">
        <f t="shared" si="13"/>
        <v>R-0</v>
      </c>
      <c r="G330" s="325" t="str">
        <f t="shared" si="13"/>
        <v>R-25</v>
      </c>
      <c r="H330" s="325" t="str">
        <f t="shared" si="13"/>
        <v>Heating Zone 2</v>
      </c>
      <c r="I330" s="325" t="str">
        <f t="shared" si="13"/>
        <v>Multi Family Weatherization - Insulate Floors - R-0 to R-25 - Heating Zone 2</v>
      </c>
      <c r="J330" s="325" t="s">
        <v>924</v>
      </c>
      <c r="K330" s="256">
        <f>Results!L56</f>
        <v>0.80122201792700509</v>
      </c>
      <c r="L330" s="219">
        <v>0</v>
      </c>
    </row>
    <row r="331" spans="1:12" ht="15">
      <c r="A331" s="27" t="s">
        <v>973</v>
      </c>
      <c r="B331" s="325" t="str">
        <f t="shared" si="13"/>
        <v>Floor12</v>
      </c>
      <c r="C331" s="325" t="str">
        <f t="shared" si="13"/>
        <v>Floors12</v>
      </c>
      <c r="D331" s="325" t="str">
        <f t="shared" si="13"/>
        <v>Floors</v>
      </c>
      <c r="E331" s="325">
        <f t="shared" si="13"/>
        <v>12</v>
      </c>
      <c r="F331" s="325" t="str">
        <f t="shared" si="13"/>
        <v>R-0</v>
      </c>
      <c r="G331" s="325" t="str">
        <f t="shared" si="13"/>
        <v>R-30</v>
      </c>
      <c r="H331" s="325" t="str">
        <f t="shared" si="13"/>
        <v>Heating Zone 2</v>
      </c>
      <c r="I331" s="325" t="str">
        <f t="shared" si="13"/>
        <v>Multi Family Weatherization - Insulate Floors - R-0 to R-30 - Heating Zone 2</v>
      </c>
      <c r="J331" s="325" t="s">
        <v>924</v>
      </c>
      <c r="K331" s="247">
        <f>Results!L57</f>
        <v>0.91045361186590912</v>
      </c>
      <c r="L331" s="219">
        <v>0</v>
      </c>
    </row>
    <row r="332" spans="1:12" ht="15">
      <c r="A332" s="27" t="s">
        <v>974</v>
      </c>
      <c r="B332" s="325" t="str">
        <f t="shared" si="13"/>
        <v>Floor13</v>
      </c>
      <c r="C332" s="325" t="str">
        <f t="shared" si="13"/>
        <v>Floors13</v>
      </c>
      <c r="D332" s="325" t="str">
        <f t="shared" si="13"/>
        <v>Floors</v>
      </c>
      <c r="E332" s="325">
        <f t="shared" si="13"/>
        <v>13</v>
      </c>
      <c r="F332" s="325" t="str">
        <f t="shared" si="13"/>
        <v>R-0</v>
      </c>
      <c r="G332" s="325" t="str">
        <f t="shared" si="13"/>
        <v>R-38</v>
      </c>
      <c r="H332" s="325" t="str">
        <f t="shared" si="13"/>
        <v>Heating Zone 2</v>
      </c>
      <c r="I332" s="325" t="str">
        <f t="shared" si="13"/>
        <v>Multi Family Weatherization - Insulate Floors - R-0 to R-38 - Heating Zone 2</v>
      </c>
      <c r="J332" s="325" t="s">
        <v>924</v>
      </c>
      <c r="K332" s="256">
        <f>Results!L58</f>
        <v>0.93957070427286027</v>
      </c>
      <c r="L332" s="219">
        <v>0</v>
      </c>
    </row>
    <row r="333" spans="1:12" ht="15">
      <c r="A333" s="27" t="s">
        <v>975</v>
      </c>
      <c r="B333" s="325" t="str">
        <f t="shared" si="13"/>
        <v>Floor14</v>
      </c>
      <c r="C333" s="325" t="str">
        <f t="shared" si="13"/>
        <v>Floors14</v>
      </c>
      <c r="D333" s="325" t="str">
        <f t="shared" si="13"/>
        <v>Floors</v>
      </c>
      <c r="E333" s="325">
        <f t="shared" si="13"/>
        <v>14</v>
      </c>
      <c r="F333" s="325" t="str">
        <f t="shared" si="13"/>
        <v>R-19</v>
      </c>
      <c r="G333" s="325" t="str">
        <f t="shared" si="13"/>
        <v>R-25</v>
      </c>
      <c r="H333" s="325" t="str">
        <f t="shared" si="13"/>
        <v>Heating Zone 2</v>
      </c>
      <c r="I333" s="325" t="str">
        <f t="shared" si="13"/>
        <v>Multi Family Weatherization - Insulate Floors - R-19 to R-25 - Heating Zone 2</v>
      </c>
      <c r="J333" s="325" t="s">
        <v>924</v>
      </c>
      <c r="K333" s="256">
        <f>Results!L59</f>
        <v>0.10331604072005401</v>
      </c>
      <c r="L333" s="219">
        <v>0</v>
      </c>
    </row>
    <row r="334" spans="1:12" ht="15">
      <c r="A334" s="27" t="s">
        <v>976</v>
      </c>
      <c r="B334" s="325" t="str">
        <f t="shared" si="13"/>
        <v>Floor15</v>
      </c>
      <c r="C334" s="325" t="str">
        <f t="shared" si="13"/>
        <v>Floors15</v>
      </c>
      <c r="D334" s="325" t="str">
        <f t="shared" si="13"/>
        <v>Floors</v>
      </c>
      <c r="E334" s="325">
        <f t="shared" si="13"/>
        <v>15</v>
      </c>
      <c r="F334" s="325" t="str">
        <f t="shared" si="13"/>
        <v>R-19</v>
      </c>
      <c r="G334" s="325" t="str">
        <f t="shared" si="13"/>
        <v>R-30</v>
      </c>
      <c r="H334" s="325" t="str">
        <f t="shared" si="13"/>
        <v>Heating Zone 2</v>
      </c>
      <c r="I334" s="325" t="str">
        <f t="shared" si="13"/>
        <v>Multi Family Weatherization - Insulate Floors - R-19 to R-30 - Heating Zone 2</v>
      </c>
      <c r="J334" s="325" t="s">
        <v>924</v>
      </c>
      <c r="K334" s="247">
        <f>Results!L60</f>
        <v>0.21254763465895801</v>
      </c>
      <c r="L334" s="219">
        <v>0</v>
      </c>
    </row>
    <row r="335" spans="1:12" ht="15">
      <c r="A335" s="27" t="s">
        <v>977</v>
      </c>
      <c r="B335" s="325" t="str">
        <f t="shared" si="13"/>
        <v>Floor16</v>
      </c>
      <c r="C335" s="325" t="str">
        <f t="shared" si="13"/>
        <v>Floors16</v>
      </c>
      <c r="D335" s="325" t="str">
        <f t="shared" si="13"/>
        <v>Floors</v>
      </c>
      <c r="E335" s="325">
        <f t="shared" si="13"/>
        <v>16</v>
      </c>
      <c r="F335" s="325" t="str">
        <f t="shared" si="13"/>
        <v>R-19</v>
      </c>
      <c r="G335" s="325" t="str">
        <f t="shared" si="13"/>
        <v>R-38</v>
      </c>
      <c r="H335" s="325" t="str">
        <f t="shared" si="13"/>
        <v>Heating Zone 2</v>
      </c>
      <c r="I335" s="325" t="str">
        <f t="shared" si="13"/>
        <v>Multi Family Weatherization - Insulate Floors - R-19 to R-38 - Heating Zone 2</v>
      </c>
      <c r="J335" s="325" t="s">
        <v>924</v>
      </c>
      <c r="K335" s="256">
        <f>Results!L61</f>
        <v>0.24166472706590922</v>
      </c>
      <c r="L335" s="219">
        <v>0</v>
      </c>
    </row>
    <row r="336" spans="1:12" ht="15">
      <c r="A336" s="27" t="s">
        <v>978</v>
      </c>
      <c r="B336" s="325" t="str">
        <f t="shared" si="13"/>
        <v>Floor17</v>
      </c>
      <c r="C336" s="325" t="str">
        <f t="shared" si="13"/>
        <v>Floors17</v>
      </c>
      <c r="D336" s="325" t="str">
        <f t="shared" si="13"/>
        <v>Floors</v>
      </c>
      <c r="E336" s="325">
        <f t="shared" si="13"/>
        <v>17</v>
      </c>
      <c r="F336" s="325" t="str">
        <f t="shared" si="13"/>
        <v>R-11</v>
      </c>
      <c r="G336" s="325" t="str">
        <f t="shared" si="13"/>
        <v>R-30</v>
      </c>
      <c r="H336" s="325" t="str">
        <f t="shared" si="13"/>
        <v>Heating Zone 2</v>
      </c>
      <c r="I336" s="325" t="str">
        <f t="shared" si="13"/>
        <v>Multi Family Weatherization - Insulate Floors - R-11 to R-30 - Heating Zone 2</v>
      </c>
      <c r="J336" s="325" t="s">
        <v>924</v>
      </c>
      <c r="K336" s="256">
        <f>Results!L62</f>
        <v>2.0110225126167114</v>
      </c>
      <c r="L336" s="219">
        <v>0</v>
      </c>
    </row>
    <row r="337" spans="1:12" ht="15">
      <c r="A337" s="27" t="s">
        <v>971</v>
      </c>
      <c r="B337" s="325" t="str">
        <f t="shared" si="13"/>
        <v>Floor18</v>
      </c>
      <c r="C337" s="325" t="str">
        <f t="shared" si="13"/>
        <v>Floors18</v>
      </c>
      <c r="D337" s="325" t="str">
        <f t="shared" si="13"/>
        <v>Floors</v>
      </c>
      <c r="E337" s="325">
        <f t="shared" si="13"/>
        <v>18</v>
      </c>
      <c r="F337" s="325" t="str">
        <f t="shared" si="13"/>
        <v>R-0</v>
      </c>
      <c r="G337" s="325" t="str">
        <f t="shared" si="13"/>
        <v>R-19</v>
      </c>
      <c r="H337" s="325" t="str">
        <f t="shared" si="13"/>
        <v>Heating Zone 2</v>
      </c>
      <c r="I337" s="325" t="str">
        <f t="shared" si="13"/>
        <v>Multi Family Weatherization - Insulate Floors - R-0 to R-19 - Heating Zone 2</v>
      </c>
      <c r="J337" s="325" t="s">
        <v>924</v>
      </c>
      <c r="K337" s="256">
        <f>Results!L63</f>
        <v>0.69790597720695102</v>
      </c>
      <c r="L337" s="219">
        <v>0</v>
      </c>
    </row>
    <row r="338" spans="1:12" ht="15">
      <c r="A338" s="27" t="s">
        <v>979</v>
      </c>
      <c r="B338" s="325" t="str">
        <f t="shared" si="13"/>
        <v>Ceili10</v>
      </c>
      <c r="C338" s="325" t="str">
        <f t="shared" si="13"/>
        <v>Ceiling10</v>
      </c>
      <c r="D338" s="325" t="str">
        <f t="shared" si="13"/>
        <v>Ceiling</v>
      </c>
      <c r="E338" s="325">
        <f t="shared" si="13"/>
        <v>10</v>
      </c>
      <c r="F338" s="325" t="str">
        <f t="shared" si="13"/>
        <v>R-0</v>
      </c>
      <c r="G338" s="325" t="str">
        <f t="shared" si="13"/>
        <v>R-19</v>
      </c>
      <c r="H338" s="325" t="str">
        <f t="shared" si="13"/>
        <v>Heating Zone 2</v>
      </c>
      <c r="I338" s="325" t="str">
        <f t="shared" si="13"/>
        <v>Multi Family Weatherization - Insulate Attic - R-0 to R-19 - Heating Zone 2</v>
      </c>
      <c r="J338" s="325" t="s">
        <v>924</v>
      </c>
      <c r="K338" s="283">
        <f>Results!L64</f>
        <v>0.47962025779193168</v>
      </c>
      <c r="L338" s="219">
        <v>0</v>
      </c>
    </row>
    <row r="339" spans="1:12" ht="15">
      <c r="A339" s="27" t="s">
        <v>980</v>
      </c>
      <c r="B339" s="325" t="str">
        <f t="shared" si="13"/>
        <v>Ceili11</v>
      </c>
      <c r="C339" s="325" t="str">
        <f t="shared" si="13"/>
        <v>Ceiling11</v>
      </c>
      <c r="D339" s="325" t="str">
        <f t="shared" si="13"/>
        <v>Ceiling</v>
      </c>
      <c r="E339" s="325">
        <f t="shared" si="13"/>
        <v>11</v>
      </c>
      <c r="F339" s="325" t="str">
        <f t="shared" si="13"/>
        <v>R-0</v>
      </c>
      <c r="G339" s="325" t="str">
        <f t="shared" si="13"/>
        <v>R-38</v>
      </c>
      <c r="H339" s="325" t="str">
        <f t="shared" si="13"/>
        <v>Heating Zone 2</v>
      </c>
      <c r="I339" s="325" t="str">
        <f t="shared" si="13"/>
        <v>Multi Family Weatherization - Insulate Attic - R-0 to R-38 - Heating Zone 2</v>
      </c>
      <c r="J339" s="325" t="s">
        <v>924</v>
      </c>
      <c r="K339" s="247">
        <f>Results!L65</f>
        <v>0.65356088579181815</v>
      </c>
      <c r="L339" s="219">
        <v>0</v>
      </c>
    </row>
    <row r="340" spans="1:12" ht="15">
      <c r="A340" s="27" t="s">
        <v>981</v>
      </c>
      <c r="B340" s="325" t="str">
        <f t="shared" si="13"/>
        <v>Ceili12</v>
      </c>
      <c r="C340" s="325" t="str">
        <f t="shared" si="13"/>
        <v>Ceiling12</v>
      </c>
      <c r="D340" s="325" t="str">
        <f t="shared" si="13"/>
        <v>Ceiling</v>
      </c>
      <c r="E340" s="325">
        <f t="shared" si="13"/>
        <v>12</v>
      </c>
      <c r="F340" s="325" t="str">
        <f t="shared" si="13"/>
        <v>R-0</v>
      </c>
      <c r="G340" s="325" t="str">
        <f t="shared" si="13"/>
        <v>R-49</v>
      </c>
      <c r="H340" s="325" t="str">
        <f t="shared" si="13"/>
        <v>Heating Zone 2</v>
      </c>
      <c r="I340" s="325" t="str">
        <f t="shared" si="13"/>
        <v>Multi Family Weatherization - Insulate Attic - R-0 to R-49 - Heating Zone 2</v>
      </c>
      <c r="J340" s="325" t="s">
        <v>924</v>
      </c>
      <c r="K340" s="247">
        <f>Results!L66</f>
        <v>0.69395328484238672</v>
      </c>
      <c r="L340" s="219">
        <v>0</v>
      </c>
    </row>
    <row r="341" spans="1:12" ht="15">
      <c r="A341" s="27" t="s">
        <v>982</v>
      </c>
      <c r="B341" s="325" t="str">
        <f t="shared" si="13"/>
        <v>Ceili13</v>
      </c>
      <c r="C341" s="325" t="str">
        <f t="shared" si="13"/>
        <v>Ceiling13</v>
      </c>
      <c r="D341" s="325" t="str">
        <f t="shared" si="13"/>
        <v>Ceiling</v>
      </c>
      <c r="E341" s="325">
        <f t="shared" si="13"/>
        <v>13</v>
      </c>
      <c r="F341" s="325" t="str">
        <f t="shared" si="13"/>
        <v>R-30</v>
      </c>
      <c r="G341" s="325" t="str">
        <f t="shared" si="13"/>
        <v>R-38</v>
      </c>
      <c r="H341" s="325" t="str">
        <f t="shared" si="13"/>
        <v>Heating Zone 2</v>
      </c>
      <c r="I341" s="325" t="str">
        <f t="shared" si="13"/>
        <v>Multi Family Weatherization - Insulate Attic - R-30 to R-38 - Heating Zone 2</v>
      </c>
      <c r="J341" s="325" t="s">
        <v>924</v>
      </c>
      <c r="K341" s="256">
        <f>Results!L67</f>
        <v>4.7929143657044954E-2</v>
      </c>
      <c r="L341" s="219">
        <v>0</v>
      </c>
    </row>
    <row r="342" spans="1:12" ht="15">
      <c r="A342" s="27" t="s">
        <v>983</v>
      </c>
      <c r="B342" s="325" t="str">
        <f t="shared" si="13"/>
        <v>Ceili14</v>
      </c>
      <c r="C342" s="325" t="str">
        <f t="shared" si="13"/>
        <v>Ceiling14</v>
      </c>
      <c r="D342" s="325" t="str">
        <f t="shared" si="13"/>
        <v>Ceiling</v>
      </c>
      <c r="E342" s="325">
        <f t="shared" si="13"/>
        <v>14</v>
      </c>
      <c r="F342" s="325" t="str">
        <f t="shared" si="13"/>
        <v>R-30</v>
      </c>
      <c r="G342" s="325" t="str">
        <f t="shared" si="13"/>
        <v>R-49</v>
      </c>
      <c r="H342" s="325" t="str">
        <f t="shared" si="13"/>
        <v>Heating Zone 2</v>
      </c>
      <c r="I342" s="325" t="str">
        <f t="shared" si="13"/>
        <v>Multi Family Weatherization - Insulate Attic - R-30 to R-49 - Heating Zone 2</v>
      </c>
      <c r="J342" s="325" t="s">
        <v>924</v>
      </c>
      <c r="K342" s="256">
        <f>Results!L68</f>
        <v>8.8321542707613526E-2</v>
      </c>
      <c r="L342" s="219">
        <v>0</v>
      </c>
    </row>
    <row r="343" spans="1:12" ht="15">
      <c r="A343" s="27" t="s">
        <v>984</v>
      </c>
      <c r="B343" s="325" t="str">
        <f t="shared" si="13"/>
        <v>Ceili15</v>
      </c>
      <c r="C343" s="325" t="str">
        <f t="shared" si="13"/>
        <v>Ceiling15</v>
      </c>
      <c r="D343" s="325" t="str">
        <f t="shared" si="13"/>
        <v>Ceiling</v>
      </c>
      <c r="E343" s="325">
        <f t="shared" si="13"/>
        <v>15</v>
      </c>
      <c r="F343" s="325" t="str">
        <f t="shared" si="13"/>
        <v>R-19</v>
      </c>
      <c r="G343" s="325" t="str">
        <f t="shared" si="13"/>
        <v>R-30</v>
      </c>
      <c r="H343" s="325" t="str">
        <f t="shared" si="13"/>
        <v>Heating Zone 2</v>
      </c>
      <c r="I343" s="325" t="str">
        <f t="shared" si="13"/>
        <v>Multi Family Weatherization - Insulate Attic - R-19 to R-30 - Heating Zone 2</v>
      </c>
      <c r="J343" s="325" t="s">
        <v>924</v>
      </c>
      <c r="K343" s="256">
        <f>Results!L69</f>
        <v>0.12601148434284148</v>
      </c>
      <c r="L343" s="219">
        <v>0</v>
      </c>
    </row>
    <row r="344" spans="1:12" ht="15">
      <c r="A344" s="27" t="s">
        <v>985</v>
      </c>
      <c r="B344" s="325" t="str">
        <f t="shared" si="13"/>
        <v>Ceili16</v>
      </c>
      <c r="C344" s="325" t="str">
        <f t="shared" si="13"/>
        <v>Ceiling16</v>
      </c>
      <c r="D344" s="325" t="str">
        <f t="shared" si="13"/>
        <v>Ceiling</v>
      </c>
      <c r="E344" s="325">
        <f t="shared" si="13"/>
        <v>16</v>
      </c>
      <c r="F344" s="325" t="str">
        <f t="shared" si="13"/>
        <v>R-19</v>
      </c>
      <c r="G344" s="325" t="str">
        <f t="shared" si="13"/>
        <v>R-38</v>
      </c>
      <c r="H344" s="325" t="str">
        <f t="shared" si="13"/>
        <v>Heating Zone 2</v>
      </c>
      <c r="I344" s="325" t="str">
        <f t="shared" si="13"/>
        <v>Multi Family Weatherization - Insulate Attic - R-19 to R-38 - Heating Zone 2</v>
      </c>
      <c r="J344" s="325" t="s">
        <v>924</v>
      </c>
      <c r="K344" s="247">
        <f>Results!L70</f>
        <v>0.17394062799988647</v>
      </c>
      <c r="L344" s="219">
        <v>0</v>
      </c>
    </row>
    <row r="345" spans="1:12" ht="15">
      <c r="A345" s="27" t="s">
        <v>986</v>
      </c>
      <c r="B345" s="325" t="str">
        <f t="shared" si="13"/>
        <v>Ceili17</v>
      </c>
      <c r="C345" s="325" t="str">
        <f t="shared" si="13"/>
        <v>Ceiling17</v>
      </c>
      <c r="D345" s="325" t="str">
        <f t="shared" si="13"/>
        <v>Ceiling</v>
      </c>
      <c r="E345" s="325">
        <f t="shared" si="13"/>
        <v>17</v>
      </c>
      <c r="F345" s="325" t="str">
        <f t="shared" si="13"/>
        <v>R-19</v>
      </c>
      <c r="G345" s="325" t="str">
        <f t="shared" si="13"/>
        <v>R-49</v>
      </c>
      <c r="H345" s="325" t="str">
        <f t="shared" si="13"/>
        <v>Heating Zone 2</v>
      </c>
      <c r="I345" s="325" t="str">
        <f t="shared" si="13"/>
        <v>Multi Family Weatherization - Insulate Attic - R-19 to R-49 - Heating Zone 2</v>
      </c>
      <c r="J345" s="325" t="s">
        <v>924</v>
      </c>
      <c r="K345" s="247">
        <f>Results!L71</f>
        <v>0.21433302705045501</v>
      </c>
      <c r="L345" s="219">
        <v>0</v>
      </c>
    </row>
    <row r="346" spans="1:12" ht="15">
      <c r="A346" s="27" t="s">
        <v>987</v>
      </c>
      <c r="B346" s="325" t="str">
        <f t="shared" ref="B346:I361" si="14">B208</f>
        <v>Ceili18</v>
      </c>
      <c r="C346" s="325" t="str">
        <f t="shared" si="14"/>
        <v>Ceiling18</v>
      </c>
      <c r="D346" s="325" t="str">
        <f t="shared" si="14"/>
        <v>Ceiling</v>
      </c>
      <c r="E346" s="325">
        <f t="shared" si="14"/>
        <v>18</v>
      </c>
      <c r="F346" s="325" t="str">
        <f t="shared" si="14"/>
        <v>R-38</v>
      </c>
      <c r="G346" s="325" t="str">
        <f t="shared" si="14"/>
        <v>R-49</v>
      </c>
      <c r="H346" s="325" t="str">
        <f t="shared" si="14"/>
        <v>Heating Zone 2</v>
      </c>
      <c r="I346" s="325" t="str">
        <f t="shared" si="14"/>
        <v>Multi Family Weatherization - Insulate Attic - R-38 to R-49 - Heating Zone 2</v>
      </c>
      <c r="J346" s="325" t="s">
        <v>924</v>
      </c>
      <c r="K346" s="288">
        <f>Results!L72</f>
        <v>4.0392399050568566E-2</v>
      </c>
      <c r="L346" s="219">
        <v>0</v>
      </c>
    </row>
    <row r="347" spans="1:12" ht="15">
      <c r="A347" s="27" t="s">
        <v>988</v>
      </c>
      <c r="B347" s="325" t="str">
        <f t="shared" si="14"/>
        <v>Windo10</v>
      </c>
      <c r="C347" s="325" t="str">
        <f t="shared" si="14"/>
        <v>Windows10</v>
      </c>
      <c r="D347" s="325" t="str">
        <f t="shared" si="14"/>
        <v>Windows</v>
      </c>
      <c r="E347" s="325">
        <f t="shared" si="14"/>
        <v>10</v>
      </c>
      <c r="F347" s="325" t="str">
        <f t="shared" si="14"/>
        <v>Class 85</v>
      </c>
      <c r="G347" s="325" t="str">
        <f t="shared" si="14"/>
        <v>Class 35</v>
      </c>
      <c r="H347" s="325" t="str">
        <f t="shared" si="14"/>
        <v>Heating Zone 2</v>
      </c>
      <c r="I347" s="325" t="str">
        <f t="shared" si="14"/>
        <v>Windows - Class 85 to Class 35 - Heating Zone 2</v>
      </c>
      <c r="J347" s="325" t="s">
        <v>924</v>
      </c>
      <c r="K347" s="256">
        <f>Results!L73</f>
        <v>-10.421842109966784</v>
      </c>
      <c r="L347" s="219">
        <v>0</v>
      </c>
    </row>
    <row r="348" spans="1:12" ht="15">
      <c r="A348" s="27" t="s">
        <v>989</v>
      </c>
      <c r="B348" s="325" t="str">
        <f t="shared" si="14"/>
        <v>Windo11</v>
      </c>
      <c r="C348" s="325" t="str">
        <f t="shared" si="14"/>
        <v>Windows11</v>
      </c>
      <c r="D348" s="325" t="str">
        <f t="shared" si="14"/>
        <v>Windows</v>
      </c>
      <c r="E348" s="325">
        <f t="shared" si="14"/>
        <v>11</v>
      </c>
      <c r="F348" s="325" t="str">
        <f t="shared" si="14"/>
        <v>Class 85</v>
      </c>
      <c r="G348" s="325" t="str">
        <f t="shared" si="14"/>
        <v>Class 30</v>
      </c>
      <c r="H348" s="325" t="str">
        <f t="shared" si="14"/>
        <v>Heating Zone 2</v>
      </c>
      <c r="I348" s="325" t="str">
        <f t="shared" si="14"/>
        <v>Windows - Class 85 to Class 30 - Heating Zone 2</v>
      </c>
      <c r="J348" s="325" t="s">
        <v>924</v>
      </c>
      <c r="K348" s="256">
        <f>Results!L74</f>
        <v>-8.6217026427145491</v>
      </c>
      <c r="L348" s="219">
        <v>0</v>
      </c>
    </row>
    <row r="349" spans="1:12" ht="15">
      <c r="A349" s="27" t="s">
        <v>990</v>
      </c>
      <c r="B349" s="325" t="str">
        <f t="shared" si="14"/>
        <v>Windo12</v>
      </c>
      <c r="C349" s="325" t="str">
        <f t="shared" si="14"/>
        <v>Windows12</v>
      </c>
      <c r="D349" s="325" t="str">
        <f t="shared" si="14"/>
        <v>Windows</v>
      </c>
      <c r="E349" s="325">
        <f t="shared" si="14"/>
        <v>12</v>
      </c>
      <c r="F349" s="325" t="str">
        <f t="shared" si="14"/>
        <v>Class 85</v>
      </c>
      <c r="G349" s="325" t="str">
        <f t="shared" si="14"/>
        <v>Class 25</v>
      </c>
      <c r="H349" s="325" t="str">
        <f t="shared" si="14"/>
        <v>Heating Zone 2</v>
      </c>
      <c r="I349" s="325" t="str">
        <f t="shared" si="14"/>
        <v>Windows - Class 85 to Class 25 - Heating Zone 2</v>
      </c>
      <c r="J349" s="325" t="s">
        <v>924</v>
      </c>
      <c r="K349" s="256">
        <f>Results!L75</f>
        <v>0</v>
      </c>
      <c r="L349" s="219">
        <v>0</v>
      </c>
    </row>
    <row r="350" spans="1:12" ht="15">
      <c r="A350" s="27" t="s">
        <v>991</v>
      </c>
      <c r="B350" s="325" t="str">
        <f t="shared" si="14"/>
        <v>Windo13</v>
      </c>
      <c r="C350" s="325" t="str">
        <f t="shared" si="14"/>
        <v>Windows13</v>
      </c>
      <c r="D350" s="325" t="str">
        <f t="shared" si="14"/>
        <v>Windows</v>
      </c>
      <c r="E350" s="325">
        <f t="shared" si="14"/>
        <v>13</v>
      </c>
      <c r="F350" s="325" t="str">
        <f t="shared" si="14"/>
        <v>Class 85</v>
      </c>
      <c r="G350" s="325" t="str">
        <f t="shared" si="14"/>
        <v>Class 20</v>
      </c>
      <c r="H350" s="325" t="str">
        <f t="shared" si="14"/>
        <v>Heating Zone 2</v>
      </c>
      <c r="I350" s="325" t="str">
        <f t="shared" si="14"/>
        <v>Windows - Class 85 to Class 20 - Heating Zone 2</v>
      </c>
      <c r="J350" s="325" t="s">
        <v>924</v>
      </c>
      <c r="K350" s="256">
        <f>Results!L76</f>
        <v>-5.2440588269013189</v>
      </c>
      <c r="L350" s="219">
        <v>0</v>
      </c>
    </row>
    <row r="351" spans="1:12" ht="15">
      <c r="A351" s="27" t="s">
        <v>992</v>
      </c>
      <c r="B351" s="325" t="str">
        <f t="shared" si="14"/>
        <v>Windo14</v>
      </c>
      <c r="C351" s="325" t="str">
        <f t="shared" si="14"/>
        <v>Windows14</v>
      </c>
      <c r="D351" s="325" t="str">
        <f t="shared" si="14"/>
        <v>Windows</v>
      </c>
      <c r="E351" s="325">
        <f t="shared" si="14"/>
        <v>14</v>
      </c>
      <c r="F351" s="325" t="str">
        <f t="shared" si="14"/>
        <v>Class 85</v>
      </c>
      <c r="G351" s="325" t="str">
        <f t="shared" si="14"/>
        <v>Class 15</v>
      </c>
      <c r="H351" s="325" t="str">
        <f t="shared" si="14"/>
        <v>Heating Zone 2</v>
      </c>
      <c r="I351" s="325" t="str">
        <f t="shared" si="14"/>
        <v>Windows - Class 85 to Class 15 - Heating Zone 2</v>
      </c>
      <c r="J351" s="325" t="s">
        <v>924</v>
      </c>
      <c r="K351" s="256">
        <f>Results!L77</f>
        <v>-3.2275761132131895</v>
      </c>
      <c r="L351" s="219">
        <v>0</v>
      </c>
    </row>
    <row r="352" spans="1:12" ht="15">
      <c r="A352" s="27" t="s">
        <v>993</v>
      </c>
      <c r="B352" s="325" t="str">
        <f t="shared" si="14"/>
        <v>Windo15</v>
      </c>
      <c r="C352" s="325" t="str">
        <f t="shared" si="14"/>
        <v>Windows15</v>
      </c>
      <c r="D352" s="325" t="str">
        <f t="shared" si="14"/>
        <v>Windows</v>
      </c>
      <c r="E352" s="325">
        <f t="shared" si="14"/>
        <v>15</v>
      </c>
      <c r="F352" s="325" t="str">
        <f t="shared" si="14"/>
        <v>Class 50</v>
      </c>
      <c r="G352" s="325" t="str">
        <f t="shared" si="14"/>
        <v>Class 35</v>
      </c>
      <c r="H352" s="325" t="str">
        <f t="shared" si="14"/>
        <v>Heating Zone 2</v>
      </c>
      <c r="I352" s="325" t="str">
        <f t="shared" si="14"/>
        <v>Windows - Class 50 to Class 35 - Heating Zone 2</v>
      </c>
      <c r="J352" s="325" t="s">
        <v>924</v>
      </c>
      <c r="K352" s="256">
        <f>Results!L78</f>
        <v>1.8566285822813695</v>
      </c>
      <c r="L352" s="219">
        <v>0</v>
      </c>
    </row>
    <row r="353" spans="1:12" ht="15">
      <c r="A353" s="27" t="s">
        <v>994</v>
      </c>
      <c r="B353" s="325" t="str">
        <f t="shared" si="14"/>
        <v>Windo16</v>
      </c>
      <c r="C353" s="325" t="str">
        <f t="shared" si="14"/>
        <v>Windows16</v>
      </c>
      <c r="D353" s="325" t="str">
        <f t="shared" si="14"/>
        <v>Windows</v>
      </c>
      <c r="E353" s="325">
        <f t="shared" si="14"/>
        <v>16</v>
      </c>
      <c r="F353" s="325" t="str">
        <f t="shared" si="14"/>
        <v>Class 50</v>
      </c>
      <c r="G353" s="325" t="str">
        <f t="shared" si="14"/>
        <v>Class 30</v>
      </c>
      <c r="H353" s="325" t="str">
        <f t="shared" si="14"/>
        <v>Heating Zone 2</v>
      </c>
      <c r="I353" s="325" t="str">
        <f t="shared" si="14"/>
        <v>Windows - Class 50 to Class 30 - Heating Zone 2</v>
      </c>
      <c r="J353" s="325" t="s">
        <v>924</v>
      </c>
      <c r="K353" s="256">
        <f>Results!L79</f>
        <v>3.656768049533603</v>
      </c>
      <c r="L353" s="219">
        <v>0</v>
      </c>
    </row>
    <row r="354" spans="1:12" ht="15">
      <c r="A354" s="27" t="s">
        <v>995</v>
      </c>
      <c r="B354" s="325" t="str">
        <f t="shared" si="14"/>
        <v>Windo17</v>
      </c>
      <c r="C354" s="325" t="str">
        <f t="shared" si="14"/>
        <v>Windows17</v>
      </c>
      <c r="D354" s="325" t="str">
        <f t="shared" si="14"/>
        <v>Windows</v>
      </c>
      <c r="E354" s="325">
        <f t="shared" si="14"/>
        <v>17</v>
      </c>
      <c r="F354" s="325" t="str">
        <f t="shared" si="14"/>
        <v>Class 50</v>
      </c>
      <c r="G354" s="325" t="str">
        <f t="shared" si="14"/>
        <v>Class 25</v>
      </c>
      <c r="H354" s="325" t="str">
        <f t="shared" si="14"/>
        <v>Heating Zone 2</v>
      </c>
      <c r="I354" s="325" t="str">
        <f t="shared" si="14"/>
        <v>Windows - Class 50 to Class 25 - Heating Zone 2</v>
      </c>
      <c r="J354" s="325" t="s">
        <v>924</v>
      </c>
      <c r="K354" s="256">
        <f>Results!L80</f>
        <v>12.278470692248153</v>
      </c>
      <c r="L354" s="219">
        <v>0</v>
      </c>
    </row>
    <row r="355" spans="1:12" ht="15">
      <c r="A355" s="27" t="s">
        <v>996</v>
      </c>
      <c r="B355" s="325" t="str">
        <f t="shared" si="14"/>
        <v>Windo18</v>
      </c>
      <c r="C355" s="325" t="str">
        <f t="shared" si="14"/>
        <v>Windows18</v>
      </c>
      <c r="D355" s="325" t="str">
        <f t="shared" si="14"/>
        <v>Windows</v>
      </c>
      <c r="E355" s="325">
        <f t="shared" si="14"/>
        <v>18</v>
      </c>
      <c r="F355" s="325" t="str">
        <f t="shared" si="14"/>
        <v>Class 50</v>
      </c>
      <c r="G355" s="325" t="str">
        <f t="shared" si="14"/>
        <v>Class 20</v>
      </c>
      <c r="H355" s="325" t="str">
        <f t="shared" si="14"/>
        <v>Heating Zone 2</v>
      </c>
      <c r="I355" s="325" t="str">
        <f t="shared" si="14"/>
        <v>Windows - Class 50 to Class 20 - Heating Zone 2</v>
      </c>
      <c r="J355" s="325" t="s">
        <v>924</v>
      </c>
      <c r="K355" s="256">
        <f>Results!L81</f>
        <v>7.0344118653468337</v>
      </c>
      <c r="L355" s="219">
        <v>0</v>
      </c>
    </row>
    <row r="356" spans="1:12" ht="15">
      <c r="A356" s="27" t="s">
        <v>997</v>
      </c>
      <c r="B356" s="325" t="str">
        <f t="shared" si="14"/>
        <v>Windo19</v>
      </c>
      <c r="C356" s="325" t="str">
        <f t="shared" si="14"/>
        <v>Windows19</v>
      </c>
      <c r="D356" s="325" t="str">
        <f t="shared" si="14"/>
        <v>Windows</v>
      </c>
      <c r="E356" s="325">
        <f t="shared" si="14"/>
        <v>19</v>
      </c>
      <c r="F356" s="325" t="str">
        <f t="shared" si="14"/>
        <v>Class 35</v>
      </c>
      <c r="G356" s="325" t="str">
        <f t="shared" si="14"/>
        <v>Class 22</v>
      </c>
      <c r="H356" s="325" t="str">
        <f t="shared" si="14"/>
        <v>Heating Zone 2</v>
      </c>
      <c r="I356" s="325" t="str">
        <f t="shared" si="14"/>
        <v>Windows - Class 35 to Class 22 - Heating Zone 2</v>
      </c>
      <c r="J356" s="325" t="s">
        <v>924</v>
      </c>
      <c r="K356" s="256">
        <f>Results!L82</f>
        <v>4.4453051400193271</v>
      </c>
      <c r="L356" s="219">
        <v>0</v>
      </c>
    </row>
    <row r="357" spans="1:12" ht="15">
      <c r="A357" s="27" t="s">
        <v>998</v>
      </c>
      <c r="B357" s="325" t="str">
        <f t="shared" si="14"/>
        <v>Windo20</v>
      </c>
      <c r="C357" s="325" t="str">
        <f t="shared" si="14"/>
        <v>Windows20</v>
      </c>
      <c r="D357" s="325" t="str">
        <f t="shared" si="14"/>
        <v>Windows</v>
      </c>
      <c r="E357" s="325">
        <f t="shared" si="14"/>
        <v>20</v>
      </c>
      <c r="F357" s="325" t="str">
        <f t="shared" si="14"/>
        <v>Single Pane</v>
      </c>
      <c r="G357" s="325" t="str">
        <f t="shared" si="14"/>
        <v>Class 22</v>
      </c>
      <c r="H357" s="325" t="str">
        <f t="shared" si="14"/>
        <v>Heating Zone 2</v>
      </c>
      <c r="I357" s="325" t="str">
        <f t="shared" si="14"/>
        <v>Windows - Single Pane to Class 22 - Heating Zone 2</v>
      </c>
      <c r="J357" s="325" t="s">
        <v>924</v>
      </c>
      <c r="K357" s="256">
        <f>Results!L83</f>
        <v>32.30351481749824</v>
      </c>
      <c r="L357" s="219">
        <v>0</v>
      </c>
    </row>
    <row r="358" spans="1:12" ht="15">
      <c r="A358" s="27" t="s">
        <v>999</v>
      </c>
      <c r="B358" s="325" t="str">
        <f t="shared" si="14"/>
        <v>Windo21</v>
      </c>
      <c r="C358" s="325" t="str">
        <f t="shared" si="14"/>
        <v>Windows21</v>
      </c>
      <c r="D358" s="325" t="str">
        <f t="shared" si="14"/>
        <v>Windows</v>
      </c>
      <c r="E358" s="325">
        <f t="shared" si="14"/>
        <v>21</v>
      </c>
      <c r="F358" s="325" t="str">
        <f t="shared" si="14"/>
        <v>Double Pane</v>
      </c>
      <c r="G358" s="325" t="str">
        <f t="shared" si="14"/>
        <v>Class 22</v>
      </c>
      <c r="H358" s="325" t="str">
        <f t="shared" si="14"/>
        <v>Heating Zone 2</v>
      </c>
      <c r="I358" s="325" t="str">
        <f t="shared" si="14"/>
        <v>Windows - Double Pane to Class 22 - Heating Zone 2</v>
      </c>
      <c r="J358" s="325" t="s">
        <v>924</v>
      </c>
      <c r="K358" s="256">
        <f>Results!L84</f>
        <v>19.232443265234554</v>
      </c>
      <c r="L358" s="219">
        <v>0</v>
      </c>
    </row>
    <row r="359" spans="1:12" ht="15">
      <c r="A359" s="27" t="s">
        <v>1000</v>
      </c>
      <c r="B359" s="325" t="str">
        <f t="shared" si="14"/>
        <v>Windo22</v>
      </c>
      <c r="C359" s="325" t="str">
        <f t="shared" si="14"/>
        <v>Windows22</v>
      </c>
      <c r="D359" s="325" t="str">
        <f t="shared" si="14"/>
        <v>Windows</v>
      </c>
      <c r="E359" s="325">
        <f t="shared" si="14"/>
        <v>22</v>
      </c>
      <c r="F359" s="325" t="str">
        <f t="shared" si="14"/>
        <v>Single Pane</v>
      </c>
      <c r="G359" s="325" t="str">
        <f t="shared" si="14"/>
        <v>Class 30</v>
      </c>
      <c r="H359" s="325" t="str">
        <f t="shared" si="14"/>
        <v>Heating Zone 2</v>
      </c>
      <c r="I359" s="325" t="str">
        <f t="shared" si="14"/>
        <v>Windows - Single Pane to Class 30 - Heating Zone 2</v>
      </c>
      <c r="J359" s="325" t="s">
        <v>924</v>
      </c>
      <c r="K359" s="247">
        <f>Results!L85</f>
        <v>29.658349144731158</v>
      </c>
      <c r="L359" s="219">
        <v>0</v>
      </c>
    </row>
    <row r="360" spans="1:12" ht="15">
      <c r="A360" s="27" t="s">
        <v>1001</v>
      </c>
      <c r="B360" s="325" t="str">
        <f t="shared" si="14"/>
        <v>Windo23</v>
      </c>
      <c r="C360" s="325" t="str">
        <f t="shared" si="14"/>
        <v>Windows23</v>
      </c>
      <c r="D360" s="325" t="str">
        <f t="shared" si="14"/>
        <v>Windows</v>
      </c>
      <c r="E360" s="325">
        <f t="shared" si="14"/>
        <v>23</v>
      </c>
      <c r="F360" s="325" t="str">
        <f t="shared" si="14"/>
        <v>Double Pane</v>
      </c>
      <c r="G360" s="325" t="str">
        <f t="shared" si="14"/>
        <v>Class 30</v>
      </c>
      <c r="H360" s="325" t="str">
        <f t="shared" si="14"/>
        <v>Heating Zone 2</v>
      </c>
      <c r="I360" s="325" t="str">
        <f t="shared" si="14"/>
        <v>Windows - Double Pane to Class 30 - Heating Zone 2</v>
      </c>
      <c r="J360" s="325" t="s">
        <v>924</v>
      </c>
      <c r="K360" s="247">
        <f>Results!L86</f>
        <v>16.587277592467462</v>
      </c>
      <c r="L360" s="219">
        <v>0</v>
      </c>
    </row>
    <row r="361" spans="1:12" ht="15">
      <c r="A361" s="27" t="s">
        <v>1002</v>
      </c>
      <c r="B361" s="325" t="str">
        <f t="shared" si="14"/>
        <v>Windo24</v>
      </c>
      <c r="C361" s="325" t="str">
        <f t="shared" si="14"/>
        <v>Windows24</v>
      </c>
      <c r="D361" s="325" t="str">
        <f t="shared" si="14"/>
        <v>Windows</v>
      </c>
      <c r="E361" s="325">
        <f t="shared" si="14"/>
        <v>24</v>
      </c>
      <c r="F361" s="325" t="str">
        <f t="shared" si="14"/>
        <v>Class 35</v>
      </c>
      <c r="G361" s="325" t="str">
        <f t="shared" si="14"/>
        <v>Class 30</v>
      </c>
      <c r="H361" s="325" t="str">
        <f t="shared" si="14"/>
        <v>Heating Zone 2</v>
      </c>
      <c r="I361" s="325" t="str">
        <f t="shared" si="14"/>
        <v>Windows - Class 35 to Class 30 - Heating Zone 2</v>
      </c>
      <c r="J361" s="325" t="s">
        <v>924</v>
      </c>
      <c r="K361" s="247">
        <f>Results!L87</f>
        <v>1.8001394672522337</v>
      </c>
      <c r="L361" s="219">
        <v>0</v>
      </c>
    </row>
    <row r="362" spans="1:12" ht="15">
      <c r="A362" s="27" t="s">
        <v>1003</v>
      </c>
      <c r="B362" s="325" t="str">
        <f t="shared" ref="B362:I377" si="15">B224</f>
        <v>Infil10</v>
      </c>
      <c r="C362" s="325" t="str">
        <f t="shared" si="15"/>
        <v>Infiltration10</v>
      </c>
      <c r="D362" s="325" t="str">
        <f t="shared" si="15"/>
        <v>Infiltration</v>
      </c>
      <c r="E362" s="325">
        <f t="shared" si="15"/>
        <v>10</v>
      </c>
      <c r="F362" s="325" t="str">
        <f t="shared" si="15"/>
        <v>0.45 ACHn</v>
      </c>
      <c r="G362" s="325" t="str">
        <f t="shared" si="15"/>
        <v>0.35 ACHn</v>
      </c>
      <c r="H362" s="325" t="str">
        <f t="shared" si="15"/>
        <v>Heating Zone 2</v>
      </c>
      <c r="I362" s="325" t="str">
        <f t="shared" si="15"/>
        <v>Infiltration Reduction - 0.45 ACHn to 0.35 ACHn - Heating Zone 2</v>
      </c>
      <c r="J362" s="325" t="s">
        <v>924</v>
      </c>
      <c r="K362" s="283">
        <f>Results!L88</f>
        <v>0</v>
      </c>
      <c r="L362" s="219">
        <v>0</v>
      </c>
    </row>
    <row r="363" spans="1:12" ht="15">
      <c r="A363" s="27" t="s">
        <v>1004</v>
      </c>
      <c r="B363" s="325" t="str">
        <f t="shared" si="15"/>
        <v>Infil11</v>
      </c>
      <c r="C363" s="325" t="str">
        <f t="shared" si="15"/>
        <v>Infiltration11</v>
      </c>
      <c r="D363" s="325" t="str">
        <f t="shared" si="15"/>
        <v>Infiltration</v>
      </c>
      <c r="E363" s="325">
        <f t="shared" si="15"/>
        <v>11</v>
      </c>
      <c r="F363" s="325" t="str">
        <f t="shared" si="15"/>
        <v>0.45 ACHn</v>
      </c>
      <c r="G363" s="325" t="str">
        <f t="shared" si="15"/>
        <v>0.20 ACHn</v>
      </c>
      <c r="H363" s="325" t="str">
        <f t="shared" si="15"/>
        <v>Heating Zone 2</v>
      </c>
      <c r="I363" s="325" t="str">
        <f t="shared" si="15"/>
        <v>Infiltration Reduction - 0.45 ACHn to 0.20 ACHn - Heating Zone 2</v>
      </c>
      <c r="J363" s="325" t="s">
        <v>924</v>
      </c>
      <c r="K363" s="256">
        <f>Results!L89</f>
        <v>0</v>
      </c>
      <c r="L363" s="219">
        <v>0</v>
      </c>
    </row>
    <row r="364" spans="1:12" ht="15">
      <c r="A364" s="27" t="s">
        <v>1005</v>
      </c>
      <c r="B364" s="325" t="str">
        <f t="shared" si="15"/>
        <v>Infil12</v>
      </c>
      <c r="C364" s="325" t="str">
        <f t="shared" si="15"/>
        <v>Infiltration12</v>
      </c>
      <c r="D364" s="325" t="str">
        <f t="shared" si="15"/>
        <v>Infiltration</v>
      </c>
      <c r="E364" s="325">
        <f t="shared" si="15"/>
        <v>12</v>
      </c>
      <c r="F364" s="325" t="str">
        <f t="shared" si="15"/>
        <v>0.35 ACHn</v>
      </c>
      <c r="G364" s="325" t="str">
        <f t="shared" si="15"/>
        <v>0.20 ACHn</v>
      </c>
      <c r="H364" s="325" t="str">
        <f t="shared" si="15"/>
        <v>Heating Zone 2</v>
      </c>
      <c r="I364" s="325" t="str">
        <f t="shared" si="15"/>
        <v>Infiltration Reduction - 0.35 ACHn to 0.20 ACHn - Heating Zone 2</v>
      </c>
      <c r="J364" s="325" t="s">
        <v>924</v>
      </c>
      <c r="K364" s="293">
        <f>Results!L90</f>
        <v>0</v>
      </c>
      <c r="L364" s="219">
        <v>0</v>
      </c>
    </row>
    <row r="365" spans="1:12" ht="15">
      <c r="A365" s="27" t="s">
        <v>1006</v>
      </c>
      <c r="B365" s="325" t="str">
        <f t="shared" si="15"/>
        <v>DuctT10</v>
      </c>
      <c r="C365" s="325" t="str">
        <f t="shared" si="15"/>
        <v>DuctTightness10</v>
      </c>
      <c r="D365" s="325" t="str">
        <f t="shared" si="15"/>
        <v>DuctTightness</v>
      </c>
      <c r="E365" s="325">
        <f t="shared" si="15"/>
        <v>10</v>
      </c>
      <c r="F365" s="325" t="str">
        <f t="shared" si="15"/>
        <v>Std-crawl</v>
      </c>
      <c r="G365" s="325" t="str">
        <f t="shared" si="15"/>
        <v>PTCS-crawl</v>
      </c>
      <c r="H365" s="325" t="str">
        <f t="shared" si="15"/>
        <v>Heating Zone 2</v>
      </c>
      <c r="I365" s="325" t="str">
        <f t="shared" si="15"/>
        <v>DuctTightness - Std-crawl to PTCS-crawl - Heating Zone 2</v>
      </c>
      <c r="J365" s="325" t="s">
        <v>924</v>
      </c>
      <c r="K365" s="295">
        <f>Results!L91</f>
        <v>348.80462069499646</v>
      </c>
      <c r="L365" s="219">
        <v>0</v>
      </c>
    </row>
    <row r="366" spans="1:12" ht="15">
      <c r="A366" s="27" t="s">
        <v>1007</v>
      </c>
      <c r="B366" s="325" t="str">
        <f t="shared" si="15"/>
        <v>DuctI10</v>
      </c>
      <c r="C366" s="325" t="str">
        <f t="shared" si="15"/>
        <v>DuctInsulation10</v>
      </c>
      <c r="D366" s="325" t="str">
        <f t="shared" si="15"/>
        <v>DuctInsulation</v>
      </c>
      <c r="E366" s="325">
        <f t="shared" si="15"/>
        <v>10</v>
      </c>
      <c r="F366" s="325" t="str">
        <f t="shared" si="15"/>
        <v>R-0</v>
      </c>
      <c r="G366" s="325" t="str">
        <f t="shared" si="15"/>
        <v>R-4.2</v>
      </c>
      <c r="H366" s="325" t="str">
        <f t="shared" si="15"/>
        <v>Heating Zone 2</v>
      </c>
      <c r="I366" s="325" t="str">
        <f t="shared" si="15"/>
        <v>DuctInsulation - R-0 to R-4.2 - Heating Zone 2</v>
      </c>
      <c r="J366" s="325" t="s">
        <v>924</v>
      </c>
      <c r="K366" s="299">
        <f>Results!L92</f>
        <v>100.25957319499742</v>
      </c>
      <c r="L366" s="219">
        <v>0</v>
      </c>
    </row>
    <row r="367" spans="1:12" ht="15">
      <c r="A367" s="27" t="s">
        <v>1008</v>
      </c>
      <c r="B367" s="325" t="str">
        <f t="shared" si="15"/>
        <v>DuctI11</v>
      </c>
      <c r="C367" s="325" t="str">
        <f t="shared" si="15"/>
        <v>DuctInsulation11</v>
      </c>
      <c r="D367" s="325" t="str">
        <f t="shared" si="15"/>
        <v>DuctInsulation</v>
      </c>
      <c r="E367" s="325">
        <f t="shared" si="15"/>
        <v>11</v>
      </c>
      <c r="F367" s="325" t="str">
        <f t="shared" si="15"/>
        <v>R-0</v>
      </c>
      <c r="G367" s="325" t="str">
        <f t="shared" si="15"/>
        <v>R-11</v>
      </c>
      <c r="H367" s="325" t="str">
        <f t="shared" si="15"/>
        <v>Heating Zone 2</v>
      </c>
      <c r="I367" s="325" t="str">
        <f t="shared" si="15"/>
        <v>DuctInsulation - R-0 to R-11 - Heating Zone 2</v>
      </c>
      <c r="J367" s="325" t="s">
        <v>924</v>
      </c>
      <c r="K367" s="301">
        <f>Results!L93</f>
        <v>137.93784164999633</v>
      </c>
      <c r="L367" s="219">
        <v>0</v>
      </c>
    </row>
    <row r="368" spans="1:12" ht="15">
      <c r="A368" s="27" t="s">
        <v>1009</v>
      </c>
      <c r="B368" s="325" t="str">
        <f t="shared" si="15"/>
        <v>DuctI12</v>
      </c>
      <c r="C368" s="325" t="str">
        <f t="shared" si="15"/>
        <v>DuctInsulation12</v>
      </c>
      <c r="D368" s="325" t="str">
        <f t="shared" si="15"/>
        <v>DuctInsulation</v>
      </c>
      <c r="E368" s="325">
        <f t="shared" si="15"/>
        <v>12</v>
      </c>
      <c r="F368" s="325" t="str">
        <f t="shared" si="15"/>
        <v>R-4.2</v>
      </c>
      <c r="G368" s="325" t="str">
        <f t="shared" si="15"/>
        <v>R-11</v>
      </c>
      <c r="H368" s="325" t="str">
        <f t="shared" si="15"/>
        <v>Heating Zone 2</v>
      </c>
      <c r="I368" s="325" t="str">
        <f t="shared" si="15"/>
        <v>DuctInsulation - R-4.2 to R-11 - Heating Zone 2</v>
      </c>
      <c r="J368" s="325" t="s">
        <v>924</v>
      </c>
      <c r="K368" s="303">
        <f>Results!L94</f>
        <v>37.678268454998914</v>
      </c>
      <c r="L368" s="219">
        <v>0</v>
      </c>
    </row>
    <row r="369" spans="1:12" ht="15">
      <c r="A369" s="27" t="s">
        <v>1010</v>
      </c>
      <c r="B369" s="325" t="str">
        <f t="shared" si="15"/>
        <v>HeatP10</v>
      </c>
      <c r="C369" s="325" t="str">
        <f t="shared" si="15"/>
        <v>HeatPump10</v>
      </c>
      <c r="D369" s="325" t="str">
        <f t="shared" si="15"/>
        <v>HeatPump</v>
      </c>
      <c r="E369" s="325">
        <f t="shared" si="15"/>
        <v>10</v>
      </c>
      <c r="F369" s="325" t="str">
        <f t="shared" si="15"/>
        <v>7.7/13</v>
      </c>
      <c r="G369" s="325" t="str">
        <f t="shared" si="15"/>
        <v>8.5/13</v>
      </c>
      <c r="H369" s="325" t="str">
        <f t="shared" si="15"/>
        <v>Heating Zone 2</v>
      </c>
      <c r="I369" s="325" t="str">
        <f t="shared" si="15"/>
        <v>HeatPump Upgrade - 7.7/13 to 8.5/13 - Heating Zone 2</v>
      </c>
      <c r="J369" s="325" t="s">
        <v>924</v>
      </c>
      <c r="K369" s="301">
        <f>Results!L95</f>
        <v>0</v>
      </c>
      <c r="L369" s="219">
        <v>0</v>
      </c>
    </row>
    <row r="370" spans="1:12" ht="15">
      <c r="A370" s="27" t="s">
        <v>1011</v>
      </c>
      <c r="B370" s="325" t="str">
        <f t="shared" si="15"/>
        <v>HeatP11</v>
      </c>
      <c r="C370" s="325" t="str">
        <f t="shared" si="15"/>
        <v>HeatPump11</v>
      </c>
      <c r="D370" s="325" t="str">
        <f t="shared" si="15"/>
        <v>HeatPump</v>
      </c>
      <c r="E370" s="325">
        <f t="shared" si="15"/>
        <v>11</v>
      </c>
      <c r="F370" s="325" t="str">
        <f t="shared" si="15"/>
        <v>7.7/13</v>
      </c>
      <c r="G370" s="325" t="str">
        <f t="shared" si="15"/>
        <v>9.0/14</v>
      </c>
      <c r="H370" s="325" t="str">
        <f t="shared" si="15"/>
        <v>Heating Zone 2</v>
      </c>
      <c r="I370" s="325" t="str">
        <f t="shared" si="15"/>
        <v>HeatPump Upgrade - 7.7/13 to 9.0/14 - Heating Zone 2</v>
      </c>
      <c r="J370" s="325" t="s">
        <v>924</v>
      </c>
      <c r="K370" s="301">
        <f>Results!L96</f>
        <v>0</v>
      </c>
      <c r="L370" s="219">
        <v>0</v>
      </c>
    </row>
    <row r="371" spans="1:12" ht="15">
      <c r="A371" s="27" t="s">
        <v>1012</v>
      </c>
      <c r="B371" s="325" t="str">
        <f t="shared" si="15"/>
        <v>HeatP12</v>
      </c>
      <c r="C371" s="325" t="str">
        <f t="shared" si="15"/>
        <v>HeatPump12</v>
      </c>
      <c r="D371" s="325" t="str">
        <f t="shared" si="15"/>
        <v>HeatPump</v>
      </c>
      <c r="E371" s="325">
        <f t="shared" si="15"/>
        <v>12</v>
      </c>
      <c r="F371" s="325" t="str">
        <f t="shared" si="15"/>
        <v>7.7/13</v>
      </c>
      <c r="G371" s="325" t="str">
        <f t="shared" si="15"/>
        <v>8.2/13</v>
      </c>
      <c r="H371" s="325" t="str">
        <f t="shared" si="15"/>
        <v>Heating Zone 2</v>
      </c>
      <c r="I371" s="325" t="str">
        <f t="shared" si="15"/>
        <v>HeatPump Upgrade - 7.7/13 to 8.2/13 - Heating Zone 2</v>
      </c>
      <c r="J371" s="325" t="s">
        <v>924</v>
      </c>
      <c r="K371" s="301">
        <f>Results!L97</f>
        <v>0</v>
      </c>
      <c r="L371" s="219">
        <v>0</v>
      </c>
    </row>
    <row r="372" spans="1:12" ht="15.75" thickBot="1">
      <c r="A372" s="27" t="s">
        <v>1013</v>
      </c>
      <c r="B372" s="325" t="str">
        <f t="shared" si="15"/>
        <v>HPCnt10</v>
      </c>
      <c r="C372" s="325" t="str">
        <f t="shared" si="15"/>
        <v>HPCntrls10</v>
      </c>
      <c r="D372" s="325" t="str">
        <f t="shared" si="15"/>
        <v>HPCntrls</v>
      </c>
      <c r="E372" s="325">
        <f t="shared" si="15"/>
        <v>10</v>
      </c>
      <c r="F372" s="325" t="str">
        <f t="shared" si="15"/>
        <v>Standard</v>
      </c>
      <c r="G372" s="325" t="str">
        <f t="shared" si="15"/>
        <v>PTCS</v>
      </c>
      <c r="H372" s="325" t="str">
        <f t="shared" si="15"/>
        <v>Heating Zone 2</v>
      </c>
      <c r="I372" s="325" t="str">
        <f t="shared" si="15"/>
        <v>HPCntrls Upgrade - Standard to PTCS - Heating Zone 2</v>
      </c>
      <c r="J372" s="325" t="s">
        <v>924</v>
      </c>
      <c r="K372" s="318">
        <f>Results!L98</f>
        <v>0</v>
      </c>
      <c r="L372" s="219">
        <v>0</v>
      </c>
    </row>
    <row r="373" spans="1:12" ht="15">
      <c r="A373" s="27" t="s">
        <v>1014</v>
      </c>
      <c r="B373" s="325" t="str">
        <f t="shared" si="15"/>
        <v>Walls10</v>
      </c>
      <c r="C373" s="325" t="str">
        <f t="shared" si="15"/>
        <v>Walls10</v>
      </c>
      <c r="D373" s="325" t="str">
        <f t="shared" si="15"/>
        <v>Walls</v>
      </c>
      <c r="E373" s="325">
        <f t="shared" si="15"/>
        <v>10</v>
      </c>
      <c r="F373" s="325" t="str">
        <f t="shared" si="15"/>
        <v>R-0</v>
      </c>
      <c r="G373" s="325" t="str">
        <f t="shared" si="15"/>
        <v>R-11</v>
      </c>
      <c r="H373" s="325" t="str">
        <f t="shared" si="15"/>
        <v>Heating Zone 3</v>
      </c>
      <c r="I373" s="325" t="str">
        <f t="shared" si="15"/>
        <v>Multi Family Weatherization - Insulate Walls - R-0 to R-11 - Heating Zone 3</v>
      </c>
      <c r="J373" s="325" t="s">
        <v>924</v>
      </c>
      <c r="K373" s="235">
        <f>Results!L99</f>
        <v>2.1631987251147935</v>
      </c>
      <c r="L373" s="219">
        <v>0</v>
      </c>
    </row>
    <row r="374" spans="1:12" ht="15">
      <c r="A374" s="27" t="s">
        <v>1015</v>
      </c>
      <c r="B374" s="325" t="str">
        <f t="shared" si="15"/>
        <v>BGWal10</v>
      </c>
      <c r="C374" s="325" t="str">
        <f t="shared" si="15"/>
        <v>BGWalls10</v>
      </c>
      <c r="D374" s="325" t="str">
        <f t="shared" si="15"/>
        <v>BGWalls</v>
      </c>
      <c r="E374" s="325">
        <f t="shared" si="15"/>
        <v>10</v>
      </c>
      <c r="F374" s="325" t="str">
        <f t="shared" si="15"/>
        <v>R-0</v>
      </c>
      <c r="G374" s="325" t="str">
        <f t="shared" si="15"/>
        <v>R-11</v>
      </c>
      <c r="H374" s="325" t="str">
        <f t="shared" si="15"/>
        <v>Heating Zone 3</v>
      </c>
      <c r="I374" s="325" t="str">
        <f t="shared" si="15"/>
        <v>Multi Family Weatherization - Insulate BGWalls - R-0 to R-11 - Heating Zone 3</v>
      </c>
      <c r="J374" s="325" t="s">
        <v>924</v>
      </c>
      <c r="K374" s="242">
        <f>Results!L100</f>
        <v>0</v>
      </c>
      <c r="L374" s="219">
        <v>0</v>
      </c>
    </row>
    <row r="375" spans="1:12" ht="15">
      <c r="A375" s="27" t="s">
        <v>1016</v>
      </c>
      <c r="B375" s="325" t="str">
        <f t="shared" si="15"/>
        <v>Floor10</v>
      </c>
      <c r="C375" s="325" t="str">
        <f t="shared" si="15"/>
        <v>Floors10</v>
      </c>
      <c r="D375" s="325" t="str">
        <f t="shared" si="15"/>
        <v>Floors</v>
      </c>
      <c r="E375" s="325">
        <f t="shared" si="15"/>
        <v>10</v>
      </c>
      <c r="F375" s="325" t="str">
        <f t="shared" si="15"/>
        <v>R-0</v>
      </c>
      <c r="G375" s="325" t="str">
        <f t="shared" si="15"/>
        <v>R-19</v>
      </c>
      <c r="H375" s="325" t="str">
        <f t="shared" si="15"/>
        <v>Heating Zone 3</v>
      </c>
      <c r="I375" s="325" t="str">
        <f t="shared" si="15"/>
        <v>Multi Family Weatherization - Insulate Floors - R-0 to R-19 - Heating Zone 3</v>
      </c>
      <c r="J375" s="325" t="s">
        <v>924</v>
      </c>
      <c r="K375" s="247">
        <f>Results!L101</f>
        <v>0.82437550182887731</v>
      </c>
      <c r="L375" s="219">
        <v>0</v>
      </c>
    </row>
    <row r="376" spans="1:12" ht="15">
      <c r="A376" s="27" t="s">
        <v>1017</v>
      </c>
      <c r="B376" s="325" t="str">
        <f t="shared" si="15"/>
        <v>Floor11</v>
      </c>
      <c r="C376" s="325" t="str">
        <f t="shared" si="15"/>
        <v>Floors11</v>
      </c>
      <c r="D376" s="325" t="str">
        <f t="shared" si="15"/>
        <v>Floors</v>
      </c>
      <c r="E376" s="325">
        <f t="shared" si="15"/>
        <v>11</v>
      </c>
      <c r="F376" s="325" t="str">
        <f t="shared" si="15"/>
        <v>R-0</v>
      </c>
      <c r="G376" s="325" t="str">
        <f t="shared" si="15"/>
        <v>R-25</v>
      </c>
      <c r="H376" s="325" t="str">
        <f t="shared" si="15"/>
        <v>Heating Zone 3</v>
      </c>
      <c r="I376" s="325" t="str">
        <f t="shared" si="15"/>
        <v>Multi Family Weatherization - Insulate Floors - R-0 to R-25 - Heating Zone 3</v>
      </c>
      <c r="J376" s="325" t="s">
        <v>924</v>
      </c>
      <c r="K376" s="256">
        <f>Results!L102</f>
        <v>0.94690606218181939</v>
      </c>
      <c r="L376" s="219">
        <v>0</v>
      </c>
    </row>
    <row r="377" spans="1:12" ht="15">
      <c r="A377" s="27" t="s">
        <v>1018</v>
      </c>
      <c r="B377" s="325" t="str">
        <f t="shared" si="15"/>
        <v>Floor12</v>
      </c>
      <c r="C377" s="325" t="str">
        <f t="shared" si="15"/>
        <v>Floors12</v>
      </c>
      <c r="D377" s="325" t="str">
        <f t="shared" si="15"/>
        <v>Floors</v>
      </c>
      <c r="E377" s="325">
        <f t="shared" si="15"/>
        <v>12</v>
      </c>
      <c r="F377" s="325" t="str">
        <f t="shared" si="15"/>
        <v>R-0</v>
      </c>
      <c r="G377" s="325" t="str">
        <f t="shared" si="15"/>
        <v>R-30</v>
      </c>
      <c r="H377" s="325" t="str">
        <f t="shared" si="15"/>
        <v>Heating Zone 3</v>
      </c>
      <c r="I377" s="325" t="str">
        <f t="shared" si="15"/>
        <v>Multi Family Weatherization - Insulate Floors - R-0 to R-30 - Heating Zone 3</v>
      </c>
      <c r="J377" s="325" t="s">
        <v>924</v>
      </c>
      <c r="K377" s="247">
        <f>Results!L103</f>
        <v>1.0765310108930493</v>
      </c>
      <c r="L377" s="219">
        <v>0</v>
      </c>
    </row>
    <row r="378" spans="1:12" ht="15">
      <c r="A378" s="27" t="s">
        <v>1019</v>
      </c>
      <c r="B378" s="325" t="str">
        <f t="shared" ref="B378:I393" si="16">B240</f>
        <v>Floor13</v>
      </c>
      <c r="C378" s="325" t="str">
        <f t="shared" si="16"/>
        <v>Floors13</v>
      </c>
      <c r="D378" s="325" t="str">
        <f t="shared" si="16"/>
        <v>Floors</v>
      </c>
      <c r="E378" s="325">
        <f t="shared" si="16"/>
        <v>13</v>
      </c>
      <c r="F378" s="325" t="str">
        <f t="shared" si="16"/>
        <v>R-0</v>
      </c>
      <c r="G378" s="325" t="str">
        <f t="shared" si="16"/>
        <v>R-38</v>
      </c>
      <c r="H378" s="325" t="str">
        <f t="shared" si="16"/>
        <v>Heating Zone 3</v>
      </c>
      <c r="I378" s="325" t="str">
        <f t="shared" si="16"/>
        <v>Multi Family Weatherization - Insulate Floors - R-0 to R-38 - Heating Zone 3</v>
      </c>
      <c r="J378" s="325" t="s">
        <v>924</v>
      </c>
      <c r="K378" s="256">
        <f>Results!L104</f>
        <v>1.1110958556657757</v>
      </c>
      <c r="L378" s="219">
        <v>0</v>
      </c>
    </row>
    <row r="379" spans="1:12" ht="15">
      <c r="A379" s="27" t="s">
        <v>1020</v>
      </c>
      <c r="B379" s="325" t="str">
        <f t="shared" si="16"/>
        <v>Floor14</v>
      </c>
      <c r="C379" s="325" t="str">
        <f t="shared" si="16"/>
        <v>Floors14</v>
      </c>
      <c r="D379" s="325" t="str">
        <f t="shared" si="16"/>
        <v>Floors</v>
      </c>
      <c r="E379" s="325">
        <f t="shared" si="16"/>
        <v>14</v>
      </c>
      <c r="F379" s="325" t="str">
        <f t="shared" si="16"/>
        <v>R-19</v>
      </c>
      <c r="G379" s="325" t="str">
        <f t="shared" si="16"/>
        <v>R-25</v>
      </c>
      <c r="H379" s="325" t="str">
        <f t="shared" si="16"/>
        <v>Heating Zone 3</v>
      </c>
      <c r="I379" s="325" t="str">
        <f t="shared" si="16"/>
        <v>Multi Family Weatherization - Insulate Floors - R-19 to R-25 - Heating Zone 3</v>
      </c>
      <c r="J379" s="325" t="s">
        <v>924</v>
      </c>
      <c r="K379" s="256">
        <f>Results!L105</f>
        <v>0.12253056035294209</v>
      </c>
      <c r="L379" s="219">
        <v>0</v>
      </c>
    </row>
    <row r="380" spans="1:12" ht="15">
      <c r="A380" s="27" t="s">
        <v>1021</v>
      </c>
      <c r="B380" s="325" t="str">
        <f t="shared" si="16"/>
        <v>Floor15</v>
      </c>
      <c r="C380" s="325" t="str">
        <f t="shared" si="16"/>
        <v>Floors15</v>
      </c>
      <c r="D380" s="325" t="str">
        <f t="shared" si="16"/>
        <v>Floors</v>
      </c>
      <c r="E380" s="325">
        <f t="shared" si="16"/>
        <v>15</v>
      </c>
      <c r="F380" s="325" t="str">
        <f t="shared" si="16"/>
        <v>R-19</v>
      </c>
      <c r="G380" s="325" t="str">
        <f t="shared" si="16"/>
        <v>R-30</v>
      </c>
      <c r="H380" s="325" t="str">
        <f t="shared" si="16"/>
        <v>Heating Zone 3</v>
      </c>
      <c r="I380" s="325" t="str">
        <f t="shared" si="16"/>
        <v>Multi Family Weatherization - Insulate Floors - R-19 to R-30 - Heating Zone 3</v>
      </c>
      <c r="J380" s="325" t="s">
        <v>924</v>
      </c>
      <c r="K380" s="247">
        <f>Results!L106</f>
        <v>0.25215550906417195</v>
      </c>
      <c r="L380" s="219">
        <v>0</v>
      </c>
    </row>
    <row r="381" spans="1:12" ht="15">
      <c r="A381" s="27" t="s">
        <v>1022</v>
      </c>
      <c r="B381" s="325" t="str">
        <f t="shared" si="16"/>
        <v>Floor16</v>
      </c>
      <c r="C381" s="325" t="str">
        <f t="shared" si="16"/>
        <v>Floors16</v>
      </c>
      <c r="D381" s="325" t="str">
        <f t="shared" si="16"/>
        <v>Floors</v>
      </c>
      <c r="E381" s="325">
        <f t="shared" si="16"/>
        <v>16</v>
      </c>
      <c r="F381" s="325" t="str">
        <f t="shared" si="16"/>
        <v>R-19</v>
      </c>
      <c r="G381" s="325" t="str">
        <f t="shared" si="16"/>
        <v>R-38</v>
      </c>
      <c r="H381" s="325" t="str">
        <f t="shared" si="16"/>
        <v>Heating Zone 3</v>
      </c>
      <c r="I381" s="325" t="str">
        <f t="shared" si="16"/>
        <v>Multi Family Weatherization - Insulate Floors - R-19 to R-38 - Heating Zone 3</v>
      </c>
      <c r="J381" s="325" t="s">
        <v>924</v>
      </c>
      <c r="K381" s="256">
        <f>Results!L107</f>
        <v>0.28672035383689848</v>
      </c>
      <c r="L381" s="219">
        <v>0</v>
      </c>
    </row>
    <row r="382" spans="1:12" ht="15">
      <c r="A382" s="27" t="s">
        <v>1023</v>
      </c>
      <c r="B382" s="325" t="str">
        <f t="shared" si="16"/>
        <v>Floor17</v>
      </c>
      <c r="C382" s="325" t="str">
        <f t="shared" si="16"/>
        <v>Floors17</v>
      </c>
      <c r="D382" s="325" t="str">
        <f t="shared" si="16"/>
        <v>Floors</v>
      </c>
      <c r="E382" s="325">
        <f t="shared" si="16"/>
        <v>17</v>
      </c>
      <c r="F382" s="325" t="str">
        <f t="shared" si="16"/>
        <v>R-11</v>
      </c>
      <c r="G382" s="325" t="str">
        <f t="shared" si="16"/>
        <v>R-30</v>
      </c>
      <c r="H382" s="325" t="str">
        <f t="shared" si="16"/>
        <v>Heating Zone 3</v>
      </c>
      <c r="I382" s="325" t="str">
        <f t="shared" si="16"/>
        <v>Multi Family Weatherization - Insulate Floors - R-11 to R-30 - Heating Zone 3</v>
      </c>
      <c r="J382" s="325" t="s">
        <v>924</v>
      </c>
      <c r="K382" s="256">
        <f>Results!L108</f>
        <v>2.3629964043983964</v>
      </c>
      <c r="L382" s="219">
        <v>0</v>
      </c>
    </row>
    <row r="383" spans="1:12" ht="15">
      <c r="A383" s="27" t="s">
        <v>1016</v>
      </c>
      <c r="B383" s="325" t="str">
        <f t="shared" si="16"/>
        <v>Floor18</v>
      </c>
      <c r="C383" s="325" t="str">
        <f t="shared" si="16"/>
        <v>Floors18</v>
      </c>
      <c r="D383" s="325" t="str">
        <f t="shared" si="16"/>
        <v>Floors</v>
      </c>
      <c r="E383" s="325">
        <f t="shared" si="16"/>
        <v>18</v>
      </c>
      <c r="F383" s="325" t="str">
        <f t="shared" si="16"/>
        <v>R-0</v>
      </c>
      <c r="G383" s="325" t="str">
        <f t="shared" si="16"/>
        <v>R-19</v>
      </c>
      <c r="H383" s="325" t="str">
        <f t="shared" si="16"/>
        <v>Heating Zone 3</v>
      </c>
      <c r="I383" s="325" t="str">
        <f t="shared" si="16"/>
        <v>Multi Family Weatherization - Insulate Floors - R-0 to R-19 - Heating Zone 3</v>
      </c>
      <c r="J383" s="325" t="s">
        <v>924</v>
      </c>
      <c r="K383" s="256">
        <f>Results!L109</f>
        <v>0.82437550182887731</v>
      </c>
      <c r="L383" s="219">
        <v>0</v>
      </c>
    </row>
    <row r="384" spans="1:12" ht="15">
      <c r="A384" s="27" t="s">
        <v>1024</v>
      </c>
      <c r="B384" s="325" t="str">
        <f t="shared" si="16"/>
        <v>Ceili10</v>
      </c>
      <c r="C384" s="325" t="str">
        <f t="shared" si="16"/>
        <v>Ceiling10</v>
      </c>
      <c r="D384" s="325" t="str">
        <f t="shared" si="16"/>
        <v>Ceiling</v>
      </c>
      <c r="E384" s="325">
        <f t="shared" si="16"/>
        <v>10</v>
      </c>
      <c r="F384" s="325" t="str">
        <f t="shared" si="16"/>
        <v>R-0</v>
      </c>
      <c r="G384" s="325" t="str">
        <f t="shared" si="16"/>
        <v>R-19</v>
      </c>
      <c r="H384" s="325" t="str">
        <f t="shared" si="16"/>
        <v>Heating Zone 3</v>
      </c>
      <c r="I384" s="325" t="str">
        <f t="shared" si="16"/>
        <v>Multi Family Weatherization - Insulate Attic - R-0 to R-19 - Heating Zone 3</v>
      </c>
      <c r="J384" s="325" t="s">
        <v>924</v>
      </c>
      <c r="K384" s="283">
        <f>Results!L110</f>
        <v>0.43941515209318205</v>
      </c>
      <c r="L384" s="219">
        <v>0</v>
      </c>
    </row>
    <row r="385" spans="1:12" ht="15">
      <c r="A385" s="27" t="s">
        <v>1025</v>
      </c>
      <c r="B385" s="325" t="str">
        <f t="shared" si="16"/>
        <v>Ceili11</v>
      </c>
      <c r="C385" s="325" t="str">
        <f t="shared" si="16"/>
        <v>Ceiling11</v>
      </c>
      <c r="D385" s="325" t="str">
        <f t="shared" si="16"/>
        <v>Ceiling</v>
      </c>
      <c r="E385" s="325">
        <f t="shared" si="16"/>
        <v>11</v>
      </c>
      <c r="F385" s="325" t="str">
        <f t="shared" si="16"/>
        <v>R-0</v>
      </c>
      <c r="G385" s="325" t="str">
        <f t="shared" si="16"/>
        <v>R-38</v>
      </c>
      <c r="H385" s="325" t="str">
        <f t="shared" si="16"/>
        <v>Heating Zone 3</v>
      </c>
      <c r="I385" s="325" t="str">
        <f t="shared" si="16"/>
        <v>Multi Family Weatherization - Insulate Attic - R-0 to R-38 - Heating Zone 3</v>
      </c>
      <c r="J385" s="325" t="s">
        <v>924</v>
      </c>
      <c r="K385" s="247">
        <f>Results!L111</f>
        <v>0.59990572675681908</v>
      </c>
      <c r="L385" s="219">
        <v>0</v>
      </c>
    </row>
    <row r="386" spans="1:12" ht="15">
      <c r="A386" s="27" t="s">
        <v>1026</v>
      </c>
      <c r="B386" s="325" t="str">
        <f t="shared" si="16"/>
        <v>Ceili12</v>
      </c>
      <c r="C386" s="325" t="str">
        <f t="shared" si="16"/>
        <v>Ceiling12</v>
      </c>
      <c r="D386" s="325" t="str">
        <f t="shared" si="16"/>
        <v>Ceiling</v>
      </c>
      <c r="E386" s="325">
        <f t="shared" si="16"/>
        <v>12</v>
      </c>
      <c r="F386" s="325" t="str">
        <f t="shared" si="16"/>
        <v>R-0</v>
      </c>
      <c r="G386" s="325" t="str">
        <f t="shared" si="16"/>
        <v>R-49</v>
      </c>
      <c r="H386" s="325" t="str">
        <f t="shared" si="16"/>
        <v>Heating Zone 3</v>
      </c>
      <c r="I386" s="325" t="str">
        <f t="shared" si="16"/>
        <v>Multi Family Weatherization - Insulate Attic - R-0 to R-49 - Heating Zone 3</v>
      </c>
      <c r="J386" s="325" t="s">
        <v>924</v>
      </c>
      <c r="K386" s="247">
        <f>Results!L112</f>
        <v>0.63720868576363709</v>
      </c>
      <c r="L386" s="219">
        <v>0</v>
      </c>
    </row>
    <row r="387" spans="1:12" ht="15">
      <c r="A387" s="27" t="s">
        <v>1027</v>
      </c>
      <c r="B387" s="325" t="str">
        <f t="shared" si="16"/>
        <v>Ceili13</v>
      </c>
      <c r="C387" s="325" t="str">
        <f t="shared" si="16"/>
        <v>Ceiling13</v>
      </c>
      <c r="D387" s="325" t="str">
        <f t="shared" si="16"/>
        <v>Ceiling</v>
      </c>
      <c r="E387" s="325">
        <f t="shared" si="16"/>
        <v>13</v>
      </c>
      <c r="F387" s="325" t="str">
        <f t="shared" si="16"/>
        <v>R-30</v>
      </c>
      <c r="G387" s="325" t="str">
        <f t="shared" si="16"/>
        <v>R-38</v>
      </c>
      <c r="H387" s="325" t="str">
        <f t="shared" si="16"/>
        <v>Heating Zone 3</v>
      </c>
      <c r="I387" s="325" t="str">
        <f t="shared" si="16"/>
        <v>Multi Family Weatherization - Insulate Attic - R-30 to R-38 - Heating Zone 3</v>
      </c>
      <c r="J387" s="325" t="s">
        <v>924</v>
      </c>
      <c r="K387" s="256">
        <f>Results!L113</f>
        <v>4.4247784520455233E-2</v>
      </c>
      <c r="L387" s="219">
        <v>0</v>
      </c>
    </row>
    <row r="388" spans="1:12" ht="15">
      <c r="A388" s="27" t="s">
        <v>1028</v>
      </c>
      <c r="B388" s="325" t="str">
        <f t="shared" si="16"/>
        <v>Ceili14</v>
      </c>
      <c r="C388" s="325" t="str">
        <f t="shared" si="16"/>
        <v>Ceiling14</v>
      </c>
      <c r="D388" s="325" t="str">
        <f t="shared" si="16"/>
        <v>Ceiling</v>
      </c>
      <c r="E388" s="325">
        <f t="shared" si="16"/>
        <v>14</v>
      </c>
      <c r="F388" s="325" t="str">
        <f t="shared" si="16"/>
        <v>R-30</v>
      </c>
      <c r="G388" s="325" t="str">
        <f t="shared" si="16"/>
        <v>R-49</v>
      </c>
      <c r="H388" s="325" t="str">
        <f t="shared" si="16"/>
        <v>Heating Zone 3</v>
      </c>
      <c r="I388" s="325" t="str">
        <f t="shared" si="16"/>
        <v>Multi Family Weatherization - Insulate Attic - R-30 to R-49 - Heating Zone 3</v>
      </c>
      <c r="J388" s="325" t="s">
        <v>924</v>
      </c>
      <c r="K388" s="256">
        <f>Results!L114</f>
        <v>8.1550743527273248E-2</v>
      </c>
      <c r="L388" s="219">
        <v>0</v>
      </c>
    </row>
    <row r="389" spans="1:12" ht="15">
      <c r="A389" s="27" t="s">
        <v>1029</v>
      </c>
      <c r="B389" s="325" t="str">
        <f t="shared" si="16"/>
        <v>Ceili15</v>
      </c>
      <c r="C389" s="325" t="str">
        <f t="shared" si="16"/>
        <v>Ceiling15</v>
      </c>
      <c r="D389" s="325" t="str">
        <f t="shared" si="16"/>
        <v>Ceiling</v>
      </c>
      <c r="E389" s="325">
        <f t="shared" si="16"/>
        <v>15</v>
      </c>
      <c r="F389" s="325" t="str">
        <f t="shared" si="16"/>
        <v>R-19</v>
      </c>
      <c r="G389" s="325" t="str">
        <f t="shared" si="16"/>
        <v>R-30</v>
      </c>
      <c r="H389" s="325" t="str">
        <f t="shared" si="16"/>
        <v>Heating Zone 3</v>
      </c>
      <c r="I389" s="325" t="str">
        <f t="shared" si="16"/>
        <v>Multi Family Weatherization - Insulate Attic - R-19 to R-30 - Heating Zone 3</v>
      </c>
      <c r="J389" s="325" t="s">
        <v>924</v>
      </c>
      <c r="K389" s="256">
        <f>Results!L115</f>
        <v>0.11624279014318187</v>
      </c>
      <c r="L389" s="219">
        <v>0</v>
      </c>
    </row>
    <row r="390" spans="1:12" ht="15">
      <c r="A390" s="27" t="s">
        <v>1030</v>
      </c>
      <c r="B390" s="325" t="str">
        <f t="shared" si="16"/>
        <v>Ceili16</v>
      </c>
      <c r="C390" s="325" t="str">
        <f t="shared" si="16"/>
        <v>Ceiling16</v>
      </c>
      <c r="D390" s="325" t="str">
        <f t="shared" si="16"/>
        <v>Ceiling</v>
      </c>
      <c r="E390" s="325">
        <f t="shared" si="16"/>
        <v>16</v>
      </c>
      <c r="F390" s="325" t="str">
        <f t="shared" si="16"/>
        <v>R-19</v>
      </c>
      <c r="G390" s="325" t="str">
        <f t="shared" si="16"/>
        <v>R-38</v>
      </c>
      <c r="H390" s="325" t="str">
        <f t="shared" si="16"/>
        <v>Heating Zone 3</v>
      </c>
      <c r="I390" s="325" t="str">
        <f t="shared" si="16"/>
        <v>Multi Family Weatherization - Insulate Attic - R-19 to R-38 - Heating Zone 3</v>
      </c>
      <c r="J390" s="325" t="s">
        <v>924</v>
      </c>
      <c r="K390" s="247">
        <f>Results!L116</f>
        <v>0.16049057466363709</v>
      </c>
      <c r="L390" s="219">
        <v>0</v>
      </c>
    </row>
    <row r="391" spans="1:12" ht="15">
      <c r="A391" s="27" t="s">
        <v>1031</v>
      </c>
      <c r="B391" s="325" t="str">
        <f t="shared" si="16"/>
        <v>Ceili17</v>
      </c>
      <c r="C391" s="325" t="str">
        <f t="shared" si="16"/>
        <v>Ceiling17</v>
      </c>
      <c r="D391" s="325" t="str">
        <f t="shared" si="16"/>
        <v>Ceiling</v>
      </c>
      <c r="E391" s="325">
        <f t="shared" si="16"/>
        <v>17</v>
      </c>
      <c r="F391" s="325" t="str">
        <f t="shared" si="16"/>
        <v>R-19</v>
      </c>
      <c r="G391" s="325" t="str">
        <f t="shared" si="16"/>
        <v>R-49</v>
      </c>
      <c r="H391" s="325" t="str">
        <f t="shared" si="16"/>
        <v>Heating Zone 3</v>
      </c>
      <c r="I391" s="325" t="str">
        <f t="shared" si="16"/>
        <v>Multi Family Weatherization - Insulate Attic - R-19 to R-49 - Heating Zone 3</v>
      </c>
      <c r="J391" s="325" t="s">
        <v>924</v>
      </c>
      <c r="K391" s="247">
        <f>Results!L117</f>
        <v>0.1977935336704551</v>
      </c>
      <c r="L391" s="219">
        <v>0</v>
      </c>
    </row>
    <row r="392" spans="1:12" ht="15">
      <c r="A392" s="27" t="s">
        <v>1032</v>
      </c>
      <c r="B392" s="325" t="str">
        <f t="shared" si="16"/>
        <v>Ceili18</v>
      </c>
      <c r="C392" s="325" t="str">
        <f t="shared" si="16"/>
        <v>Ceiling18</v>
      </c>
      <c r="D392" s="325" t="str">
        <f t="shared" si="16"/>
        <v>Ceiling</v>
      </c>
      <c r="E392" s="325">
        <f t="shared" si="16"/>
        <v>18</v>
      </c>
      <c r="F392" s="325" t="str">
        <f t="shared" si="16"/>
        <v>R-38</v>
      </c>
      <c r="G392" s="325" t="str">
        <f t="shared" si="16"/>
        <v>R-49</v>
      </c>
      <c r="H392" s="325" t="str">
        <f t="shared" si="16"/>
        <v>Heating Zone 3</v>
      </c>
      <c r="I392" s="325" t="str">
        <f t="shared" si="16"/>
        <v>Multi Family Weatherization - Insulate Attic - R-38 to R-49 - Heating Zone 3</v>
      </c>
      <c r="J392" s="325" t="s">
        <v>924</v>
      </c>
      <c r="K392" s="288">
        <f>Results!L118</f>
        <v>3.7302959006818015E-2</v>
      </c>
      <c r="L392" s="219">
        <v>0</v>
      </c>
    </row>
    <row r="393" spans="1:12" ht="15">
      <c r="A393" s="27" t="s">
        <v>1033</v>
      </c>
      <c r="B393" s="325" t="str">
        <f t="shared" si="16"/>
        <v>Windo10</v>
      </c>
      <c r="C393" s="325" t="str">
        <f t="shared" si="16"/>
        <v>Windows10</v>
      </c>
      <c r="D393" s="325" t="str">
        <f t="shared" si="16"/>
        <v>Windows</v>
      </c>
      <c r="E393" s="325">
        <f t="shared" si="16"/>
        <v>10</v>
      </c>
      <c r="F393" s="325" t="str">
        <f t="shared" si="16"/>
        <v>Class 85</v>
      </c>
      <c r="G393" s="325" t="str">
        <f t="shared" si="16"/>
        <v>Class 35</v>
      </c>
      <c r="H393" s="325" t="str">
        <f t="shared" si="16"/>
        <v>Heating Zone 3</v>
      </c>
      <c r="I393" s="325" t="str">
        <f t="shared" si="16"/>
        <v>Windows - Class 85 to Class 35 - Heating Zone 3</v>
      </c>
      <c r="J393" s="325" t="s">
        <v>924</v>
      </c>
      <c r="K393" s="256">
        <f>Results!L119</f>
        <v>-13.138803052332946</v>
      </c>
      <c r="L393" s="219">
        <v>0</v>
      </c>
    </row>
    <row r="394" spans="1:12" ht="15">
      <c r="A394" s="27" t="s">
        <v>1034</v>
      </c>
      <c r="B394" s="325" t="str">
        <f t="shared" ref="B394:I409" si="17">B256</f>
        <v>Windo11</v>
      </c>
      <c r="C394" s="325" t="str">
        <f t="shared" si="17"/>
        <v>Windows11</v>
      </c>
      <c r="D394" s="325" t="str">
        <f t="shared" si="17"/>
        <v>Windows</v>
      </c>
      <c r="E394" s="325">
        <f t="shared" si="17"/>
        <v>11</v>
      </c>
      <c r="F394" s="325" t="str">
        <f t="shared" si="17"/>
        <v>Class 85</v>
      </c>
      <c r="G394" s="325" t="str">
        <f t="shared" si="17"/>
        <v>Class 30</v>
      </c>
      <c r="H394" s="325" t="str">
        <f t="shared" si="17"/>
        <v>Heating Zone 3</v>
      </c>
      <c r="I394" s="325" t="str">
        <f t="shared" si="17"/>
        <v>Windows - Class 85 to Class 30 - Heating Zone 3</v>
      </c>
      <c r="J394" s="325" t="s">
        <v>924</v>
      </c>
      <c r="K394" s="256">
        <f>Results!L120</f>
        <v>-10.934300548416861</v>
      </c>
      <c r="L394" s="219">
        <v>0</v>
      </c>
    </row>
    <row r="395" spans="1:12" ht="15">
      <c r="A395" s="27" t="s">
        <v>1035</v>
      </c>
      <c r="B395" s="325" t="str">
        <f t="shared" si="17"/>
        <v>Windo12</v>
      </c>
      <c r="C395" s="325" t="str">
        <f t="shared" si="17"/>
        <v>Windows12</v>
      </c>
      <c r="D395" s="325" t="str">
        <f t="shared" si="17"/>
        <v>Windows</v>
      </c>
      <c r="E395" s="325">
        <f t="shared" si="17"/>
        <v>12</v>
      </c>
      <c r="F395" s="325" t="str">
        <f t="shared" si="17"/>
        <v>Class 85</v>
      </c>
      <c r="G395" s="325" t="str">
        <f t="shared" si="17"/>
        <v>Class 25</v>
      </c>
      <c r="H395" s="325" t="str">
        <f t="shared" si="17"/>
        <v>Heating Zone 3</v>
      </c>
      <c r="I395" s="325" t="str">
        <f t="shared" si="17"/>
        <v>Windows - Class 85 to Class 25 - Heating Zone 3</v>
      </c>
      <c r="J395" s="325" t="s">
        <v>924</v>
      </c>
      <c r="K395" s="256">
        <f>Results!L121</f>
        <v>0</v>
      </c>
      <c r="L395" s="219">
        <v>0</v>
      </c>
    </row>
    <row r="396" spans="1:12" ht="15">
      <c r="A396" s="27" t="s">
        <v>1036</v>
      </c>
      <c r="B396" s="325" t="str">
        <f t="shared" si="17"/>
        <v>Windo13</v>
      </c>
      <c r="C396" s="325" t="str">
        <f t="shared" si="17"/>
        <v>Windows13</v>
      </c>
      <c r="D396" s="325" t="str">
        <f t="shared" si="17"/>
        <v>Windows</v>
      </c>
      <c r="E396" s="325">
        <f t="shared" si="17"/>
        <v>13</v>
      </c>
      <c r="F396" s="325" t="str">
        <f t="shared" si="17"/>
        <v>Class 85</v>
      </c>
      <c r="G396" s="325" t="str">
        <f t="shared" si="17"/>
        <v>Class 20</v>
      </c>
      <c r="H396" s="325" t="str">
        <f t="shared" si="17"/>
        <v>Heating Zone 3</v>
      </c>
      <c r="I396" s="325" t="str">
        <f t="shared" si="17"/>
        <v>Windows - Class 85 to Class 20 - Heating Zone 3</v>
      </c>
      <c r="J396" s="325" t="s">
        <v>924</v>
      </c>
      <c r="K396" s="256">
        <f>Results!L122</f>
        <v>-6.7532827251709389</v>
      </c>
      <c r="L396" s="219">
        <v>0</v>
      </c>
    </row>
    <row r="397" spans="1:12" ht="15">
      <c r="A397" s="27" t="s">
        <v>1037</v>
      </c>
      <c r="B397" s="325" t="str">
        <f t="shared" si="17"/>
        <v>Windo14</v>
      </c>
      <c r="C397" s="325" t="str">
        <f t="shared" si="17"/>
        <v>Windows14</v>
      </c>
      <c r="D397" s="325" t="str">
        <f t="shared" si="17"/>
        <v>Windows</v>
      </c>
      <c r="E397" s="325">
        <f t="shared" si="17"/>
        <v>14</v>
      </c>
      <c r="F397" s="325" t="str">
        <f t="shared" si="17"/>
        <v>Class 85</v>
      </c>
      <c r="G397" s="325" t="str">
        <f t="shared" si="17"/>
        <v>Class 15</v>
      </c>
      <c r="H397" s="325" t="str">
        <f t="shared" si="17"/>
        <v>Heating Zone 3</v>
      </c>
      <c r="I397" s="325" t="str">
        <f t="shared" si="17"/>
        <v>Windows - Class 85 to Class 15 - Heating Zone 3</v>
      </c>
      <c r="J397" s="325" t="s">
        <v>924</v>
      </c>
      <c r="K397" s="256">
        <f>Results!L123</f>
        <v>-4.2747010017851572</v>
      </c>
      <c r="L397" s="219">
        <v>0</v>
      </c>
    </row>
    <row r="398" spans="1:12" ht="15">
      <c r="A398" s="27" t="s">
        <v>1038</v>
      </c>
      <c r="B398" s="325" t="str">
        <f t="shared" si="17"/>
        <v>Windo15</v>
      </c>
      <c r="C398" s="325" t="str">
        <f t="shared" si="17"/>
        <v>Windows15</v>
      </c>
      <c r="D398" s="325" t="str">
        <f t="shared" si="17"/>
        <v>Windows</v>
      </c>
      <c r="E398" s="325">
        <f t="shared" si="17"/>
        <v>15</v>
      </c>
      <c r="F398" s="325" t="str">
        <f t="shared" si="17"/>
        <v>Class 50</v>
      </c>
      <c r="G398" s="325" t="str">
        <f t="shared" si="17"/>
        <v>Class 35</v>
      </c>
      <c r="H398" s="325" t="str">
        <f t="shared" si="17"/>
        <v>Heating Zone 3</v>
      </c>
      <c r="I398" s="325" t="str">
        <f t="shared" si="17"/>
        <v>Windows - Class 50 to Class 35 - Heating Zone 3</v>
      </c>
      <c r="J398" s="325" t="s">
        <v>924</v>
      </c>
      <c r="K398" s="256">
        <f>Results!L124</f>
        <v>2.6302743183566415</v>
      </c>
      <c r="L398" s="219">
        <v>0</v>
      </c>
    </row>
    <row r="399" spans="1:12" ht="15">
      <c r="A399" s="27" t="s">
        <v>1039</v>
      </c>
      <c r="B399" s="325" t="str">
        <f t="shared" si="17"/>
        <v>Windo16</v>
      </c>
      <c r="C399" s="325" t="str">
        <f t="shared" si="17"/>
        <v>Windows16</v>
      </c>
      <c r="D399" s="325" t="str">
        <f t="shared" si="17"/>
        <v>Windows</v>
      </c>
      <c r="E399" s="325">
        <f t="shared" si="17"/>
        <v>16</v>
      </c>
      <c r="F399" s="325" t="str">
        <f t="shared" si="17"/>
        <v>Class 50</v>
      </c>
      <c r="G399" s="325" t="str">
        <f t="shared" si="17"/>
        <v>Class 30</v>
      </c>
      <c r="H399" s="325" t="str">
        <f t="shared" si="17"/>
        <v>Heating Zone 3</v>
      </c>
      <c r="I399" s="325" t="str">
        <f t="shared" si="17"/>
        <v>Windows - Class 50 to Class 30 - Heating Zone 3</v>
      </c>
      <c r="J399" s="325" t="s">
        <v>924</v>
      </c>
      <c r="K399" s="256">
        <f>Results!L125</f>
        <v>4.8347768222727279</v>
      </c>
      <c r="L399" s="219">
        <v>0</v>
      </c>
    </row>
    <row r="400" spans="1:12" ht="15">
      <c r="A400" s="27" t="s">
        <v>1040</v>
      </c>
      <c r="B400" s="325" t="str">
        <f t="shared" si="17"/>
        <v>Windo17</v>
      </c>
      <c r="C400" s="325" t="str">
        <f t="shared" si="17"/>
        <v>Windows17</v>
      </c>
      <c r="D400" s="325" t="str">
        <f t="shared" si="17"/>
        <v>Windows</v>
      </c>
      <c r="E400" s="325">
        <f t="shared" si="17"/>
        <v>17</v>
      </c>
      <c r="F400" s="325" t="str">
        <f t="shared" si="17"/>
        <v>Class 50</v>
      </c>
      <c r="G400" s="325" t="str">
        <f t="shared" si="17"/>
        <v>Class 25</v>
      </c>
      <c r="H400" s="325" t="str">
        <f t="shared" si="17"/>
        <v>Heating Zone 3</v>
      </c>
      <c r="I400" s="325" t="str">
        <f t="shared" si="17"/>
        <v>Windows - Class 50 to Class 25 - Heating Zone 3</v>
      </c>
      <c r="J400" s="325" t="s">
        <v>924</v>
      </c>
      <c r="K400" s="256">
        <f>Results!L126</f>
        <v>15.769077370689587</v>
      </c>
      <c r="L400" s="219">
        <v>0</v>
      </c>
    </row>
    <row r="401" spans="1:12" ht="15">
      <c r="A401" s="27" t="s">
        <v>1041</v>
      </c>
      <c r="B401" s="325" t="str">
        <f t="shared" si="17"/>
        <v>Windo18</v>
      </c>
      <c r="C401" s="325" t="str">
        <f t="shared" si="17"/>
        <v>Windows18</v>
      </c>
      <c r="D401" s="325" t="str">
        <f t="shared" si="17"/>
        <v>Windows</v>
      </c>
      <c r="E401" s="325">
        <f t="shared" si="17"/>
        <v>18</v>
      </c>
      <c r="F401" s="325" t="str">
        <f t="shared" si="17"/>
        <v>Class 50</v>
      </c>
      <c r="G401" s="325" t="str">
        <f t="shared" si="17"/>
        <v>Class 20</v>
      </c>
      <c r="H401" s="325" t="str">
        <f t="shared" si="17"/>
        <v>Heating Zone 3</v>
      </c>
      <c r="I401" s="325" t="str">
        <f t="shared" si="17"/>
        <v>Windows - Class 50 to Class 20 - Heating Zone 3</v>
      </c>
      <c r="J401" s="325" t="s">
        <v>924</v>
      </c>
      <c r="K401" s="256">
        <f>Results!L127</f>
        <v>9.015794645518648</v>
      </c>
      <c r="L401" s="219">
        <v>0</v>
      </c>
    </row>
    <row r="402" spans="1:12" ht="15">
      <c r="A402" s="27" t="s">
        <v>1042</v>
      </c>
      <c r="B402" s="325" t="str">
        <f t="shared" si="17"/>
        <v>Windo19</v>
      </c>
      <c r="C402" s="325" t="str">
        <f t="shared" si="17"/>
        <v>Windows19</v>
      </c>
      <c r="D402" s="325" t="str">
        <f t="shared" si="17"/>
        <v>Windows</v>
      </c>
      <c r="E402" s="325">
        <f t="shared" si="17"/>
        <v>19</v>
      </c>
      <c r="F402" s="325" t="str">
        <f t="shared" si="17"/>
        <v>Class 35</v>
      </c>
      <c r="G402" s="325" t="str">
        <f t="shared" si="17"/>
        <v>Class 22</v>
      </c>
      <c r="H402" s="325" t="str">
        <f t="shared" si="17"/>
        <v>Heating Zone 3</v>
      </c>
      <c r="I402" s="325" t="str">
        <f t="shared" si="17"/>
        <v>Windows - Class 35 to Class 22 - Heating Zone 3</v>
      </c>
      <c r="J402" s="325" t="s">
        <v>924</v>
      </c>
      <c r="K402" s="256">
        <f>Results!L128</f>
        <v>5.4776660970901325</v>
      </c>
      <c r="L402" s="219">
        <v>0</v>
      </c>
    </row>
    <row r="403" spans="1:12" ht="15">
      <c r="A403" s="27" t="s">
        <v>1043</v>
      </c>
      <c r="B403" s="325" t="str">
        <f t="shared" si="17"/>
        <v>Windo20</v>
      </c>
      <c r="C403" s="325" t="str">
        <f t="shared" si="17"/>
        <v>Windows20</v>
      </c>
      <c r="D403" s="325" t="str">
        <f t="shared" si="17"/>
        <v>Windows</v>
      </c>
      <c r="E403" s="325">
        <f t="shared" si="17"/>
        <v>20</v>
      </c>
      <c r="F403" s="325" t="str">
        <f t="shared" si="17"/>
        <v>Single Pane</v>
      </c>
      <c r="G403" s="325" t="str">
        <f t="shared" si="17"/>
        <v>Class 22</v>
      </c>
      <c r="H403" s="325" t="str">
        <f t="shared" si="17"/>
        <v>Heating Zone 3</v>
      </c>
      <c r="I403" s="325" t="str">
        <f t="shared" si="17"/>
        <v>Windows - Single Pane to Class 22 - Heating Zone 3</v>
      </c>
      <c r="J403" s="325" t="s">
        <v>924</v>
      </c>
      <c r="K403" s="256">
        <f>Results!L129</f>
        <v>39.377109278117715</v>
      </c>
      <c r="L403" s="219">
        <v>0</v>
      </c>
    </row>
    <row r="404" spans="1:12" ht="15">
      <c r="A404" s="27" t="s">
        <v>1044</v>
      </c>
      <c r="B404" s="325" t="str">
        <f t="shared" si="17"/>
        <v>Windo21</v>
      </c>
      <c r="C404" s="325" t="str">
        <f t="shared" si="17"/>
        <v>Windows21</v>
      </c>
      <c r="D404" s="325" t="str">
        <f t="shared" si="17"/>
        <v>Windows</v>
      </c>
      <c r="E404" s="325">
        <f t="shared" si="17"/>
        <v>21</v>
      </c>
      <c r="F404" s="325" t="str">
        <f t="shared" si="17"/>
        <v>Double Pane</v>
      </c>
      <c r="G404" s="325" t="str">
        <f t="shared" si="17"/>
        <v>Class 22</v>
      </c>
      <c r="H404" s="325" t="str">
        <f t="shared" si="17"/>
        <v>Heating Zone 3</v>
      </c>
      <c r="I404" s="325" t="str">
        <f t="shared" si="17"/>
        <v>Windows - Double Pane to Class 22 - Heating Zone 3</v>
      </c>
      <c r="J404" s="325" t="s">
        <v>924</v>
      </c>
      <c r="K404" s="256">
        <f>Results!L130</f>
        <v>23.769003469110334</v>
      </c>
      <c r="L404" s="219">
        <v>0</v>
      </c>
    </row>
    <row r="405" spans="1:12" ht="15">
      <c r="A405" s="27" t="s">
        <v>1045</v>
      </c>
      <c r="B405" s="325" t="str">
        <f t="shared" si="17"/>
        <v>Windo22</v>
      </c>
      <c r="C405" s="325" t="str">
        <f t="shared" si="17"/>
        <v>Windows22</v>
      </c>
      <c r="D405" s="325" t="str">
        <f t="shared" si="17"/>
        <v>Windows</v>
      </c>
      <c r="E405" s="325">
        <f t="shared" si="17"/>
        <v>22</v>
      </c>
      <c r="F405" s="325" t="str">
        <f t="shared" si="17"/>
        <v>Single Pane</v>
      </c>
      <c r="G405" s="325" t="str">
        <f t="shared" si="17"/>
        <v>Class 30</v>
      </c>
      <c r="H405" s="325" t="str">
        <f t="shared" si="17"/>
        <v>Heating Zone 3</v>
      </c>
      <c r="I405" s="325" t="str">
        <f t="shared" si="17"/>
        <v>Windows - Single Pane to Class 30 - Heating Zone 3</v>
      </c>
      <c r="J405" s="325" t="s">
        <v>924</v>
      </c>
      <c r="K405" s="247">
        <f>Results!L131</f>
        <v>36.103945684943668</v>
      </c>
      <c r="L405" s="219">
        <v>0</v>
      </c>
    </row>
    <row r="406" spans="1:12" ht="15">
      <c r="A406" s="27" t="s">
        <v>1046</v>
      </c>
      <c r="B406" s="325" t="str">
        <f t="shared" si="17"/>
        <v>Windo23</v>
      </c>
      <c r="C406" s="325" t="str">
        <f t="shared" si="17"/>
        <v>Windows23</v>
      </c>
      <c r="D406" s="325" t="str">
        <f t="shared" si="17"/>
        <v>Windows</v>
      </c>
      <c r="E406" s="325">
        <f t="shared" si="17"/>
        <v>23</v>
      </c>
      <c r="F406" s="325" t="str">
        <f t="shared" si="17"/>
        <v>Double Pane</v>
      </c>
      <c r="G406" s="325" t="str">
        <f t="shared" si="17"/>
        <v>Class 30</v>
      </c>
      <c r="H406" s="325" t="str">
        <f t="shared" si="17"/>
        <v>Heating Zone 3</v>
      </c>
      <c r="I406" s="325" t="str">
        <f t="shared" si="17"/>
        <v>Windows - Double Pane to Class 30 - Heating Zone 3</v>
      </c>
      <c r="J406" s="325" t="s">
        <v>924</v>
      </c>
      <c r="K406" s="247">
        <f>Results!L132</f>
        <v>20.495839875936287</v>
      </c>
      <c r="L406" s="219">
        <v>0</v>
      </c>
    </row>
    <row r="407" spans="1:12" ht="15">
      <c r="A407" s="27" t="s">
        <v>1047</v>
      </c>
      <c r="B407" s="325" t="str">
        <f t="shared" si="17"/>
        <v>Windo24</v>
      </c>
      <c r="C407" s="325" t="str">
        <f t="shared" si="17"/>
        <v>Windows24</v>
      </c>
      <c r="D407" s="325" t="str">
        <f t="shared" si="17"/>
        <v>Windows</v>
      </c>
      <c r="E407" s="325">
        <f t="shared" si="17"/>
        <v>24</v>
      </c>
      <c r="F407" s="325" t="str">
        <f t="shared" si="17"/>
        <v>Class 35</v>
      </c>
      <c r="G407" s="325" t="str">
        <f t="shared" si="17"/>
        <v>Class 30</v>
      </c>
      <c r="H407" s="325" t="str">
        <f t="shared" si="17"/>
        <v>Heating Zone 3</v>
      </c>
      <c r="I407" s="325" t="str">
        <f t="shared" si="17"/>
        <v>Windows - Class 35 to Class 30 - Heating Zone 3</v>
      </c>
      <c r="J407" s="325" t="s">
        <v>924</v>
      </c>
      <c r="K407" s="247">
        <f>Results!L133</f>
        <v>2.2045025039160864</v>
      </c>
      <c r="L407" s="219">
        <v>0</v>
      </c>
    </row>
    <row r="408" spans="1:12" ht="15">
      <c r="A408" s="27" t="s">
        <v>1048</v>
      </c>
      <c r="B408" s="325" t="str">
        <f t="shared" si="17"/>
        <v>Infil10</v>
      </c>
      <c r="C408" s="325" t="str">
        <f t="shared" si="17"/>
        <v>Infiltration10</v>
      </c>
      <c r="D408" s="325" t="str">
        <f t="shared" si="17"/>
        <v>Infiltration</v>
      </c>
      <c r="E408" s="325">
        <f t="shared" si="17"/>
        <v>10</v>
      </c>
      <c r="F408" s="325" t="str">
        <f t="shared" si="17"/>
        <v>0.45 ACHn</v>
      </c>
      <c r="G408" s="325" t="str">
        <f t="shared" si="17"/>
        <v>0.35 ACHn</v>
      </c>
      <c r="H408" s="325" t="str">
        <f t="shared" si="17"/>
        <v>Heating Zone 3</v>
      </c>
      <c r="I408" s="325" t="str">
        <f t="shared" si="17"/>
        <v>Infiltration Reduction - 0.45 ACHn to 0.35 ACHn - Heating Zone 3</v>
      </c>
      <c r="J408" s="325" t="s">
        <v>924</v>
      </c>
      <c r="K408" s="283">
        <f>Results!L134</f>
        <v>0</v>
      </c>
      <c r="L408" s="219">
        <v>0</v>
      </c>
    </row>
    <row r="409" spans="1:12" ht="15">
      <c r="A409" s="27" t="s">
        <v>1049</v>
      </c>
      <c r="B409" s="325" t="str">
        <f t="shared" si="17"/>
        <v>Infil11</v>
      </c>
      <c r="C409" s="325" t="str">
        <f t="shared" si="17"/>
        <v>Infiltration11</v>
      </c>
      <c r="D409" s="325" t="str">
        <f t="shared" si="17"/>
        <v>Infiltration</v>
      </c>
      <c r="E409" s="325">
        <f t="shared" si="17"/>
        <v>11</v>
      </c>
      <c r="F409" s="325" t="str">
        <f t="shared" si="17"/>
        <v>0.45 ACHn</v>
      </c>
      <c r="G409" s="325" t="str">
        <f t="shared" si="17"/>
        <v>0.20 ACHn</v>
      </c>
      <c r="H409" s="325" t="str">
        <f t="shared" si="17"/>
        <v>Heating Zone 3</v>
      </c>
      <c r="I409" s="325" t="str">
        <f t="shared" si="17"/>
        <v>Infiltration Reduction - 0.45 ACHn to 0.20 ACHn - Heating Zone 3</v>
      </c>
      <c r="J409" s="325" t="s">
        <v>924</v>
      </c>
      <c r="K409" s="256">
        <f>Results!L135</f>
        <v>0</v>
      </c>
      <c r="L409" s="219">
        <v>0</v>
      </c>
    </row>
    <row r="410" spans="1:12" ht="15">
      <c r="A410" s="27" t="s">
        <v>1050</v>
      </c>
      <c r="B410" s="325" t="str">
        <f t="shared" ref="B410:I419" si="18">B272</f>
        <v>Infil12</v>
      </c>
      <c r="C410" s="325" t="str">
        <f t="shared" si="18"/>
        <v>Infiltration12</v>
      </c>
      <c r="D410" s="325" t="str">
        <f t="shared" si="18"/>
        <v>Infiltration</v>
      </c>
      <c r="E410" s="325">
        <f t="shared" si="18"/>
        <v>12</v>
      </c>
      <c r="F410" s="325" t="str">
        <f t="shared" si="18"/>
        <v>0.35 ACHn</v>
      </c>
      <c r="G410" s="325" t="str">
        <f t="shared" si="18"/>
        <v>0.20 ACHn</v>
      </c>
      <c r="H410" s="325" t="str">
        <f t="shared" si="18"/>
        <v>Heating Zone 3</v>
      </c>
      <c r="I410" s="325" t="str">
        <f t="shared" si="18"/>
        <v>Infiltration Reduction - 0.35 ACHn to 0.20 ACHn - Heating Zone 3</v>
      </c>
      <c r="J410" s="325" t="s">
        <v>924</v>
      </c>
      <c r="K410" s="293">
        <f>Results!L136</f>
        <v>0</v>
      </c>
      <c r="L410" s="219">
        <v>0</v>
      </c>
    </row>
    <row r="411" spans="1:12" ht="15">
      <c r="A411" s="27" t="s">
        <v>1051</v>
      </c>
      <c r="B411" s="325" t="str">
        <f t="shared" si="18"/>
        <v>DuctT10</v>
      </c>
      <c r="C411" s="325" t="str">
        <f t="shared" si="18"/>
        <v>DuctTightness10</v>
      </c>
      <c r="D411" s="325" t="str">
        <f t="shared" si="18"/>
        <v>DuctTightness</v>
      </c>
      <c r="E411" s="325">
        <f t="shared" si="18"/>
        <v>10</v>
      </c>
      <c r="F411" s="325" t="str">
        <f t="shared" si="18"/>
        <v>Std-crawl</v>
      </c>
      <c r="G411" s="325" t="str">
        <f t="shared" si="18"/>
        <v>PTCS-crawl</v>
      </c>
      <c r="H411" s="325" t="str">
        <f t="shared" si="18"/>
        <v>Heating Zone 3</v>
      </c>
      <c r="I411" s="325" t="str">
        <f t="shared" si="18"/>
        <v>DuctTightness - Std-crawl to PTCS-crawl - Heating Zone 3</v>
      </c>
      <c r="J411" s="325" t="s">
        <v>924</v>
      </c>
      <c r="K411" s="295">
        <f>Results!L137</f>
        <v>307.28987495000297</v>
      </c>
      <c r="L411" s="219">
        <v>0</v>
      </c>
    </row>
    <row r="412" spans="1:12" ht="15">
      <c r="A412" s="27" t="s">
        <v>1052</v>
      </c>
      <c r="B412" s="325" t="str">
        <f t="shared" si="18"/>
        <v>DuctI10</v>
      </c>
      <c r="C412" s="325" t="str">
        <f t="shared" si="18"/>
        <v>DuctInsulation10</v>
      </c>
      <c r="D412" s="325" t="str">
        <f t="shared" si="18"/>
        <v>DuctInsulation</v>
      </c>
      <c r="E412" s="325">
        <f t="shared" si="18"/>
        <v>10</v>
      </c>
      <c r="F412" s="325" t="str">
        <f t="shared" si="18"/>
        <v>R-0</v>
      </c>
      <c r="G412" s="325" t="str">
        <f t="shared" si="18"/>
        <v>R-4.2</v>
      </c>
      <c r="H412" s="325" t="str">
        <f t="shared" si="18"/>
        <v>Heating Zone 3</v>
      </c>
      <c r="I412" s="325" t="str">
        <f t="shared" si="18"/>
        <v>DuctInsulation - R-0 to R-4.2 - Heating Zone 3</v>
      </c>
      <c r="J412" s="325" t="s">
        <v>924</v>
      </c>
      <c r="K412" s="299">
        <f>Results!L138</f>
        <v>110.83397440000098</v>
      </c>
      <c r="L412" s="219">
        <v>0</v>
      </c>
    </row>
    <row r="413" spans="1:12" ht="15">
      <c r="A413" s="27" t="s">
        <v>1053</v>
      </c>
      <c r="B413" s="325" t="str">
        <f t="shared" si="18"/>
        <v>DuctI11</v>
      </c>
      <c r="C413" s="325" t="str">
        <f t="shared" si="18"/>
        <v>DuctInsulation11</v>
      </c>
      <c r="D413" s="325" t="str">
        <f t="shared" si="18"/>
        <v>DuctInsulation</v>
      </c>
      <c r="E413" s="325">
        <f t="shared" si="18"/>
        <v>11</v>
      </c>
      <c r="F413" s="325" t="str">
        <f t="shared" si="18"/>
        <v>R-0</v>
      </c>
      <c r="G413" s="325" t="str">
        <f t="shared" si="18"/>
        <v>R-11</v>
      </c>
      <c r="H413" s="325" t="str">
        <f t="shared" si="18"/>
        <v>Heating Zone 3</v>
      </c>
      <c r="I413" s="325" t="str">
        <f t="shared" si="18"/>
        <v>DuctInsulation - R-0 to R-11 - Heating Zone 3</v>
      </c>
      <c r="J413" s="325" t="s">
        <v>924</v>
      </c>
      <c r="K413" s="301">
        <f>Results!L139</f>
        <v>153.07786164999561</v>
      </c>
      <c r="L413" s="219">
        <v>0</v>
      </c>
    </row>
    <row r="414" spans="1:12" ht="15">
      <c r="A414" s="27" t="s">
        <v>1054</v>
      </c>
      <c r="B414" s="325" t="str">
        <f t="shared" si="18"/>
        <v>DuctI12</v>
      </c>
      <c r="C414" s="325" t="str">
        <f t="shared" si="18"/>
        <v>DuctInsulation12</v>
      </c>
      <c r="D414" s="325" t="str">
        <f t="shared" si="18"/>
        <v>DuctInsulation</v>
      </c>
      <c r="E414" s="325">
        <f t="shared" si="18"/>
        <v>12</v>
      </c>
      <c r="F414" s="325" t="str">
        <f t="shared" si="18"/>
        <v>R-4.2</v>
      </c>
      <c r="G414" s="325" t="str">
        <f t="shared" si="18"/>
        <v>R-11</v>
      </c>
      <c r="H414" s="325" t="str">
        <f t="shared" si="18"/>
        <v>Heating Zone 3</v>
      </c>
      <c r="I414" s="325" t="str">
        <f t="shared" si="18"/>
        <v>DuctInsulation - R-4.2 to R-11 - Heating Zone 3</v>
      </c>
      <c r="J414" s="325" t="s">
        <v>924</v>
      </c>
      <c r="K414" s="303">
        <f>Results!L140</f>
        <v>42.243887249994621</v>
      </c>
      <c r="L414" s="219">
        <v>0</v>
      </c>
    </row>
    <row r="415" spans="1:12" ht="15">
      <c r="A415" s="27" t="s">
        <v>1055</v>
      </c>
      <c r="B415" s="325" t="str">
        <f t="shared" si="18"/>
        <v>HeatP10</v>
      </c>
      <c r="C415" s="325" t="str">
        <f t="shared" si="18"/>
        <v>HeatPump10</v>
      </c>
      <c r="D415" s="325" t="str">
        <f t="shared" si="18"/>
        <v>HeatPump</v>
      </c>
      <c r="E415" s="325">
        <f t="shared" si="18"/>
        <v>10</v>
      </c>
      <c r="F415" s="325" t="str">
        <f t="shared" si="18"/>
        <v>7.7/13</v>
      </c>
      <c r="G415" s="325" t="str">
        <f t="shared" si="18"/>
        <v>8.5/13</v>
      </c>
      <c r="H415" s="325" t="str">
        <f t="shared" si="18"/>
        <v>Heating Zone 3</v>
      </c>
      <c r="I415" s="325" t="str">
        <f t="shared" si="18"/>
        <v>HeatPump Upgrade - 7.7/13 to 8.5/13 - Heating Zone 3</v>
      </c>
      <c r="J415" s="325" t="s">
        <v>924</v>
      </c>
      <c r="K415" s="301">
        <f>Results!L141</f>
        <v>0</v>
      </c>
      <c r="L415" s="219">
        <v>0</v>
      </c>
    </row>
    <row r="416" spans="1:12" ht="15">
      <c r="A416" s="27" t="s">
        <v>1056</v>
      </c>
      <c r="B416" s="325" t="str">
        <f t="shared" si="18"/>
        <v>HeatP11</v>
      </c>
      <c r="C416" s="325" t="str">
        <f t="shared" si="18"/>
        <v>HeatPump11</v>
      </c>
      <c r="D416" s="325" t="str">
        <f t="shared" si="18"/>
        <v>HeatPump</v>
      </c>
      <c r="E416" s="325">
        <f t="shared" si="18"/>
        <v>11</v>
      </c>
      <c r="F416" s="325" t="str">
        <f t="shared" si="18"/>
        <v>7.7/13</v>
      </c>
      <c r="G416" s="325" t="str">
        <f t="shared" si="18"/>
        <v>9.0/14</v>
      </c>
      <c r="H416" s="325" t="str">
        <f t="shared" si="18"/>
        <v>Heating Zone 3</v>
      </c>
      <c r="I416" s="325" t="str">
        <f t="shared" si="18"/>
        <v>HeatPump Upgrade - 7.7/13 to 9.0/14 - Heating Zone 3</v>
      </c>
      <c r="J416" s="325" t="s">
        <v>924</v>
      </c>
      <c r="K416" s="301">
        <f>Results!L142</f>
        <v>0</v>
      </c>
      <c r="L416" s="219">
        <v>0</v>
      </c>
    </row>
    <row r="417" spans="1:12" ht="15">
      <c r="A417" s="27" t="s">
        <v>1057</v>
      </c>
      <c r="B417" s="325" t="str">
        <f t="shared" si="18"/>
        <v>HeatP12</v>
      </c>
      <c r="C417" s="325" t="str">
        <f t="shared" si="18"/>
        <v>HeatPump12</v>
      </c>
      <c r="D417" s="325" t="str">
        <f t="shared" si="18"/>
        <v>HeatPump</v>
      </c>
      <c r="E417" s="325">
        <f t="shared" si="18"/>
        <v>12</v>
      </c>
      <c r="F417" s="325" t="str">
        <f t="shared" si="18"/>
        <v>7.7/13</v>
      </c>
      <c r="G417" s="325" t="str">
        <f t="shared" si="18"/>
        <v>8.2/13</v>
      </c>
      <c r="H417" s="325" t="str">
        <f t="shared" si="18"/>
        <v>Heating Zone 3</v>
      </c>
      <c r="I417" s="325" t="str">
        <f t="shared" si="18"/>
        <v>HeatPump Upgrade - 7.7/13 to 8.2/13 - Heating Zone 3</v>
      </c>
      <c r="J417" s="325" t="s">
        <v>924</v>
      </c>
      <c r="K417" s="301">
        <f>Results!L143</f>
        <v>0</v>
      </c>
      <c r="L417" s="219">
        <v>0</v>
      </c>
    </row>
    <row r="418" spans="1:12" ht="15.75" thickBot="1">
      <c r="A418" s="27" t="s">
        <v>1058</v>
      </c>
      <c r="B418" s="325" t="str">
        <f t="shared" si="18"/>
        <v>HPCnt10</v>
      </c>
      <c r="C418" s="325" t="str">
        <f t="shared" si="18"/>
        <v>HPCntrls10</v>
      </c>
      <c r="D418" s="325" t="str">
        <f t="shared" si="18"/>
        <v>HPCntrls</v>
      </c>
      <c r="E418" s="325">
        <f t="shared" si="18"/>
        <v>10</v>
      </c>
      <c r="F418" s="325" t="str">
        <f t="shared" si="18"/>
        <v>Standard</v>
      </c>
      <c r="G418" s="325" t="str">
        <f t="shared" si="18"/>
        <v>PTCS</v>
      </c>
      <c r="H418" s="325" t="str">
        <f t="shared" si="18"/>
        <v>Heating Zone 3</v>
      </c>
      <c r="I418" s="325" t="str">
        <f t="shared" si="18"/>
        <v>HPCntrls Upgrade - Standard to PTCS - Heating Zone 3</v>
      </c>
      <c r="J418" s="325" t="s">
        <v>924</v>
      </c>
      <c r="K418" s="318">
        <f>Results!L144</f>
        <v>0</v>
      </c>
      <c r="L418" s="219">
        <v>0</v>
      </c>
    </row>
    <row r="419" spans="1:12" ht="15">
      <c r="A419" s="27" t="s">
        <v>1059</v>
      </c>
      <c r="B419" s="325" t="str">
        <f>B281</f>
        <v>Walls10</v>
      </c>
      <c r="C419" s="325" t="str">
        <f t="shared" si="18"/>
        <v>Walls10</v>
      </c>
      <c r="D419" s="325" t="str">
        <f t="shared" si="18"/>
        <v>Walls</v>
      </c>
      <c r="E419" s="325">
        <f t="shared" si="18"/>
        <v>10</v>
      </c>
      <c r="F419" s="325" t="str">
        <f t="shared" si="18"/>
        <v>R-0</v>
      </c>
      <c r="G419" s="325" t="str">
        <f t="shared" si="18"/>
        <v>R-11</v>
      </c>
      <c r="H419" s="325" t="str">
        <f t="shared" si="18"/>
        <v>Heating Zone 1</v>
      </c>
      <c r="I419" s="325" t="str">
        <f t="shared" si="18"/>
        <v>Multi Family Weatherization - Insulate Walls - R-0 to R-11 - Heating Zone 1</v>
      </c>
      <c r="J419" s="325" t="s">
        <v>1060</v>
      </c>
      <c r="K419" s="326">
        <f>Results!M7</f>
        <v>0.59289129266862839</v>
      </c>
      <c r="L419" s="327">
        <f>Results!N7</f>
        <v>-2.5850298012560328E-2</v>
      </c>
    </row>
    <row r="420" spans="1:12" ht="15">
      <c r="A420" s="27" t="s">
        <v>1061</v>
      </c>
      <c r="B420" s="325" t="str">
        <f t="shared" ref="B420:I435" si="19">B282</f>
        <v>BGWal10</v>
      </c>
      <c r="C420" s="325" t="str">
        <f t="shared" si="19"/>
        <v>BGWalls10</v>
      </c>
      <c r="D420" s="325" t="str">
        <f t="shared" si="19"/>
        <v>BGWalls</v>
      </c>
      <c r="E420" s="325">
        <f t="shared" si="19"/>
        <v>10</v>
      </c>
      <c r="F420" s="325" t="str">
        <f t="shared" si="19"/>
        <v>R-0</v>
      </c>
      <c r="G420" s="325" t="str">
        <f t="shared" si="19"/>
        <v>R-11</v>
      </c>
      <c r="H420" s="325" t="str">
        <f t="shared" si="19"/>
        <v>Heating Zone 1</v>
      </c>
      <c r="I420" s="325" t="str">
        <f t="shared" si="19"/>
        <v>Multi Family Weatherization - Insulate BGWalls - R-0 to R-11 - Heating Zone 1</v>
      </c>
      <c r="J420" s="325" t="s">
        <v>1060</v>
      </c>
      <c r="K420" s="328">
        <f>Results!M8</f>
        <v>0</v>
      </c>
      <c r="L420" s="329">
        <f>Results!N8</f>
        <v>0</v>
      </c>
    </row>
    <row r="421" spans="1:12" ht="15">
      <c r="A421" s="27" t="s">
        <v>1062</v>
      </c>
      <c r="B421" s="325" t="str">
        <f t="shared" si="19"/>
        <v>Floor10</v>
      </c>
      <c r="C421" s="325" t="str">
        <f t="shared" si="19"/>
        <v>Floors10</v>
      </c>
      <c r="D421" s="325" t="str">
        <f t="shared" si="19"/>
        <v>Floors</v>
      </c>
      <c r="E421" s="325">
        <f t="shared" si="19"/>
        <v>10</v>
      </c>
      <c r="F421" s="325" t="str">
        <f t="shared" si="19"/>
        <v>R-0</v>
      </c>
      <c r="G421" s="325" t="str">
        <f t="shared" si="19"/>
        <v>R-19</v>
      </c>
      <c r="H421" s="325" t="str">
        <f t="shared" si="19"/>
        <v>Heating Zone 1</v>
      </c>
      <c r="I421" s="325" t="str">
        <f t="shared" si="19"/>
        <v>Multi Family Weatherization - Insulate Floors - R-0 to R-19 - Heating Zone 1</v>
      </c>
      <c r="J421" s="325" t="s">
        <v>1060</v>
      </c>
      <c r="K421" s="330">
        <f>Results!M9</f>
        <v>0.23389755740798973</v>
      </c>
      <c r="L421" s="331">
        <f>Results!N9</f>
        <v>-8.5586343811096283E-2</v>
      </c>
    </row>
    <row r="422" spans="1:12" ht="15">
      <c r="A422" s="27" t="s">
        <v>1063</v>
      </c>
      <c r="B422" s="325" t="str">
        <f t="shared" si="19"/>
        <v>Floor11</v>
      </c>
      <c r="C422" s="325" t="str">
        <f t="shared" si="19"/>
        <v>Floors11</v>
      </c>
      <c r="D422" s="325" t="str">
        <f t="shared" si="19"/>
        <v>Floors</v>
      </c>
      <c r="E422" s="325">
        <f t="shared" si="19"/>
        <v>11</v>
      </c>
      <c r="F422" s="325" t="str">
        <f t="shared" si="19"/>
        <v>R-0</v>
      </c>
      <c r="G422" s="325" t="str">
        <f t="shared" si="19"/>
        <v>R-25</v>
      </c>
      <c r="H422" s="325" t="str">
        <f t="shared" si="19"/>
        <v>Heating Zone 1</v>
      </c>
      <c r="I422" s="325" t="str">
        <f t="shared" si="19"/>
        <v>Multi Family Weatherization - Insulate Floors - R-0 to R-25 - Heating Zone 1</v>
      </c>
      <c r="J422" s="325" t="s">
        <v>1060</v>
      </c>
      <c r="K422" s="332">
        <f>Results!M10</f>
        <v>0.26842545454545436</v>
      </c>
      <c r="L422" s="333">
        <f>Results!N10</f>
        <v>-9.9240917031951953E-2</v>
      </c>
    </row>
    <row r="423" spans="1:12" ht="15">
      <c r="A423" s="27" t="s">
        <v>1064</v>
      </c>
      <c r="B423" s="325" t="str">
        <f t="shared" si="19"/>
        <v>Floor12</v>
      </c>
      <c r="C423" s="325" t="str">
        <f t="shared" si="19"/>
        <v>Floors12</v>
      </c>
      <c r="D423" s="325" t="str">
        <f t="shared" si="19"/>
        <v>Floors</v>
      </c>
      <c r="E423" s="325">
        <f t="shared" si="19"/>
        <v>12</v>
      </c>
      <c r="F423" s="325" t="str">
        <f t="shared" si="19"/>
        <v>R-0</v>
      </c>
      <c r="G423" s="325" t="str">
        <f t="shared" si="19"/>
        <v>R-30</v>
      </c>
      <c r="H423" s="325" t="str">
        <f t="shared" si="19"/>
        <v>Heating Zone 1</v>
      </c>
      <c r="I423" s="325" t="str">
        <f t="shared" si="19"/>
        <v>Multi Family Weatherization - Insulate Floors - R-0 to R-30 - Heating Zone 1</v>
      </c>
      <c r="J423" s="325" t="s">
        <v>1060</v>
      </c>
      <c r="K423" s="330">
        <f>Results!M11</f>
        <v>0.30503938345391612</v>
      </c>
      <c r="L423" s="331">
        <f>Results!N11</f>
        <v>-0.11397062156911769</v>
      </c>
    </row>
    <row r="424" spans="1:12" ht="15">
      <c r="A424" s="27" t="s">
        <v>1065</v>
      </c>
      <c r="B424" s="325" t="str">
        <f t="shared" si="19"/>
        <v>Floor13</v>
      </c>
      <c r="C424" s="325" t="str">
        <f t="shared" si="19"/>
        <v>Floors13</v>
      </c>
      <c r="D424" s="325" t="str">
        <f t="shared" si="19"/>
        <v>Floors</v>
      </c>
      <c r="E424" s="325">
        <f t="shared" si="19"/>
        <v>13</v>
      </c>
      <c r="F424" s="325" t="str">
        <f t="shared" si="19"/>
        <v>R-0</v>
      </c>
      <c r="G424" s="325" t="str">
        <f t="shared" si="19"/>
        <v>R-38</v>
      </c>
      <c r="H424" s="325" t="str">
        <f t="shared" si="19"/>
        <v>Heating Zone 1</v>
      </c>
      <c r="I424" s="325" t="str">
        <f t="shared" si="19"/>
        <v>Multi Family Weatherization - Insulate Floors - R-0 to R-38 - Heating Zone 1</v>
      </c>
      <c r="J424" s="325" t="s">
        <v>1060</v>
      </c>
      <c r="K424" s="332">
        <f>Results!M12</f>
        <v>0.31449822428436602</v>
      </c>
      <c r="L424" s="333">
        <f>Results!N12</f>
        <v>-0.11794506497446529</v>
      </c>
    </row>
    <row r="425" spans="1:12" ht="15">
      <c r="A425" s="27" t="s">
        <v>1066</v>
      </c>
      <c r="B425" s="325" t="str">
        <f t="shared" si="19"/>
        <v>Floor14</v>
      </c>
      <c r="C425" s="325" t="str">
        <f t="shared" si="19"/>
        <v>Floors14</v>
      </c>
      <c r="D425" s="325" t="str">
        <f t="shared" si="19"/>
        <v>Floors</v>
      </c>
      <c r="E425" s="325">
        <f t="shared" si="19"/>
        <v>14</v>
      </c>
      <c r="F425" s="325" t="str">
        <f t="shared" si="19"/>
        <v>R-19</v>
      </c>
      <c r="G425" s="325" t="str">
        <f t="shared" si="19"/>
        <v>R-25</v>
      </c>
      <c r="H425" s="325" t="str">
        <f t="shared" si="19"/>
        <v>Heating Zone 1</v>
      </c>
      <c r="I425" s="325" t="str">
        <f t="shared" si="19"/>
        <v>Multi Family Weatherization - Insulate Floors - R-19 to R-25 - Heating Zone 1</v>
      </c>
      <c r="J425" s="325" t="s">
        <v>1060</v>
      </c>
      <c r="K425" s="332">
        <f>Results!M13</f>
        <v>3.4527897137464666E-2</v>
      </c>
      <c r="L425" s="333">
        <f>Results!N13</f>
        <v>-1.3654573220855675E-2</v>
      </c>
    </row>
    <row r="426" spans="1:12" ht="15">
      <c r="A426" s="27" t="s">
        <v>1067</v>
      </c>
      <c r="B426" s="325" t="str">
        <f t="shared" si="19"/>
        <v>Floor15</v>
      </c>
      <c r="C426" s="325" t="str">
        <f t="shared" si="19"/>
        <v>Floors15</v>
      </c>
      <c r="D426" s="325" t="str">
        <f t="shared" si="19"/>
        <v>Floors</v>
      </c>
      <c r="E426" s="325">
        <f t="shared" si="19"/>
        <v>15</v>
      </c>
      <c r="F426" s="325" t="str">
        <f t="shared" si="19"/>
        <v>R-19</v>
      </c>
      <c r="G426" s="325" t="str">
        <f t="shared" si="19"/>
        <v>R-30</v>
      </c>
      <c r="H426" s="325" t="str">
        <f t="shared" si="19"/>
        <v>Heating Zone 1</v>
      </c>
      <c r="I426" s="325" t="str">
        <f t="shared" si="19"/>
        <v>Multi Family Weatherization - Insulate Floors - R-19 to R-30 - Heating Zone 1</v>
      </c>
      <c r="J426" s="325" t="s">
        <v>1060</v>
      </c>
      <c r="K426" s="330">
        <f>Results!M14</f>
        <v>7.1141826045926365E-2</v>
      </c>
      <c r="L426" s="331">
        <f>Results!N14</f>
        <v>-2.8384277758021409E-2</v>
      </c>
    </row>
    <row r="427" spans="1:12" ht="15">
      <c r="A427" s="27" t="s">
        <v>1068</v>
      </c>
      <c r="B427" s="325" t="str">
        <f t="shared" si="19"/>
        <v>Floor16</v>
      </c>
      <c r="C427" s="325" t="str">
        <f t="shared" si="19"/>
        <v>Floors16</v>
      </c>
      <c r="D427" s="325" t="str">
        <f t="shared" si="19"/>
        <v>Floors</v>
      </c>
      <c r="E427" s="325">
        <f t="shared" si="19"/>
        <v>16</v>
      </c>
      <c r="F427" s="325" t="str">
        <f t="shared" si="19"/>
        <v>R-19</v>
      </c>
      <c r="G427" s="325" t="str">
        <f t="shared" si="19"/>
        <v>R-38</v>
      </c>
      <c r="H427" s="325" t="str">
        <f t="shared" si="19"/>
        <v>Heating Zone 1</v>
      </c>
      <c r="I427" s="325" t="str">
        <f t="shared" si="19"/>
        <v>Multi Family Weatherization - Insulate Floors - R-19 to R-38 - Heating Zone 1</v>
      </c>
      <c r="J427" s="325" t="s">
        <v>1060</v>
      </c>
      <c r="K427" s="332">
        <f>Results!M15</f>
        <v>8.0600666876376334E-2</v>
      </c>
      <c r="L427" s="333">
        <f>Results!N15</f>
        <v>-3.2358721163369006E-2</v>
      </c>
    </row>
    <row r="428" spans="1:12" ht="15">
      <c r="A428" s="27" t="s">
        <v>1069</v>
      </c>
      <c r="B428" s="325" t="str">
        <f t="shared" si="19"/>
        <v>Floor17</v>
      </c>
      <c r="C428" s="325" t="str">
        <f t="shared" si="19"/>
        <v>Floors17</v>
      </c>
      <c r="D428" s="325" t="str">
        <f t="shared" si="19"/>
        <v>Floors</v>
      </c>
      <c r="E428" s="325">
        <f t="shared" si="19"/>
        <v>17</v>
      </c>
      <c r="F428" s="325" t="str">
        <f t="shared" si="19"/>
        <v>R-11</v>
      </c>
      <c r="G428" s="325" t="str">
        <f t="shared" si="19"/>
        <v>R-30</v>
      </c>
      <c r="H428" s="325" t="str">
        <f t="shared" si="19"/>
        <v>Heating Zone 1</v>
      </c>
      <c r="I428" s="325" t="str">
        <f t="shared" si="19"/>
        <v>Multi Family Weatherization - Insulate Floors - R-11 to R-30 - Heating Zone 1</v>
      </c>
      <c r="J428" s="325" t="s">
        <v>1060</v>
      </c>
      <c r="K428" s="332">
        <f>Results!M16</f>
        <v>0.67654718150361715</v>
      </c>
      <c r="L428" s="333">
        <f>Results!N16</f>
        <v>-0.22804222050160428</v>
      </c>
    </row>
    <row r="429" spans="1:12" ht="15">
      <c r="A429" s="27" t="s">
        <v>1062</v>
      </c>
      <c r="B429" s="325" t="str">
        <f t="shared" si="19"/>
        <v>Floor18</v>
      </c>
      <c r="C429" s="325" t="str">
        <f t="shared" si="19"/>
        <v>Floors18</v>
      </c>
      <c r="D429" s="325" t="str">
        <f t="shared" si="19"/>
        <v>Floors</v>
      </c>
      <c r="E429" s="325">
        <f t="shared" si="19"/>
        <v>18</v>
      </c>
      <c r="F429" s="325" t="str">
        <f t="shared" si="19"/>
        <v>R-0</v>
      </c>
      <c r="G429" s="325" t="str">
        <f t="shared" si="19"/>
        <v>R-19</v>
      </c>
      <c r="H429" s="325" t="str">
        <f t="shared" si="19"/>
        <v>Heating Zone 1</v>
      </c>
      <c r="I429" s="325" t="str">
        <f t="shared" si="19"/>
        <v>Multi Family Weatherization - Insulate Floors - R-0 to R-19 - Heating Zone 1</v>
      </c>
      <c r="J429" s="325" t="s">
        <v>1060</v>
      </c>
      <c r="K429" s="332">
        <f>Results!M17</f>
        <v>0.23389755740798973</v>
      </c>
      <c r="L429" s="333">
        <f>Results!N17</f>
        <v>-8.5586343811096283E-2</v>
      </c>
    </row>
    <row r="430" spans="1:12" ht="15">
      <c r="A430" s="27" t="s">
        <v>1070</v>
      </c>
      <c r="B430" s="325" t="str">
        <f t="shared" si="19"/>
        <v>Ceili10</v>
      </c>
      <c r="C430" s="325" t="str">
        <f t="shared" si="19"/>
        <v>Ceiling10</v>
      </c>
      <c r="D430" s="325" t="str">
        <f t="shared" si="19"/>
        <v>Ceiling</v>
      </c>
      <c r="E430" s="325">
        <f t="shared" si="19"/>
        <v>10</v>
      </c>
      <c r="F430" s="325" t="str">
        <f t="shared" si="19"/>
        <v>R-0</v>
      </c>
      <c r="G430" s="325" t="str">
        <f t="shared" si="19"/>
        <v>R-19</v>
      </c>
      <c r="H430" s="325" t="str">
        <f t="shared" si="19"/>
        <v>Heating Zone 1</v>
      </c>
      <c r="I430" s="325" t="str">
        <f t="shared" si="19"/>
        <v>Multi Family Weatherization - Insulate Attic - R-0 to R-19 - Heating Zone 1</v>
      </c>
      <c r="J430" s="325" t="s">
        <v>1060</v>
      </c>
      <c r="K430" s="334">
        <f>Results!M18</f>
        <v>0.1805786938502677</v>
      </c>
      <c r="L430" s="335">
        <f>Results!N18</f>
        <v>5.7263270484772713E-2</v>
      </c>
    </row>
    <row r="431" spans="1:12" ht="15">
      <c r="A431" s="27" t="s">
        <v>1071</v>
      </c>
      <c r="B431" s="325" t="str">
        <f t="shared" si="19"/>
        <v>Ceili11</v>
      </c>
      <c r="C431" s="325" t="str">
        <f t="shared" si="19"/>
        <v>Ceiling11</v>
      </c>
      <c r="D431" s="325" t="str">
        <f t="shared" si="19"/>
        <v>Ceiling</v>
      </c>
      <c r="E431" s="325">
        <f t="shared" si="19"/>
        <v>11</v>
      </c>
      <c r="F431" s="325" t="str">
        <f t="shared" si="19"/>
        <v>R-0</v>
      </c>
      <c r="G431" s="325" t="str">
        <f t="shared" si="19"/>
        <v>R-38</v>
      </c>
      <c r="H431" s="325" t="str">
        <f t="shared" si="19"/>
        <v>Heating Zone 1</v>
      </c>
      <c r="I431" s="325" t="str">
        <f t="shared" si="19"/>
        <v>Multi Family Weatherization - Insulate Attic - R-0 to R-38 - Heating Zone 1</v>
      </c>
      <c r="J431" s="325" t="s">
        <v>1060</v>
      </c>
      <c r="K431" s="330">
        <f>Results!M19</f>
        <v>0.24602500133689853</v>
      </c>
      <c r="L431" s="331">
        <f>Results!N19</f>
        <v>7.7947435230795448E-2</v>
      </c>
    </row>
    <row r="432" spans="1:12" ht="15">
      <c r="A432" s="27" t="s">
        <v>1072</v>
      </c>
      <c r="B432" s="325" t="str">
        <f t="shared" si="19"/>
        <v>Ceili12</v>
      </c>
      <c r="C432" s="325" t="str">
        <f t="shared" si="19"/>
        <v>Ceiling12</v>
      </c>
      <c r="D432" s="325" t="str">
        <f t="shared" si="19"/>
        <v>Ceiling</v>
      </c>
      <c r="E432" s="325">
        <f t="shared" si="19"/>
        <v>12</v>
      </c>
      <c r="F432" s="325" t="str">
        <f t="shared" si="19"/>
        <v>R-0</v>
      </c>
      <c r="G432" s="325" t="str">
        <f t="shared" si="19"/>
        <v>R-49</v>
      </c>
      <c r="H432" s="325" t="str">
        <f t="shared" si="19"/>
        <v>Heating Zone 1</v>
      </c>
      <c r="I432" s="325" t="str">
        <f t="shared" si="19"/>
        <v>Multi Family Weatherization - Insulate Attic - R-0 to R-49 - Heating Zone 1</v>
      </c>
      <c r="J432" s="325" t="s">
        <v>1060</v>
      </c>
      <c r="K432" s="330">
        <f>Results!M20</f>
        <v>0.26102458689839569</v>
      </c>
      <c r="L432" s="331">
        <f>Results!N20</f>
        <v>8.2756733343863631E-2</v>
      </c>
    </row>
    <row r="433" spans="1:12" ht="15">
      <c r="A433" s="27" t="s">
        <v>1073</v>
      </c>
      <c r="B433" s="325" t="str">
        <f t="shared" si="19"/>
        <v>Ceili13</v>
      </c>
      <c r="C433" s="325" t="str">
        <f t="shared" si="19"/>
        <v>Ceiling13</v>
      </c>
      <c r="D433" s="325" t="str">
        <f t="shared" si="19"/>
        <v>Ceiling</v>
      </c>
      <c r="E433" s="325">
        <f t="shared" si="19"/>
        <v>13</v>
      </c>
      <c r="F433" s="325" t="str">
        <f t="shared" si="19"/>
        <v>R-30</v>
      </c>
      <c r="G433" s="325" t="str">
        <f t="shared" si="19"/>
        <v>R-38</v>
      </c>
      <c r="H433" s="325" t="str">
        <f t="shared" si="19"/>
        <v>Heating Zone 1</v>
      </c>
      <c r="I433" s="325" t="str">
        <f t="shared" si="19"/>
        <v>Multi Family Weatherization - Insulate Attic - R-30 to R-38 - Heating Zone 1</v>
      </c>
      <c r="J433" s="325" t="s">
        <v>1060</v>
      </c>
      <c r="K433" s="336">
        <f>Results!M21</f>
        <v>1.811531283422466E-2</v>
      </c>
      <c r="L433" s="331">
        <f>Results!N21</f>
        <v>5.704400053977249E-3</v>
      </c>
    </row>
    <row r="434" spans="1:12" ht="15">
      <c r="A434" s="27" t="s">
        <v>1074</v>
      </c>
      <c r="B434" s="325" t="str">
        <f t="shared" si="19"/>
        <v>Ceili14</v>
      </c>
      <c r="C434" s="325" t="str">
        <f t="shared" si="19"/>
        <v>Ceiling14</v>
      </c>
      <c r="D434" s="325" t="str">
        <f t="shared" si="19"/>
        <v>Ceiling</v>
      </c>
      <c r="E434" s="325">
        <f t="shared" si="19"/>
        <v>14</v>
      </c>
      <c r="F434" s="325" t="str">
        <f t="shared" si="19"/>
        <v>R-30</v>
      </c>
      <c r="G434" s="325" t="str">
        <f t="shared" si="19"/>
        <v>R-49</v>
      </c>
      <c r="H434" s="325" t="str">
        <f t="shared" si="19"/>
        <v>Heating Zone 1</v>
      </c>
      <c r="I434" s="325" t="str">
        <f t="shared" si="19"/>
        <v>Multi Family Weatherization - Insulate Attic - R-30 to R-49 - Heating Zone 1</v>
      </c>
      <c r="J434" s="325" t="s">
        <v>1060</v>
      </c>
      <c r="K434" s="336">
        <f>Results!M22</f>
        <v>3.3114898395721806E-2</v>
      </c>
      <c r="L434" s="331">
        <f>Results!N22</f>
        <v>1.0513698167045449E-2</v>
      </c>
    </row>
    <row r="435" spans="1:12" ht="15">
      <c r="A435" s="27" t="s">
        <v>1075</v>
      </c>
      <c r="B435" s="325" t="str">
        <f t="shared" si="19"/>
        <v>Ceili15</v>
      </c>
      <c r="C435" s="325" t="str">
        <f t="shared" si="19"/>
        <v>Ceiling15</v>
      </c>
      <c r="D435" s="325" t="str">
        <f t="shared" si="19"/>
        <v>Ceiling</v>
      </c>
      <c r="E435" s="325">
        <f t="shared" si="19"/>
        <v>15</v>
      </c>
      <c r="F435" s="325" t="str">
        <f t="shared" si="19"/>
        <v>R-19</v>
      </c>
      <c r="G435" s="325" t="str">
        <f t="shared" si="19"/>
        <v>R-30</v>
      </c>
      <c r="H435" s="325" t="str">
        <f t="shared" si="19"/>
        <v>Heating Zone 1</v>
      </c>
      <c r="I435" s="325" t="str">
        <f t="shared" si="19"/>
        <v>Multi Family Weatherization - Insulate Attic - R-19 to R-30 - Heating Zone 1</v>
      </c>
      <c r="J435" s="325" t="s">
        <v>1060</v>
      </c>
      <c r="K435" s="332">
        <f>Results!M23</f>
        <v>4.7330994652406172E-2</v>
      </c>
      <c r="L435" s="333">
        <f>Results!N23</f>
        <v>1.4979764692045476E-2</v>
      </c>
    </row>
    <row r="436" spans="1:12" ht="15">
      <c r="A436" s="27" t="s">
        <v>1076</v>
      </c>
      <c r="B436" s="325" t="str">
        <f t="shared" ref="B436:I451" si="20">B298</f>
        <v>Ceili16</v>
      </c>
      <c r="C436" s="325" t="str">
        <f t="shared" si="20"/>
        <v>Ceiling16</v>
      </c>
      <c r="D436" s="325" t="str">
        <f t="shared" si="20"/>
        <v>Ceiling</v>
      </c>
      <c r="E436" s="325">
        <f t="shared" si="20"/>
        <v>16</v>
      </c>
      <c r="F436" s="325" t="str">
        <f t="shared" si="20"/>
        <v>R-19</v>
      </c>
      <c r="G436" s="325" t="str">
        <f t="shared" si="20"/>
        <v>R-38</v>
      </c>
      <c r="H436" s="325" t="str">
        <f t="shared" si="20"/>
        <v>Heating Zone 1</v>
      </c>
      <c r="I436" s="325" t="str">
        <f t="shared" si="20"/>
        <v>Multi Family Weatherization - Insulate Attic - R-19 to R-38 - Heating Zone 1</v>
      </c>
      <c r="J436" s="325" t="s">
        <v>1060</v>
      </c>
      <c r="K436" s="330">
        <f>Results!M24</f>
        <v>6.5446307486630814E-2</v>
      </c>
      <c r="L436" s="331">
        <f>Results!N24</f>
        <v>2.0684164746022721E-2</v>
      </c>
    </row>
    <row r="437" spans="1:12" ht="15">
      <c r="A437" s="27" t="s">
        <v>1077</v>
      </c>
      <c r="B437" s="325" t="str">
        <f t="shared" si="20"/>
        <v>Ceili17</v>
      </c>
      <c r="C437" s="325" t="str">
        <f t="shared" si="20"/>
        <v>Ceiling17</v>
      </c>
      <c r="D437" s="325" t="str">
        <f t="shared" si="20"/>
        <v>Ceiling</v>
      </c>
      <c r="E437" s="325">
        <f t="shared" si="20"/>
        <v>17</v>
      </c>
      <c r="F437" s="325" t="str">
        <f t="shared" si="20"/>
        <v>R-19</v>
      </c>
      <c r="G437" s="325" t="str">
        <f t="shared" si="20"/>
        <v>R-49</v>
      </c>
      <c r="H437" s="325" t="str">
        <f t="shared" si="20"/>
        <v>Heating Zone 1</v>
      </c>
      <c r="I437" s="325" t="str">
        <f t="shared" si="20"/>
        <v>Multi Family Weatherization - Insulate Attic - R-19 to R-49 - Heating Zone 1</v>
      </c>
      <c r="J437" s="325" t="s">
        <v>1060</v>
      </c>
      <c r="K437" s="330">
        <f>Results!M25</f>
        <v>8.0445893048127964E-2</v>
      </c>
      <c r="L437" s="331">
        <f>Results!N25</f>
        <v>2.5493462859090925E-2</v>
      </c>
    </row>
    <row r="438" spans="1:12" ht="15">
      <c r="A438" s="27" t="s">
        <v>1078</v>
      </c>
      <c r="B438" s="325" t="str">
        <f t="shared" si="20"/>
        <v>Ceili18</v>
      </c>
      <c r="C438" s="325" t="str">
        <f t="shared" si="20"/>
        <v>Ceiling18</v>
      </c>
      <c r="D438" s="325" t="str">
        <f t="shared" si="20"/>
        <v>Ceiling</v>
      </c>
      <c r="E438" s="325">
        <f t="shared" si="20"/>
        <v>18</v>
      </c>
      <c r="F438" s="325" t="str">
        <f t="shared" si="20"/>
        <v>R-38</v>
      </c>
      <c r="G438" s="325" t="str">
        <f t="shared" si="20"/>
        <v>R-49</v>
      </c>
      <c r="H438" s="325" t="str">
        <f t="shared" si="20"/>
        <v>Heating Zone 1</v>
      </c>
      <c r="I438" s="325" t="str">
        <f t="shared" si="20"/>
        <v>Multi Family Weatherization - Insulate Attic - R-38 to R-49 - Heating Zone 1</v>
      </c>
      <c r="J438" s="325" t="s">
        <v>1060</v>
      </c>
      <c r="K438" s="337">
        <f>Results!M26</f>
        <v>1.4999585561497148E-2</v>
      </c>
      <c r="L438" s="338">
        <f>Results!N26</f>
        <v>4.8092981130681989E-3</v>
      </c>
    </row>
    <row r="439" spans="1:12" ht="15">
      <c r="A439" s="27" t="s">
        <v>1079</v>
      </c>
      <c r="B439" s="325" t="str">
        <f t="shared" si="20"/>
        <v>Windo10</v>
      </c>
      <c r="C439" s="325" t="str">
        <f t="shared" si="20"/>
        <v>Windows10</v>
      </c>
      <c r="D439" s="325" t="str">
        <f t="shared" si="20"/>
        <v>Windows</v>
      </c>
      <c r="E439" s="325">
        <f t="shared" si="20"/>
        <v>10</v>
      </c>
      <c r="F439" s="325" t="str">
        <f t="shared" si="20"/>
        <v>Class 85</v>
      </c>
      <c r="G439" s="325" t="str">
        <f t="shared" si="20"/>
        <v>Class 35</v>
      </c>
      <c r="H439" s="325" t="str">
        <f t="shared" si="20"/>
        <v>Heating Zone 1</v>
      </c>
      <c r="I439" s="325" t="str">
        <f t="shared" si="20"/>
        <v>Windows - Class 85 to Class 35 - Heating Zone 1</v>
      </c>
      <c r="J439" s="325" t="s">
        <v>1060</v>
      </c>
      <c r="K439" s="332">
        <f>Results!M27</f>
        <v>-3.3919558332190682</v>
      </c>
      <c r="L439" s="333">
        <f>Results!N27</f>
        <v>-0.79742802647600997</v>
      </c>
    </row>
    <row r="440" spans="1:12" ht="15">
      <c r="A440" s="27" t="s">
        <v>1080</v>
      </c>
      <c r="B440" s="325" t="str">
        <f t="shared" si="20"/>
        <v>Windo11</v>
      </c>
      <c r="C440" s="325" t="str">
        <f t="shared" si="20"/>
        <v>Windows11</v>
      </c>
      <c r="D440" s="325" t="str">
        <f t="shared" si="20"/>
        <v>Windows</v>
      </c>
      <c r="E440" s="325">
        <f t="shared" si="20"/>
        <v>11</v>
      </c>
      <c r="F440" s="325" t="str">
        <f t="shared" si="20"/>
        <v>Class 85</v>
      </c>
      <c r="G440" s="325" t="str">
        <f t="shared" si="20"/>
        <v>Class 30</v>
      </c>
      <c r="H440" s="325" t="str">
        <f t="shared" si="20"/>
        <v>Heating Zone 1</v>
      </c>
      <c r="I440" s="325" t="str">
        <f t="shared" si="20"/>
        <v>Windows - Class 85 to Class 30 - Heating Zone 1</v>
      </c>
      <c r="J440" s="325" t="s">
        <v>1060</v>
      </c>
      <c r="K440" s="332">
        <f>Results!M28</f>
        <v>-2.8008934126331186</v>
      </c>
      <c r="L440" s="333">
        <f>Results!N28</f>
        <v>-0.8043982191222806</v>
      </c>
    </row>
    <row r="441" spans="1:12" ht="15">
      <c r="A441" s="27" t="s">
        <v>1081</v>
      </c>
      <c r="B441" s="325" t="str">
        <f t="shared" si="20"/>
        <v>Windo12</v>
      </c>
      <c r="C441" s="325" t="str">
        <f t="shared" si="20"/>
        <v>Windows12</v>
      </c>
      <c r="D441" s="325" t="str">
        <f t="shared" si="20"/>
        <v>Windows</v>
      </c>
      <c r="E441" s="325">
        <f t="shared" si="20"/>
        <v>12</v>
      </c>
      <c r="F441" s="325" t="str">
        <f t="shared" si="20"/>
        <v>Class 85</v>
      </c>
      <c r="G441" s="325" t="str">
        <f t="shared" si="20"/>
        <v>Class 25</v>
      </c>
      <c r="H441" s="325" t="str">
        <f t="shared" si="20"/>
        <v>Heating Zone 1</v>
      </c>
      <c r="I441" s="325" t="str">
        <f t="shared" si="20"/>
        <v>Windows - Class 85 to Class 25 - Heating Zone 1</v>
      </c>
      <c r="J441" s="325" t="s">
        <v>1060</v>
      </c>
      <c r="K441" s="332">
        <f>Results!M29</f>
        <v>0</v>
      </c>
      <c r="L441" s="333">
        <f>Results!N29</f>
        <v>0</v>
      </c>
    </row>
    <row r="442" spans="1:12" ht="15">
      <c r="A442" s="27" t="s">
        <v>1082</v>
      </c>
      <c r="B442" s="325" t="str">
        <f t="shared" si="20"/>
        <v>Windo13</v>
      </c>
      <c r="C442" s="325" t="str">
        <f t="shared" si="20"/>
        <v>Windows13</v>
      </c>
      <c r="D442" s="325" t="str">
        <f t="shared" si="20"/>
        <v>Windows</v>
      </c>
      <c r="E442" s="325">
        <f t="shared" si="20"/>
        <v>13</v>
      </c>
      <c r="F442" s="325" t="str">
        <f t="shared" si="20"/>
        <v>Class 85</v>
      </c>
      <c r="G442" s="325" t="str">
        <f t="shared" si="20"/>
        <v>Class 20</v>
      </c>
      <c r="H442" s="325" t="str">
        <f t="shared" si="20"/>
        <v>Heating Zone 1</v>
      </c>
      <c r="I442" s="325" t="str">
        <f t="shared" si="20"/>
        <v>Windows - Class 85 to Class 20 - Heating Zone 1</v>
      </c>
      <c r="J442" s="325" t="s">
        <v>1060</v>
      </c>
      <c r="K442" s="332">
        <f>Results!M30</f>
        <v>-1.6931300436491612</v>
      </c>
      <c r="L442" s="333">
        <f>Results!N30</f>
        <v>-0.77773817469794104</v>
      </c>
    </row>
    <row r="443" spans="1:12" ht="15">
      <c r="A443" s="27" t="s">
        <v>1083</v>
      </c>
      <c r="B443" s="325" t="str">
        <f t="shared" si="20"/>
        <v>Windo14</v>
      </c>
      <c r="C443" s="325" t="str">
        <f t="shared" si="20"/>
        <v>Windows14</v>
      </c>
      <c r="D443" s="325" t="str">
        <f t="shared" si="20"/>
        <v>Windows</v>
      </c>
      <c r="E443" s="325">
        <f t="shared" si="20"/>
        <v>14</v>
      </c>
      <c r="F443" s="325" t="str">
        <f t="shared" si="20"/>
        <v>Class 85</v>
      </c>
      <c r="G443" s="325" t="str">
        <f t="shared" si="20"/>
        <v>Class 15</v>
      </c>
      <c r="H443" s="325" t="str">
        <f t="shared" si="20"/>
        <v>Heating Zone 1</v>
      </c>
      <c r="I443" s="325" t="str">
        <f t="shared" si="20"/>
        <v>Windows - Class 85 to Class 15 - Heating Zone 1</v>
      </c>
      <c r="J443" s="325" t="s">
        <v>1060</v>
      </c>
      <c r="K443" s="332">
        <f>Results!M31</f>
        <v>-1.0371827631518811</v>
      </c>
      <c r="L443" s="333">
        <f>Results!N31</f>
        <v>-0.86672509851223789</v>
      </c>
    </row>
    <row r="444" spans="1:12" ht="15">
      <c r="A444" s="27" t="s">
        <v>1084</v>
      </c>
      <c r="B444" s="325" t="str">
        <f t="shared" si="20"/>
        <v>Windo15</v>
      </c>
      <c r="C444" s="325" t="str">
        <f t="shared" si="20"/>
        <v>Windows15</v>
      </c>
      <c r="D444" s="325" t="str">
        <f t="shared" si="20"/>
        <v>Windows</v>
      </c>
      <c r="E444" s="325">
        <f t="shared" si="20"/>
        <v>15</v>
      </c>
      <c r="F444" s="325" t="str">
        <f t="shared" si="20"/>
        <v>Class 50</v>
      </c>
      <c r="G444" s="325" t="str">
        <f t="shared" si="20"/>
        <v>Class 35</v>
      </c>
      <c r="H444" s="325" t="str">
        <f t="shared" si="20"/>
        <v>Heating Zone 1</v>
      </c>
      <c r="I444" s="325" t="str">
        <f t="shared" si="20"/>
        <v>Windows - Class 50 to Class 35 - Heating Zone 1</v>
      </c>
      <c r="J444" s="325" t="s">
        <v>1060</v>
      </c>
      <c r="K444" s="332">
        <f>Results!M32</f>
        <v>0.72873547065679434</v>
      </c>
      <c r="L444" s="333">
        <f>Results!N32</f>
        <v>1.4816125220064105</v>
      </c>
    </row>
    <row r="445" spans="1:12" ht="15">
      <c r="A445" s="27" t="s">
        <v>1085</v>
      </c>
      <c r="B445" s="325" t="str">
        <f t="shared" si="20"/>
        <v>Windo16</v>
      </c>
      <c r="C445" s="325" t="str">
        <f t="shared" si="20"/>
        <v>Windows16</v>
      </c>
      <c r="D445" s="325" t="str">
        <f t="shared" si="20"/>
        <v>Windows</v>
      </c>
      <c r="E445" s="325">
        <f t="shared" si="20"/>
        <v>16</v>
      </c>
      <c r="F445" s="325" t="str">
        <f t="shared" si="20"/>
        <v>Class 50</v>
      </c>
      <c r="G445" s="325" t="str">
        <f t="shared" si="20"/>
        <v>Class 30</v>
      </c>
      <c r="H445" s="325" t="str">
        <f t="shared" si="20"/>
        <v>Heating Zone 1</v>
      </c>
      <c r="I445" s="325" t="str">
        <f t="shared" si="20"/>
        <v>Windows - Class 50 to Class 30 - Heating Zone 1</v>
      </c>
      <c r="J445" s="325" t="s">
        <v>1060</v>
      </c>
      <c r="K445" s="332">
        <f>Results!M33</f>
        <v>1.3197978912427439</v>
      </c>
      <c r="L445" s="333">
        <f>Results!N33</f>
        <v>1.4746423293601398</v>
      </c>
    </row>
    <row r="446" spans="1:12" ht="15">
      <c r="A446" s="27" t="s">
        <v>1086</v>
      </c>
      <c r="B446" s="325" t="str">
        <f t="shared" si="20"/>
        <v>Windo17</v>
      </c>
      <c r="C446" s="325" t="str">
        <f t="shared" si="20"/>
        <v>Windows17</v>
      </c>
      <c r="D446" s="325" t="str">
        <f t="shared" si="20"/>
        <v>Windows</v>
      </c>
      <c r="E446" s="325">
        <f t="shared" si="20"/>
        <v>17</v>
      </c>
      <c r="F446" s="325" t="str">
        <f t="shared" si="20"/>
        <v>Class 50</v>
      </c>
      <c r="G446" s="325" t="str">
        <f t="shared" si="20"/>
        <v>Class 25</v>
      </c>
      <c r="H446" s="325" t="str">
        <f t="shared" si="20"/>
        <v>Heating Zone 1</v>
      </c>
      <c r="I446" s="325" t="str">
        <f t="shared" si="20"/>
        <v>Windows - Class 50 to Class 25 - Heating Zone 1</v>
      </c>
      <c r="J446" s="325" t="s">
        <v>1060</v>
      </c>
      <c r="K446" s="332">
        <f>Results!M34</f>
        <v>4.1206913038758621</v>
      </c>
      <c r="L446" s="333">
        <f>Results!N34</f>
        <v>2.2790405484824201</v>
      </c>
    </row>
    <row r="447" spans="1:12" ht="15">
      <c r="A447" s="27" t="s">
        <v>1087</v>
      </c>
      <c r="B447" s="325" t="str">
        <f t="shared" si="20"/>
        <v>Windo18</v>
      </c>
      <c r="C447" s="325" t="str">
        <f t="shared" si="20"/>
        <v>Windows18</v>
      </c>
      <c r="D447" s="325" t="str">
        <f t="shared" si="20"/>
        <v>Windows</v>
      </c>
      <c r="E447" s="325">
        <f t="shared" si="20"/>
        <v>18</v>
      </c>
      <c r="F447" s="325" t="str">
        <f t="shared" si="20"/>
        <v>Class 50</v>
      </c>
      <c r="G447" s="325" t="str">
        <f t="shared" si="20"/>
        <v>Class 20</v>
      </c>
      <c r="H447" s="325" t="str">
        <f t="shared" si="20"/>
        <v>Heating Zone 1</v>
      </c>
      <c r="I447" s="325" t="str">
        <f t="shared" si="20"/>
        <v>Windows - Class 50 to Class 20 - Heating Zone 1</v>
      </c>
      <c r="J447" s="325" t="s">
        <v>1060</v>
      </c>
      <c r="K447" s="332">
        <f>Results!M35</f>
        <v>2.4275612602267009</v>
      </c>
      <c r="L447" s="333">
        <f>Results!N35</f>
        <v>1.5013023737844793</v>
      </c>
    </row>
    <row r="448" spans="1:12" ht="15">
      <c r="A448" s="27" t="s">
        <v>1088</v>
      </c>
      <c r="B448" s="325" t="str">
        <f t="shared" si="20"/>
        <v>Windo19</v>
      </c>
      <c r="C448" s="325" t="str">
        <f t="shared" si="20"/>
        <v>Windows19</v>
      </c>
      <c r="D448" s="325" t="str">
        <f t="shared" si="20"/>
        <v>Windows</v>
      </c>
      <c r="E448" s="325">
        <f t="shared" si="20"/>
        <v>19</v>
      </c>
      <c r="F448" s="325" t="str">
        <f t="shared" si="20"/>
        <v>Class 35</v>
      </c>
      <c r="G448" s="325" t="str">
        <f t="shared" si="20"/>
        <v>Class 22</v>
      </c>
      <c r="H448" s="325" t="str">
        <f t="shared" si="20"/>
        <v>Heating Zone 1</v>
      </c>
      <c r="I448" s="325" t="str">
        <f t="shared" si="20"/>
        <v>Windows - Class 35 to Class 22 - Heating Zone 1</v>
      </c>
      <c r="J448" s="325" t="s">
        <v>1060</v>
      </c>
      <c r="K448" s="332">
        <f>Results!M36</f>
        <v>1.4590047579871106</v>
      </c>
      <c r="L448" s="333">
        <f>Results!N36</f>
        <v>1.9762187760295355E-2</v>
      </c>
    </row>
    <row r="449" spans="1:12" ht="15">
      <c r="A449" s="27" t="s">
        <v>1089</v>
      </c>
      <c r="B449" s="325" t="str">
        <f t="shared" si="20"/>
        <v>Windo20</v>
      </c>
      <c r="C449" s="325" t="str">
        <f t="shared" si="20"/>
        <v>Windows20</v>
      </c>
      <c r="D449" s="325" t="str">
        <f t="shared" si="20"/>
        <v>Windows</v>
      </c>
      <c r="E449" s="325">
        <f t="shared" si="20"/>
        <v>20</v>
      </c>
      <c r="F449" s="325" t="str">
        <f t="shared" si="20"/>
        <v>Single Pane</v>
      </c>
      <c r="G449" s="325" t="str">
        <f t="shared" si="20"/>
        <v>Class 22</v>
      </c>
      <c r="H449" s="325" t="str">
        <f t="shared" si="20"/>
        <v>Heating Zone 1</v>
      </c>
      <c r="I449" s="325" t="str">
        <f t="shared" si="20"/>
        <v>Windows - Single Pane to Class 22 - Heating Zone 1</v>
      </c>
      <c r="J449" s="325" t="s">
        <v>1060</v>
      </c>
      <c r="K449" s="332">
        <f>Results!M37</f>
        <v>11.250643500045708</v>
      </c>
      <c r="L449" s="333">
        <f>Results!N37</f>
        <v>0.84777854990734269</v>
      </c>
    </row>
    <row r="450" spans="1:12" ht="15">
      <c r="A450" s="27" t="s">
        <v>1090</v>
      </c>
      <c r="B450" s="325" t="str">
        <f t="shared" si="20"/>
        <v>Windo21</v>
      </c>
      <c r="C450" s="325" t="str">
        <f t="shared" si="20"/>
        <v>Windows21</v>
      </c>
      <c r="D450" s="325" t="str">
        <f t="shared" si="20"/>
        <v>Windows</v>
      </c>
      <c r="E450" s="325">
        <f t="shared" si="20"/>
        <v>21</v>
      </c>
      <c r="F450" s="325" t="str">
        <f t="shared" si="20"/>
        <v>Double Pane</v>
      </c>
      <c r="G450" s="325" t="str">
        <f t="shared" si="20"/>
        <v>Class 22</v>
      </c>
      <c r="H450" s="325" t="str">
        <f t="shared" si="20"/>
        <v>Heating Zone 1</v>
      </c>
      <c r="I450" s="325" t="str">
        <f t="shared" si="20"/>
        <v>Windows - Double Pane to Class 22 - Heating Zone 1</v>
      </c>
      <c r="J450" s="325" t="s">
        <v>1060</v>
      </c>
      <c r="K450" s="332">
        <f>Results!M38</f>
        <v>6.6092348530554412</v>
      </c>
      <c r="L450" s="333">
        <f>Results!N38</f>
        <v>1.3172857550165116</v>
      </c>
    </row>
    <row r="451" spans="1:12" ht="15">
      <c r="A451" s="27" t="s">
        <v>1091</v>
      </c>
      <c r="B451" s="325" t="str">
        <f t="shared" si="20"/>
        <v>Windo22</v>
      </c>
      <c r="C451" s="325" t="str">
        <f t="shared" si="20"/>
        <v>Windows22</v>
      </c>
      <c r="D451" s="325" t="str">
        <f t="shared" si="20"/>
        <v>Windows</v>
      </c>
      <c r="E451" s="325">
        <f t="shared" si="20"/>
        <v>22</v>
      </c>
      <c r="F451" s="325" t="str">
        <f t="shared" si="20"/>
        <v>Single Pane</v>
      </c>
      <c r="G451" s="325" t="str">
        <f t="shared" si="20"/>
        <v>Class 30</v>
      </c>
      <c r="H451" s="325" t="str">
        <f t="shared" si="20"/>
        <v>Heating Zone 1</v>
      </c>
      <c r="I451" s="325" t="str">
        <f t="shared" si="20"/>
        <v>Windows - Single Pane to Class 30 - Heating Zone 1</v>
      </c>
      <c r="J451" s="325" t="s">
        <v>1060</v>
      </c>
      <c r="K451" s="330">
        <f>Results!M39</f>
        <v>10.382701162644546</v>
      </c>
      <c r="L451" s="331">
        <f>Results!N39</f>
        <v>0.82104616950077669</v>
      </c>
    </row>
    <row r="452" spans="1:12" ht="15">
      <c r="A452" s="27" t="s">
        <v>1092</v>
      </c>
      <c r="B452" s="325" t="str">
        <f t="shared" ref="B452:I467" si="21">B314</f>
        <v>Windo23</v>
      </c>
      <c r="C452" s="325" t="str">
        <f t="shared" si="21"/>
        <v>Windows23</v>
      </c>
      <c r="D452" s="325" t="str">
        <f t="shared" si="21"/>
        <v>Windows</v>
      </c>
      <c r="E452" s="325">
        <f t="shared" si="21"/>
        <v>23</v>
      </c>
      <c r="F452" s="325" t="str">
        <f t="shared" si="21"/>
        <v>Double Pane</v>
      </c>
      <c r="G452" s="325" t="str">
        <f t="shared" si="21"/>
        <v>Class 30</v>
      </c>
      <c r="H452" s="325" t="str">
        <f t="shared" si="21"/>
        <v>Heating Zone 1</v>
      </c>
      <c r="I452" s="325" t="str">
        <f t="shared" si="21"/>
        <v>Windows - Double Pane to Class 30 - Heating Zone 1</v>
      </c>
      <c r="J452" s="325" t="s">
        <v>1060</v>
      </c>
      <c r="K452" s="330">
        <f>Results!M40</f>
        <v>5.7412925156542798</v>
      </c>
      <c r="L452" s="331">
        <f>Results!N40</f>
        <v>1.2905533746099456</v>
      </c>
    </row>
    <row r="453" spans="1:12" ht="15">
      <c r="A453" s="27" t="s">
        <v>1093</v>
      </c>
      <c r="B453" s="325" t="str">
        <f t="shared" si="21"/>
        <v>Windo24</v>
      </c>
      <c r="C453" s="325" t="str">
        <f t="shared" si="21"/>
        <v>Windows24</v>
      </c>
      <c r="D453" s="325" t="str">
        <f t="shared" si="21"/>
        <v>Windows</v>
      </c>
      <c r="E453" s="325">
        <f t="shared" si="21"/>
        <v>24</v>
      </c>
      <c r="F453" s="325" t="str">
        <f t="shared" si="21"/>
        <v>Class 35</v>
      </c>
      <c r="G453" s="325" t="str">
        <f t="shared" si="21"/>
        <v>Class 30</v>
      </c>
      <c r="H453" s="325" t="str">
        <f t="shared" si="21"/>
        <v>Heating Zone 1</v>
      </c>
      <c r="I453" s="325" t="str">
        <f t="shared" si="21"/>
        <v>Windows - Class 35 to Class 30 - Heating Zone 1</v>
      </c>
      <c r="J453" s="325" t="s">
        <v>1060</v>
      </c>
      <c r="K453" s="330">
        <f>Results!M41</f>
        <v>0.5910624205859496</v>
      </c>
      <c r="L453" s="331">
        <f>Results!N41</f>
        <v>-6.9701926462704851E-3</v>
      </c>
    </row>
    <row r="454" spans="1:12" ht="15">
      <c r="A454" s="27" t="s">
        <v>1094</v>
      </c>
      <c r="B454" s="325" t="str">
        <f t="shared" si="21"/>
        <v>Infil10</v>
      </c>
      <c r="C454" s="325" t="str">
        <f t="shared" si="21"/>
        <v>Infiltration10</v>
      </c>
      <c r="D454" s="325" t="str">
        <f t="shared" si="21"/>
        <v>Infiltration</v>
      </c>
      <c r="E454" s="325">
        <f t="shared" si="21"/>
        <v>10</v>
      </c>
      <c r="F454" s="325" t="str">
        <f t="shared" si="21"/>
        <v>0.45 ACHn</v>
      </c>
      <c r="G454" s="325" t="str">
        <f t="shared" si="21"/>
        <v>0.35 ACHn</v>
      </c>
      <c r="H454" s="325" t="str">
        <f t="shared" si="21"/>
        <v>Heating Zone 1</v>
      </c>
      <c r="I454" s="325" t="str">
        <f t="shared" si="21"/>
        <v>Infiltration Reduction - 0.45 ACHn to 0.35 ACHn - Heating Zone 1</v>
      </c>
      <c r="J454" s="325" t="s">
        <v>1060</v>
      </c>
      <c r="K454" s="334">
        <f>Results!M42</f>
        <v>0</v>
      </c>
      <c r="L454" s="335">
        <f>Results!N42</f>
        <v>0</v>
      </c>
    </row>
    <row r="455" spans="1:12" ht="15">
      <c r="A455" s="27" t="s">
        <v>1095</v>
      </c>
      <c r="B455" s="325" t="str">
        <f t="shared" si="21"/>
        <v>Infil11</v>
      </c>
      <c r="C455" s="325" t="str">
        <f t="shared" si="21"/>
        <v>Infiltration11</v>
      </c>
      <c r="D455" s="325" t="str">
        <f t="shared" si="21"/>
        <v>Infiltration</v>
      </c>
      <c r="E455" s="325">
        <f t="shared" si="21"/>
        <v>11</v>
      </c>
      <c r="F455" s="325" t="str">
        <f t="shared" si="21"/>
        <v>0.45 ACHn</v>
      </c>
      <c r="G455" s="325" t="str">
        <f t="shared" si="21"/>
        <v>0.20 ACHn</v>
      </c>
      <c r="H455" s="325" t="str">
        <f t="shared" si="21"/>
        <v>Heating Zone 1</v>
      </c>
      <c r="I455" s="325" t="str">
        <f t="shared" si="21"/>
        <v>Infiltration Reduction - 0.45 ACHn to 0.20 ACHn - Heating Zone 1</v>
      </c>
      <c r="J455" s="325" t="s">
        <v>1060</v>
      </c>
      <c r="K455" s="332">
        <f>Results!M43</f>
        <v>0</v>
      </c>
      <c r="L455" s="333">
        <f>Results!N43</f>
        <v>0</v>
      </c>
    </row>
    <row r="456" spans="1:12" ht="15">
      <c r="A456" s="27" t="s">
        <v>1096</v>
      </c>
      <c r="B456" s="325" t="str">
        <f t="shared" si="21"/>
        <v>Infil12</v>
      </c>
      <c r="C456" s="325" t="str">
        <f t="shared" si="21"/>
        <v>Infiltration12</v>
      </c>
      <c r="D456" s="325" t="str">
        <f t="shared" si="21"/>
        <v>Infiltration</v>
      </c>
      <c r="E456" s="325">
        <f t="shared" si="21"/>
        <v>12</v>
      </c>
      <c r="F456" s="325" t="str">
        <f t="shared" si="21"/>
        <v>0.35 ACHn</v>
      </c>
      <c r="G456" s="325" t="str">
        <f t="shared" si="21"/>
        <v>0.20 ACHn</v>
      </c>
      <c r="H456" s="325" t="str">
        <f t="shared" si="21"/>
        <v>Heating Zone 1</v>
      </c>
      <c r="I456" s="325" t="str">
        <f t="shared" si="21"/>
        <v>Infiltration Reduction - 0.35 ACHn to 0.20 ACHn - Heating Zone 1</v>
      </c>
      <c r="J456" s="325" t="s">
        <v>1060</v>
      </c>
      <c r="K456" s="339">
        <f>Results!M44</f>
        <v>0</v>
      </c>
      <c r="L456" s="340">
        <f>Results!N44</f>
        <v>0</v>
      </c>
    </row>
    <row r="457" spans="1:12" ht="15">
      <c r="A457" s="27" t="s">
        <v>1097</v>
      </c>
      <c r="B457" s="325" t="str">
        <f t="shared" si="21"/>
        <v>DuctT10</v>
      </c>
      <c r="C457" s="325" t="str">
        <f t="shared" si="21"/>
        <v>DuctTightness10</v>
      </c>
      <c r="D457" s="325" t="str">
        <f t="shared" si="21"/>
        <v>DuctTightness</v>
      </c>
      <c r="E457" s="325">
        <f t="shared" si="21"/>
        <v>10</v>
      </c>
      <c r="F457" s="325" t="str">
        <f t="shared" si="21"/>
        <v>Std-crawl</v>
      </c>
      <c r="G457" s="325" t="str">
        <f t="shared" si="21"/>
        <v>PTCS-crawl</v>
      </c>
      <c r="H457" s="325" t="str">
        <f t="shared" si="21"/>
        <v>Heating Zone 1</v>
      </c>
      <c r="I457" s="325" t="str">
        <f t="shared" si="21"/>
        <v>DuctTightness - Std-crawl to PTCS-crawl - Heating Zone 1</v>
      </c>
      <c r="J457" s="325" t="s">
        <v>1060</v>
      </c>
      <c r="K457" s="341">
        <f>Results!M45</f>
        <v>1804.0034705882356</v>
      </c>
      <c r="L457" s="342">
        <f>Results!N45</f>
        <v>182.63513873749935</v>
      </c>
    </row>
    <row r="458" spans="1:12" ht="15">
      <c r="A458" s="27" t="s">
        <v>1098</v>
      </c>
      <c r="B458" s="325" t="str">
        <f t="shared" si="21"/>
        <v>DuctI10</v>
      </c>
      <c r="C458" s="325" t="str">
        <f t="shared" si="21"/>
        <v>DuctInsulation10</v>
      </c>
      <c r="D458" s="325" t="str">
        <f t="shared" si="21"/>
        <v>DuctInsulation</v>
      </c>
      <c r="E458" s="325">
        <f t="shared" si="21"/>
        <v>10</v>
      </c>
      <c r="F458" s="325" t="str">
        <f t="shared" si="21"/>
        <v>R-0</v>
      </c>
      <c r="G458" s="325" t="str">
        <f t="shared" si="21"/>
        <v>R-4.2</v>
      </c>
      <c r="H458" s="325" t="str">
        <f t="shared" si="21"/>
        <v>Heating Zone 1</v>
      </c>
      <c r="I458" s="325" t="str">
        <f t="shared" si="21"/>
        <v>DuctInsulation - R-0 to R-4.2 - Heating Zone 1</v>
      </c>
      <c r="J458" s="325" t="s">
        <v>1060</v>
      </c>
      <c r="K458" s="343">
        <f>Results!M46</f>
        <v>107.64573529411811</v>
      </c>
      <c r="L458" s="344">
        <f>Results!N46</f>
        <v>13.083932319999519</v>
      </c>
    </row>
    <row r="459" spans="1:12" ht="15">
      <c r="A459" s="27" t="s">
        <v>1099</v>
      </c>
      <c r="B459" s="325" t="str">
        <f t="shared" si="21"/>
        <v>DuctI11</v>
      </c>
      <c r="C459" s="325" t="str">
        <f t="shared" si="21"/>
        <v>DuctInsulation11</v>
      </c>
      <c r="D459" s="325" t="str">
        <f t="shared" si="21"/>
        <v>DuctInsulation</v>
      </c>
      <c r="E459" s="325">
        <f t="shared" si="21"/>
        <v>11</v>
      </c>
      <c r="F459" s="325" t="str">
        <f t="shared" si="21"/>
        <v>R-0</v>
      </c>
      <c r="G459" s="325" t="str">
        <f t="shared" si="21"/>
        <v>R-11</v>
      </c>
      <c r="H459" s="325" t="str">
        <f t="shared" si="21"/>
        <v>Heating Zone 1</v>
      </c>
      <c r="I459" s="325" t="str">
        <f t="shared" si="21"/>
        <v>DuctInsulation - R-0 to R-11 - Heating Zone 1</v>
      </c>
      <c r="J459" s="325" t="s">
        <v>1060</v>
      </c>
      <c r="K459" s="345">
        <f>Results!M47</f>
        <v>150.23039705882448</v>
      </c>
      <c r="L459" s="346">
        <f>Results!N47</f>
        <v>18.070686239999382</v>
      </c>
    </row>
    <row r="460" spans="1:12" ht="15">
      <c r="A460" s="27" t="s">
        <v>1100</v>
      </c>
      <c r="B460" s="325" t="str">
        <f t="shared" si="21"/>
        <v>DuctI12</v>
      </c>
      <c r="C460" s="325" t="str">
        <f t="shared" si="21"/>
        <v>DuctInsulation12</v>
      </c>
      <c r="D460" s="325" t="str">
        <f t="shared" si="21"/>
        <v>DuctInsulation</v>
      </c>
      <c r="E460" s="325">
        <f t="shared" si="21"/>
        <v>12</v>
      </c>
      <c r="F460" s="325" t="str">
        <f t="shared" si="21"/>
        <v>R-4.2</v>
      </c>
      <c r="G460" s="325" t="str">
        <f t="shared" si="21"/>
        <v>R-11</v>
      </c>
      <c r="H460" s="325" t="str">
        <f t="shared" si="21"/>
        <v>Heating Zone 1</v>
      </c>
      <c r="I460" s="325" t="str">
        <f t="shared" si="21"/>
        <v>DuctInsulation - R-4.2 to R-11 - Heating Zone 1</v>
      </c>
      <c r="J460" s="325" t="s">
        <v>1060</v>
      </c>
      <c r="K460" s="347">
        <f>Results!M48</f>
        <v>42.584661764706347</v>
      </c>
      <c r="L460" s="348">
        <f>Results!N48</f>
        <v>4.9867539199998641</v>
      </c>
    </row>
    <row r="461" spans="1:12" ht="15">
      <c r="A461" s="27" t="s">
        <v>1101</v>
      </c>
      <c r="B461" s="325" t="str">
        <f t="shared" si="21"/>
        <v>HeatP10</v>
      </c>
      <c r="C461" s="325" t="str">
        <f t="shared" si="21"/>
        <v>HeatPump10</v>
      </c>
      <c r="D461" s="325" t="str">
        <f t="shared" si="21"/>
        <v>HeatPump</v>
      </c>
      <c r="E461" s="325">
        <f t="shared" si="21"/>
        <v>10</v>
      </c>
      <c r="F461" s="325" t="str">
        <f t="shared" si="21"/>
        <v>7.7/13</v>
      </c>
      <c r="G461" s="325" t="str">
        <f t="shared" si="21"/>
        <v>8.5/13</v>
      </c>
      <c r="H461" s="325" t="str">
        <f t="shared" si="21"/>
        <v>Heating Zone 1</v>
      </c>
      <c r="I461" s="325" t="str">
        <f t="shared" si="21"/>
        <v>HeatPump Upgrade - 7.7/13 to 8.5/13 - Heating Zone 1</v>
      </c>
      <c r="J461" s="325" t="s">
        <v>1060</v>
      </c>
      <c r="K461" s="345">
        <f>Results!M49</f>
        <v>432.90699837662322</v>
      </c>
      <c r="L461" s="346">
        <f>Results!N49</f>
        <v>0</v>
      </c>
    </row>
    <row r="462" spans="1:12" ht="15">
      <c r="A462" s="27" t="s">
        <v>1102</v>
      </c>
      <c r="B462" s="325" t="str">
        <f t="shared" si="21"/>
        <v>HeatP11</v>
      </c>
      <c r="C462" s="325" t="str">
        <f t="shared" si="21"/>
        <v>HeatPump11</v>
      </c>
      <c r="D462" s="325" t="str">
        <f t="shared" si="21"/>
        <v>HeatPump</v>
      </c>
      <c r="E462" s="325">
        <f t="shared" si="21"/>
        <v>11</v>
      </c>
      <c r="F462" s="325" t="str">
        <f t="shared" si="21"/>
        <v>7.7/13</v>
      </c>
      <c r="G462" s="325" t="str">
        <f t="shared" si="21"/>
        <v>9.0/14</v>
      </c>
      <c r="H462" s="325" t="str">
        <f t="shared" si="21"/>
        <v>Heating Zone 1</v>
      </c>
      <c r="I462" s="325" t="str">
        <f t="shared" si="21"/>
        <v>HeatPump Upgrade - 7.7/13 to 9.0/14 - Heating Zone 1</v>
      </c>
      <c r="J462" s="325" t="s">
        <v>1060</v>
      </c>
      <c r="K462" s="345">
        <f>Results!M50</f>
        <v>632.84799837662331</v>
      </c>
      <c r="L462" s="346">
        <f>Results!N50</f>
        <v>142.48755442794632</v>
      </c>
    </row>
    <row r="463" spans="1:12" ht="15">
      <c r="A463" s="27" t="s">
        <v>1103</v>
      </c>
      <c r="B463" s="325" t="str">
        <f t="shared" si="21"/>
        <v>HeatP12</v>
      </c>
      <c r="C463" s="325" t="str">
        <f t="shared" si="21"/>
        <v>HeatPump12</v>
      </c>
      <c r="D463" s="325" t="str">
        <f t="shared" si="21"/>
        <v>HeatPump</v>
      </c>
      <c r="E463" s="325">
        <f t="shared" si="21"/>
        <v>12</v>
      </c>
      <c r="F463" s="325" t="str">
        <f t="shared" si="21"/>
        <v>7.7/13</v>
      </c>
      <c r="G463" s="325" t="str">
        <f t="shared" si="21"/>
        <v>8.2/13</v>
      </c>
      <c r="H463" s="325" t="str">
        <f t="shared" si="21"/>
        <v>Heating Zone 1</v>
      </c>
      <c r="I463" s="325" t="str">
        <f t="shared" si="21"/>
        <v>HeatPump Upgrade - 7.7/13 to 8.2/13 - Heating Zone 1</v>
      </c>
      <c r="J463" s="325" t="s">
        <v>1060</v>
      </c>
      <c r="K463" s="347">
        <f>Results!M51</f>
        <v>301.23853496198876</v>
      </c>
      <c r="L463" s="348">
        <f>Results!N51</f>
        <v>0</v>
      </c>
    </row>
    <row r="464" spans="1:12" ht="15.75" thickBot="1">
      <c r="A464" s="27" t="s">
        <v>1104</v>
      </c>
      <c r="B464" s="325" t="str">
        <f t="shared" si="21"/>
        <v>HPCnt10</v>
      </c>
      <c r="C464" s="325" t="str">
        <f t="shared" si="21"/>
        <v>HPCntrls10</v>
      </c>
      <c r="D464" s="325" t="str">
        <f t="shared" si="21"/>
        <v>HPCntrls</v>
      </c>
      <c r="E464" s="325">
        <f t="shared" si="21"/>
        <v>10</v>
      </c>
      <c r="F464" s="325" t="str">
        <f t="shared" si="21"/>
        <v>Standard</v>
      </c>
      <c r="G464" s="325" t="str">
        <f t="shared" si="21"/>
        <v>PTCS</v>
      </c>
      <c r="H464" s="325" t="str">
        <f t="shared" si="21"/>
        <v>Heating Zone 1</v>
      </c>
      <c r="I464" s="325" t="str">
        <f t="shared" si="21"/>
        <v>HPCntrls Upgrade - Standard to PTCS - Heating Zone 1</v>
      </c>
      <c r="J464" s="325" t="s">
        <v>1060</v>
      </c>
      <c r="K464" s="349">
        <f>Results!M52</f>
        <v>960.11493382352933</v>
      </c>
      <c r="L464" s="350">
        <f>Results!N52</f>
        <v>-4.7061317825000382</v>
      </c>
    </row>
    <row r="465" spans="1:12" ht="15">
      <c r="A465" s="27" t="s">
        <v>1105</v>
      </c>
      <c r="B465" s="325" t="str">
        <f t="shared" si="21"/>
        <v>Walls10</v>
      </c>
      <c r="C465" s="325" t="str">
        <f t="shared" si="21"/>
        <v>Walls10</v>
      </c>
      <c r="D465" s="325" t="str">
        <f t="shared" si="21"/>
        <v>Walls</v>
      </c>
      <c r="E465" s="325">
        <f t="shared" si="21"/>
        <v>10</v>
      </c>
      <c r="F465" s="325" t="str">
        <f t="shared" si="21"/>
        <v>R-0</v>
      </c>
      <c r="G465" s="325" t="str">
        <f t="shared" si="21"/>
        <v>R-11</v>
      </c>
      <c r="H465" s="325" t="str">
        <f t="shared" si="21"/>
        <v>Heating Zone 2</v>
      </c>
      <c r="I465" s="325" t="str">
        <f t="shared" si="21"/>
        <v>Multi Family Weatherization - Insulate Walls - R-0 to R-11 - Heating Zone 2</v>
      </c>
      <c r="J465" s="325" t="s">
        <v>1060</v>
      </c>
      <c r="K465" s="326">
        <f>Results!M53</f>
        <v>0.94762901670299338</v>
      </c>
      <c r="L465" s="327">
        <f>Results!N53</f>
        <v>-1.4720891361311062E-3</v>
      </c>
    </row>
    <row r="466" spans="1:12" ht="15">
      <c r="A466" s="27" t="s">
        <v>1106</v>
      </c>
      <c r="B466" s="325" t="str">
        <f t="shared" si="21"/>
        <v>BGWal10</v>
      </c>
      <c r="C466" s="325" t="str">
        <f t="shared" si="21"/>
        <v>BGWalls10</v>
      </c>
      <c r="D466" s="325" t="str">
        <f t="shared" si="21"/>
        <v>BGWalls</v>
      </c>
      <c r="E466" s="325">
        <f t="shared" si="21"/>
        <v>10</v>
      </c>
      <c r="F466" s="325" t="str">
        <f t="shared" si="21"/>
        <v>R-0</v>
      </c>
      <c r="G466" s="325" t="str">
        <f t="shared" si="21"/>
        <v>R-11</v>
      </c>
      <c r="H466" s="325" t="str">
        <f t="shared" si="21"/>
        <v>Heating Zone 2</v>
      </c>
      <c r="I466" s="325" t="str">
        <f t="shared" si="21"/>
        <v>Multi Family Weatherization - Insulate BGWalls - R-0 to R-11 - Heating Zone 2</v>
      </c>
      <c r="J466" s="325" t="s">
        <v>1060</v>
      </c>
      <c r="K466" s="328">
        <f>Results!M54</f>
        <v>0</v>
      </c>
      <c r="L466" s="329">
        <f>Results!N54</f>
        <v>0</v>
      </c>
    </row>
    <row r="467" spans="1:12" ht="15">
      <c r="A467" s="27" t="s">
        <v>1107</v>
      </c>
      <c r="B467" s="325" t="str">
        <f t="shared" si="21"/>
        <v>Floor10</v>
      </c>
      <c r="C467" s="325" t="str">
        <f t="shared" si="21"/>
        <v>Floors10</v>
      </c>
      <c r="D467" s="325" t="str">
        <f t="shared" si="21"/>
        <v>Floors</v>
      </c>
      <c r="E467" s="325">
        <f t="shared" si="21"/>
        <v>10</v>
      </c>
      <c r="F467" s="325" t="str">
        <f t="shared" si="21"/>
        <v>R-0</v>
      </c>
      <c r="G467" s="325" t="str">
        <f t="shared" si="21"/>
        <v>R-19</v>
      </c>
      <c r="H467" s="325" t="str">
        <f t="shared" si="21"/>
        <v>Heating Zone 2</v>
      </c>
      <c r="I467" s="325" t="str">
        <f t="shared" si="21"/>
        <v>Multi Family Weatherization - Insulate Floors - R-0 to R-19 - Heating Zone 2</v>
      </c>
      <c r="J467" s="325" t="s">
        <v>1060</v>
      </c>
      <c r="K467" s="330">
        <f>Results!M55</f>
        <v>0.31914214296948717</v>
      </c>
      <c r="L467" s="331">
        <f>Results!N55</f>
        <v>-8.7127406679545411E-2</v>
      </c>
    </row>
    <row r="468" spans="1:12" ht="15">
      <c r="A468" s="27" t="s">
        <v>1108</v>
      </c>
      <c r="B468" s="325" t="str">
        <f t="shared" ref="B468:I483" si="22">B330</f>
        <v>Floor11</v>
      </c>
      <c r="C468" s="325" t="str">
        <f t="shared" si="22"/>
        <v>Floors11</v>
      </c>
      <c r="D468" s="325" t="str">
        <f t="shared" si="22"/>
        <v>Floors</v>
      </c>
      <c r="E468" s="325">
        <f t="shared" si="22"/>
        <v>11</v>
      </c>
      <c r="F468" s="325" t="str">
        <f t="shared" si="22"/>
        <v>R-0</v>
      </c>
      <c r="G468" s="325" t="str">
        <f t="shared" si="22"/>
        <v>R-25</v>
      </c>
      <c r="H468" s="325" t="str">
        <f t="shared" si="22"/>
        <v>Heating Zone 2</v>
      </c>
      <c r="I468" s="325" t="str">
        <f t="shared" si="22"/>
        <v>Multi Family Weatherization - Insulate Floors - R-0 to R-25 - Heating Zone 2</v>
      </c>
      <c r="J468" s="325" t="s">
        <v>1060</v>
      </c>
      <c r="K468" s="332">
        <f>Results!M56</f>
        <v>0.36682181110412093</v>
      </c>
      <c r="L468" s="333">
        <f>Results!N56</f>
        <v>-0.10103703914385023</v>
      </c>
    </row>
    <row r="469" spans="1:12" ht="15">
      <c r="A469" s="27" t="s">
        <v>1109</v>
      </c>
      <c r="B469" s="325" t="str">
        <f t="shared" si="22"/>
        <v>Floor12</v>
      </c>
      <c r="C469" s="325" t="str">
        <f t="shared" si="22"/>
        <v>Floors12</v>
      </c>
      <c r="D469" s="325" t="str">
        <f t="shared" si="22"/>
        <v>Floors</v>
      </c>
      <c r="E469" s="325">
        <f t="shared" si="22"/>
        <v>12</v>
      </c>
      <c r="F469" s="325" t="str">
        <f t="shared" si="22"/>
        <v>R-0</v>
      </c>
      <c r="G469" s="325" t="str">
        <f t="shared" si="22"/>
        <v>R-30</v>
      </c>
      <c r="H469" s="325" t="str">
        <f t="shared" si="22"/>
        <v>Heating Zone 2</v>
      </c>
      <c r="I469" s="325" t="str">
        <f t="shared" si="22"/>
        <v>Multi Family Weatherization - Insulate Floors - R-0 to R-30 - Heating Zone 2</v>
      </c>
      <c r="J469" s="325" t="s">
        <v>1060</v>
      </c>
      <c r="K469" s="330">
        <f>Results!M57</f>
        <v>0.417327157124882</v>
      </c>
      <c r="L469" s="331">
        <f>Results!N57</f>
        <v>-0.11603676606430474</v>
      </c>
    </row>
    <row r="470" spans="1:12" ht="15">
      <c r="A470" s="27" t="s">
        <v>1110</v>
      </c>
      <c r="B470" s="325" t="str">
        <f t="shared" si="22"/>
        <v>Floor13</v>
      </c>
      <c r="C470" s="325" t="str">
        <f t="shared" si="22"/>
        <v>Floors13</v>
      </c>
      <c r="D470" s="325" t="str">
        <f t="shared" si="22"/>
        <v>Floors</v>
      </c>
      <c r="E470" s="325">
        <f t="shared" si="22"/>
        <v>13</v>
      </c>
      <c r="F470" s="325" t="str">
        <f t="shared" si="22"/>
        <v>R-0</v>
      </c>
      <c r="G470" s="325" t="str">
        <f t="shared" si="22"/>
        <v>R-38</v>
      </c>
      <c r="H470" s="325" t="str">
        <f t="shared" si="22"/>
        <v>Heating Zone 2</v>
      </c>
      <c r="I470" s="325" t="str">
        <f t="shared" si="22"/>
        <v>Multi Family Weatherization - Insulate Floors - R-0 to R-38 - Heating Zone 2</v>
      </c>
      <c r="J470" s="325" t="s">
        <v>1060</v>
      </c>
      <c r="K470" s="332">
        <f>Results!M58</f>
        <v>0.43068107502359237</v>
      </c>
      <c r="L470" s="333">
        <f>Results!N58</f>
        <v>-0.12008892624893044</v>
      </c>
    </row>
    <row r="471" spans="1:12" ht="15">
      <c r="A471" s="27" t="s">
        <v>1111</v>
      </c>
      <c r="B471" s="325" t="str">
        <f t="shared" si="22"/>
        <v>Floor14</v>
      </c>
      <c r="C471" s="325" t="str">
        <f t="shared" si="22"/>
        <v>Floors14</v>
      </c>
      <c r="D471" s="325" t="str">
        <f t="shared" si="22"/>
        <v>Floors</v>
      </c>
      <c r="E471" s="325">
        <f t="shared" si="22"/>
        <v>14</v>
      </c>
      <c r="F471" s="325" t="str">
        <f t="shared" si="22"/>
        <v>R-19</v>
      </c>
      <c r="G471" s="325" t="str">
        <f t="shared" si="22"/>
        <v>R-25</v>
      </c>
      <c r="H471" s="325" t="str">
        <f t="shared" si="22"/>
        <v>Heating Zone 2</v>
      </c>
      <c r="I471" s="325" t="str">
        <f t="shared" si="22"/>
        <v>Multi Family Weatherization - Insulate Floors - R-19 to R-25 - Heating Zone 2</v>
      </c>
      <c r="J471" s="325" t="s">
        <v>1060</v>
      </c>
      <c r="K471" s="332">
        <f>Results!M59</f>
        <v>4.7679668134633701E-2</v>
      </c>
      <c r="L471" s="333">
        <f>Results!N59</f>
        <v>-1.3909632464304803E-2</v>
      </c>
    </row>
    <row r="472" spans="1:12" ht="15">
      <c r="A472" s="27" t="s">
        <v>1112</v>
      </c>
      <c r="B472" s="325" t="str">
        <f t="shared" si="22"/>
        <v>Floor15</v>
      </c>
      <c r="C472" s="325" t="str">
        <f t="shared" si="22"/>
        <v>Floors15</v>
      </c>
      <c r="D472" s="325" t="str">
        <f t="shared" si="22"/>
        <v>Floors</v>
      </c>
      <c r="E472" s="325">
        <f t="shared" si="22"/>
        <v>15</v>
      </c>
      <c r="F472" s="325" t="str">
        <f t="shared" si="22"/>
        <v>R-19</v>
      </c>
      <c r="G472" s="325" t="str">
        <f t="shared" si="22"/>
        <v>R-30</v>
      </c>
      <c r="H472" s="325" t="str">
        <f t="shared" si="22"/>
        <v>Heating Zone 2</v>
      </c>
      <c r="I472" s="325" t="str">
        <f t="shared" si="22"/>
        <v>Multi Family Weatherization - Insulate Floors - R-19 to R-30 - Heating Zone 2</v>
      </c>
      <c r="J472" s="325" t="s">
        <v>1060</v>
      </c>
      <c r="K472" s="330">
        <f>Results!M60</f>
        <v>9.8185014155394809E-2</v>
      </c>
      <c r="L472" s="331">
        <f>Results!N60</f>
        <v>-2.8909359384759338E-2</v>
      </c>
    </row>
    <row r="473" spans="1:12" ht="15">
      <c r="A473" s="27" t="s">
        <v>1113</v>
      </c>
      <c r="B473" s="325" t="str">
        <f t="shared" si="22"/>
        <v>Floor16</v>
      </c>
      <c r="C473" s="325" t="str">
        <f t="shared" si="22"/>
        <v>Floors16</v>
      </c>
      <c r="D473" s="325" t="str">
        <f t="shared" si="22"/>
        <v>Floors</v>
      </c>
      <c r="E473" s="325">
        <f t="shared" si="22"/>
        <v>16</v>
      </c>
      <c r="F473" s="325" t="str">
        <f t="shared" si="22"/>
        <v>R-19</v>
      </c>
      <c r="G473" s="325" t="str">
        <f t="shared" si="22"/>
        <v>R-38</v>
      </c>
      <c r="H473" s="325" t="str">
        <f t="shared" si="22"/>
        <v>Heating Zone 2</v>
      </c>
      <c r="I473" s="325" t="str">
        <f t="shared" si="22"/>
        <v>Multi Family Weatherization - Insulate Floors - R-19 to R-38 - Heating Zone 2</v>
      </c>
      <c r="J473" s="325" t="s">
        <v>1060</v>
      </c>
      <c r="K473" s="332">
        <f>Results!M61</f>
        <v>0.11153893205410519</v>
      </c>
      <c r="L473" s="333">
        <f>Results!N61</f>
        <v>-3.2961519569385048E-2</v>
      </c>
    </row>
    <row r="474" spans="1:12" ht="15">
      <c r="A474" s="27" t="s">
        <v>1114</v>
      </c>
      <c r="B474" s="325" t="str">
        <f t="shared" si="22"/>
        <v>Floor17</v>
      </c>
      <c r="C474" s="325" t="str">
        <f t="shared" si="22"/>
        <v>Floors17</v>
      </c>
      <c r="D474" s="325" t="str">
        <f t="shared" si="22"/>
        <v>Floors</v>
      </c>
      <c r="E474" s="325">
        <f t="shared" si="22"/>
        <v>17</v>
      </c>
      <c r="F474" s="325" t="str">
        <f t="shared" si="22"/>
        <v>R-11</v>
      </c>
      <c r="G474" s="325" t="str">
        <f t="shared" si="22"/>
        <v>R-30</v>
      </c>
      <c r="H474" s="325" t="str">
        <f t="shared" si="22"/>
        <v>Heating Zone 2</v>
      </c>
      <c r="I474" s="325" t="str">
        <f t="shared" si="22"/>
        <v>Multi Family Weatherization - Insulate Floors - R-11 to R-30 - Heating Zone 2</v>
      </c>
      <c r="J474" s="325" t="s">
        <v>1060</v>
      </c>
      <c r="K474" s="332">
        <f>Results!M62</f>
        <v>0.91859514863164515</v>
      </c>
      <c r="L474" s="333">
        <f>Results!N62</f>
        <v>-0.23228798994852945</v>
      </c>
    </row>
    <row r="475" spans="1:12" ht="15">
      <c r="A475" s="27" t="s">
        <v>1107</v>
      </c>
      <c r="B475" s="325" t="str">
        <f t="shared" si="22"/>
        <v>Floor18</v>
      </c>
      <c r="C475" s="325" t="str">
        <f t="shared" si="22"/>
        <v>Floors18</v>
      </c>
      <c r="D475" s="325" t="str">
        <f t="shared" si="22"/>
        <v>Floors</v>
      </c>
      <c r="E475" s="325">
        <f t="shared" si="22"/>
        <v>18</v>
      </c>
      <c r="F475" s="325" t="str">
        <f t="shared" si="22"/>
        <v>R-0</v>
      </c>
      <c r="G475" s="325" t="str">
        <f t="shared" si="22"/>
        <v>R-19</v>
      </c>
      <c r="H475" s="325" t="str">
        <f t="shared" si="22"/>
        <v>Heating Zone 2</v>
      </c>
      <c r="I475" s="325" t="str">
        <f t="shared" si="22"/>
        <v>Multi Family Weatherization - Insulate Floors - R-0 to R-19 - Heating Zone 2</v>
      </c>
      <c r="J475" s="325" t="s">
        <v>1060</v>
      </c>
      <c r="K475" s="332">
        <f>Results!M63</f>
        <v>0.31914214296948717</v>
      </c>
      <c r="L475" s="333">
        <f>Results!N63</f>
        <v>-8.7127406679545411E-2</v>
      </c>
    </row>
    <row r="476" spans="1:12" ht="15">
      <c r="A476" s="27" t="s">
        <v>1115</v>
      </c>
      <c r="B476" s="325" t="str">
        <f t="shared" si="22"/>
        <v>Ceili10</v>
      </c>
      <c r="C476" s="325" t="str">
        <f t="shared" si="22"/>
        <v>Ceiling10</v>
      </c>
      <c r="D476" s="325" t="str">
        <f t="shared" si="22"/>
        <v>Ceiling</v>
      </c>
      <c r="E476" s="325">
        <f t="shared" si="22"/>
        <v>10</v>
      </c>
      <c r="F476" s="325" t="str">
        <f t="shared" si="22"/>
        <v>R-0</v>
      </c>
      <c r="G476" s="325" t="str">
        <f t="shared" si="22"/>
        <v>R-19</v>
      </c>
      <c r="H476" s="325" t="str">
        <f t="shared" si="22"/>
        <v>Heating Zone 2</v>
      </c>
      <c r="I476" s="325" t="str">
        <f t="shared" si="22"/>
        <v>Multi Family Weatherization - Insulate Attic - R-0 to R-19 - Heating Zone 2</v>
      </c>
      <c r="J476" s="325" t="s">
        <v>1060</v>
      </c>
      <c r="K476" s="334">
        <f>Results!M64</f>
        <v>0.19463629077540107</v>
      </c>
      <c r="L476" s="335">
        <f>Results!N64</f>
        <v>9.5535126735454542E-2</v>
      </c>
    </row>
    <row r="477" spans="1:12" ht="15">
      <c r="A477" s="27" t="s">
        <v>1116</v>
      </c>
      <c r="B477" s="325" t="str">
        <f t="shared" si="22"/>
        <v>Ceili11</v>
      </c>
      <c r="C477" s="325" t="str">
        <f t="shared" si="22"/>
        <v>Ceiling11</v>
      </c>
      <c r="D477" s="325" t="str">
        <f t="shared" si="22"/>
        <v>Ceiling</v>
      </c>
      <c r="E477" s="325">
        <f t="shared" si="22"/>
        <v>11</v>
      </c>
      <c r="F477" s="325" t="str">
        <f t="shared" si="22"/>
        <v>R-0</v>
      </c>
      <c r="G477" s="325" t="str">
        <f t="shared" si="22"/>
        <v>R-38</v>
      </c>
      <c r="H477" s="325" t="str">
        <f t="shared" si="22"/>
        <v>Heating Zone 2</v>
      </c>
      <c r="I477" s="325" t="str">
        <f t="shared" si="22"/>
        <v>Multi Family Weatherization - Insulate Attic - R-0 to R-38 - Heating Zone 2</v>
      </c>
      <c r="J477" s="325" t="s">
        <v>1060</v>
      </c>
      <c r="K477" s="330">
        <f>Results!M65</f>
        <v>0.26571478141711252</v>
      </c>
      <c r="L477" s="331">
        <f>Results!N65</f>
        <v>0.13086418023556817</v>
      </c>
    </row>
    <row r="478" spans="1:12" ht="15">
      <c r="A478" s="27" t="s">
        <v>1117</v>
      </c>
      <c r="B478" s="325" t="str">
        <f t="shared" si="22"/>
        <v>Ceili12</v>
      </c>
      <c r="C478" s="325" t="str">
        <f t="shared" si="22"/>
        <v>Ceiling12</v>
      </c>
      <c r="D478" s="325" t="str">
        <f t="shared" si="22"/>
        <v>Ceiling</v>
      </c>
      <c r="E478" s="325">
        <f t="shared" si="22"/>
        <v>12</v>
      </c>
      <c r="F478" s="325" t="str">
        <f t="shared" si="22"/>
        <v>R-0</v>
      </c>
      <c r="G478" s="325" t="str">
        <f t="shared" si="22"/>
        <v>R-49</v>
      </c>
      <c r="H478" s="325" t="str">
        <f t="shared" si="22"/>
        <v>Heating Zone 2</v>
      </c>
      <c r="I478" s="325" t="str">
        <f t="shared" si="22"/>
        <v>Multi Family Weatherization - Insulate Attic - R-0 to R-49 - Heating Zone 2</v>
      </c>
      <c r="J478" s="325" t="s">
        <v>1060</v>
      </c>
      <c r="K478" s="330">
        <f>Results!M66</f>
        <v>0.28213125601604239</v>
      </c>
      <c r="L478" s="331">
        <f>Results!N66</f>
        <v>0.13913348517806817</v>
      </c>
    </row>
    <row r="479" spans="1:12" ht="15">
      <c r="A479" s="27" t="s">
        <v>1118</v>
      </c>
      <c r="B479" s="325" t="str">
        <f t="shared" si="22"/>
        <v>Ceili13</v>
      </c>
      <c r="C479" s="325" t="str">
        <f t="shared" si="22"/>
        <v>Ceiling13</v>
      </c>
      <c r="D479" s="325" t="str">
        <f t="shared" si="22"/>
        <v>Ceiling</v>
      </c>
      <c r="E479" s="325">
        <f t="shared" si="22"/>
        <v>13</v>
      </c>
      <c r="F479" s="325" t="str">
        <f t="shared" si="22"/>
        <v>R-30</v>
      </c>
      <c r="G479" s="325" t="str">
        <f t="shared" si="22"/>
        <v>R-38</v>
      </c>
      <c r="H479" s="325" t="str">
        <f t="shared" si="22"/>
        <v>Heating Zone 2</v>
      </c>
      <c r="I479" s="325" t="str">
        <f t="shared" si="22"/>
        <v>Multi Family Weatherization - Insulate Attic - R-30 to R-38 - Heating Zone 2</v>
      </c>
      <c r="J479" s="325" t="s">
        <v>1060</v>
      </c>
      <c r="K479" s="332">
        <f>Results!M67</f>
        <v>1.9739774064171808E-2</v>
      </c>
      <c r="L479" s="333">
        <f>Results!N67</f>
        <v>9.7755986565908996E-3</v>
      </c>
    </row>
    <row r="480" spans="1:12" ht="15">
      <c r="A480" s="27" t="s">
        <v>1119</v>
      </c>
      <c r="B480" s="325" t="str">
        <f t="shared" si="22"/>
        <v>Ceili14</v>
      </c>
      <c r="C480" s="325" t="str">
        <f t="shared" si="22"/>
        <v>Ceiling14</v>
      </c>
      <c r="D480" s="325" t="str">
        <f t="shared" si="22"/>
        <v>Ceiling</v>
      </c>
      <c r="E480" s="325">
        <f t="shared" si="22"/>
        <v>14</v>
      </c>
      <c r="F480" s="325" t="str">
        <f t="shared" si="22"/>
        <v>R-30</v>
      </c>
      <c r="G480" s="325" t="str">
        <f t="shared" si="22"/>
        <v>R-49</v>
      </c>
      <c r="H480" s="325" t="str">
        <f t="shared" si="22"/>
        <v>Heating Zone 2</v>
      </c>
      <c r="I480" s="325" t="str">
        <f t="shared" si="22"/>
        <v>Multi Family Weatherization - Insulate Attic - R-30 to R-49 - Heating Zone 2</v>
      </c>
      <c r="J480" s="325" t="s">
        <v>1060</v>
      </c>
      <c r="K480" s="332">
        <f>Results!M68</f>
        <v>3.6156248663101728E-2</v>
      </c>
      <c r="L480" s="333">
        <f>Results!N68</f>
        <v>1.804490359909091E-2</v>
      </c>
    </row>
    <row r="481" spans="1:12" ht="15">
      <c r="A481" s="27" t="s">
        <v>1120</v>
      </c>
      <c r="B481" s="325" t="str">
        <f t="shared" si="22"/>
        <v>Ceili15</v>
      </c>
      <c r="C481" s="325" t="str">
        <f t="shared" si="22"/>
        <v>Ceiling15</v>
      </c>
      <c r="D481" s="325" t="str">
        <f t="shared" si="22"/>
        <v>Ceiling</v>
      </c>
      <c r="E481" s="325">
        <f t="shared" si="22"/>
        <v>15</v>
      </c>
      <c r="F481" s="325" t="str">
        <f t="shared" si="22"/>
        <v>R-19</v>
      </c>
      <c r="G481" s="325" t="str">
        <f t="shared" si="22"/>
        <v>R-30</v>
      </c>
      <c r="H481" s="325" t="str">
        <f t="shared" si="22"/>
        <v>Heating Zone 2</v>
      </c>
      <c r="I481" s="325" t="str">
        <f t="shared" si="22"/>
        <v>Multi Family Weatherization - Insulate Attic - R-19 to R-30 - Heating Zone 2</v>
      </c>
      <c r="J481" s="325" t="s">
        <v>1060</v>
      </c>
      <c r="K481" s="332">
        <f>Results!M69</f>
        <v>5.1338716577539675E-2</v>
      </c>
      <c r="L481" s="333">
        <f>Results!N69</f>
        <v>2.5553454843522738E-2</v>
      </c>
    </row>
    <row r="482" spans="1:12" ht="15">
      <c r="A482" s="27" t="s">
        <v>1121</v>
      </c>
      <c r="B482" s="325" t="str">
        <f t="shared" si="22"/>
        <v>Ceili16</v>
      </c>
      <c r="C482" s="325" t="str">
        <f t="shared" si="22"/>
        <v>Ceiling16</v>
      </c>
      <c r="D482" s="325" t="str">
        <f t="shared" si="22"/>
        <v>Ceiling</v>
      </c>
      <c r="E482" s="325">
        <f t="shared" si="22"/>
        <v>16</v>
      </c>
      <c r="F482" s="325" t="str">
        <f t="shared" si="22"/>
        <v>R-19</v>
      </c>
      <c r="G482" s="325" t="str">
        <f t="shared" si="22"/>
        <v>R-38</v>
      </c>
      <c r="H482" s="325" t="str">
        <f t="shared" si="22"/>
        <v>Heating Zone 2</v>
      </c>
      <c r="I482" s="325" t="str">
        <f t="shared" si="22"/>
        <v>Multi Family Weatherization - Insulate Attic - R-19 to R-38 - Heating Zone 2</v>
      </c>
      <c r="J482" s="325" t="s">
        <v>1060</v>
      </c>
      <c r="K482" s="330">
        <f>Results!M70</f>
        <v>7.107849064171147E-2</v>
      </c>
      <c r="L482" s="331">
        <f>Results!N70</f>
        <v>3.5329053500113637E-2</v>
      </c>
    </row>
    <row r="483" spans="1:12" ht="15">
      <c r="A483" s="27" t="s">
        <v>1122</v>
      </c>
      <c r="B483" s="325" t="str">
        <f t="shared" si="22"/>
        <v>Ceili17</v>
      </c>
      <c r="C483" s="325" t="str">
        <f t="shared" si="22"/>
        <v>Ceiling17</v>
      </c>
      <c r="D483" s="325" t="str">
        <f t="shared" si="22"/>
        <v>Ceiling</v>
      </c>
      <c r="E483" s="325">
        <f t="shared" si="22"/>
        <v>17</v>
      </c>
      <c r="F483" s="325" t="str">
        <f t="shared" si="22"/>
        <v>R-19</v>
      </c>
      <c r="G483" s="325" t="str">
        <f t="shared" si="22"/>
        <v>R-49</v>
      </c>
      <c r="H483" s="325" t="str">
        <f t="shared" si="22"/>
        <v>Heating Zone 2</v>
      </c>
      <c r="I483" s="325" t="str">
        <f t="shared" si="22"/>
        <v>Multi Family Weatherization - Insulate Attic - R-19 to R-49 - Heating Zone 2</v>
      </c>
      <c r="J483" s="325" t="s">
        <v>1060</v>
      </c>
      <c r="K483" s="330">
        <f>Results!M71</f>
        <v>8.749496524064139E-2</v>
      </c>
      <c r="L483" s="331">
        <f>Results!N71</f>
        <v>4.3598358442613644E-2</v>
      </c>
    </row>
    <row r="484" spans="1:12" ht="15">
      <c r="A484" s="27" t="s">
        <v>1123</v>
      </c>
      <c r="B484" s="325" t="str">
        <f t="shared" ref="B484:I499" si="23">B346</f>
        <v>Ceili18</v>
      </c>
      <c r="C484" s="325" t="str">
        <f t="shared" si="23"/>
        <v>Ceiling18</v>
      </c>
      <c r="D484" s="325" t="str">
        <f t="shared" si="23"/>
        <v>Ceiling</v>
      </c>
      <c r="E484" s="325">
        <f t="shared" si="23"/>
        <v>18</v>
      </c>
      <c r="F484" s="325" t="str">
        <f t="shared" si="23"/>
        <v>R-38</v>
      </c>
      <c r="G484" s="325" t="str">
        <f t="shared" si="23"/>
        <v>R-49</v>
      </c>
      <c r="H484" s="325" t="str">
        <f t="shared" si="23"/>
        <v>Heating Zone 2</v>
      </c>
      <c r="I484" s="325" t="str">
        <f t="shared" si="23"/>
        <v>Multi Family Weatherization - Insulate Attic - R-38 to R-49 - Heating Zone 2</v>
      </c>
      <c r="J484" s="325" t="s">
        <v>1060</v>
      </c>
      <c r="K484" s="337">
        <f>Results!M72</f>
        <v>1.641647459892992E-2</v>
      </c>
      <c r="L484" s="338">
        <f>Results!N72</f>
        <v>8.2693049425000102E-3</v>
      </c>
    </row>
    <row r="485" spans="1:12" ht="15">
      <c r="A485" s="27" t="s">
        <v>1124</v>
      </c>
      <c r="B485" s="325" t="str">
        <f t="shared" si="23"/>
        <v>Windo10</v>
      </c>
      <c r="C485" s="325" t="str">
        <f t="shared" si="23"/>
        <v>Windows10</v>
      </c>
      <c r="D485" s="325" t="str">
        <f t="shared" si="23"/>
        <v>Windows</v>
      </c>
      <c r="E485" s="325">
        <f t="shared" si="23"/>
        <v>10</v>
      </c>
      <c r="F485" s="325" t="str">
        <f t="shared" si="23"/>
        <v>Class 85</v>
      </c>
      <c r="G485" s="325" t="str">
        <f t="shared" si="23"/>
        <v>Class 35</v>
      </c>
      <c r="H485" s="325" t="str">
        <f t="shared" si="23"/>
        <v>Heating Zone 2</v>
      </c>
      <c r="I485" s="325" t="str">
        <f t="shared" si="23"/>
        <v>Windows - Class 85 to Class 35 - Heating Zone 2</v>
      </c>
      <c r="J485" s="325" t="s">
        <v>1060</v>
      </c>
      <c r="K485" s="332">
        <f>Results!M73</f>
        <v>-5.5243492864161974</v>
      </c>
      <c r="L485" s="333">
        <f>Results!N73</f>
        <v>-1.237835213191822</v>
      </c>
    </row>
    <row r="486" spans="1:12" ht="15">
      <c r="A486" s="27" t="s">
        <v>1125</v>
      </c>
      <c r="B486" s="325" t="str">
        <f t="shared" si="23"/>
        <v>Windo11</v>
      </c>
      <c r="C486" s="325" t="str">
        <f t="shared" si="23"/>
        <v>Windows11</v>
      </c>
      <c r="D486" s="325" t="str">
        <f t="shared" si="23"/>
        <v>Windows</v>
      </c>
      <c r="E486" s="325">
        <f t="shared" si="23"/>
        <v>11</v>
      </c>
      <c r="F486" s="325" t="str">
        <f t="shared" si="23"/>
        <v>Class 85</v>
      </c>
      <c r="G486" s="325" t="str">
        <f t="shared" si="23"/>
        <v>Class 30</v>
      </c>
      <c r="H486" s="325" t="str">
        <f t="shared" si="23"/>
        <v>Heating Zone 2</v>
      </c>
      <c r="I486" s="325" t="str">
        <f t="shared" si="23"/>
        <v>Windows - Class 85 to Class 30 - Heating Zone 2</v>
      </c>
      <c r="J486" s="325" t="s">
        <v>1060</v>
      </c>
      <c r="K486" s="332">
        <f>Results!M74</f>
        <v>-4.5810134169751802</v>
      </c>
      <c r="L486" s="333">
        <f>Results!N74</f>
        <v>-1.2107189025952794</v>
      </c>
    </row>
    <row r="487" spans="1:12" ht="15">
      <c r="A487" s="27" t="s">
        <v>1126</v>
      </c>
      <c r="B487" s="325" t="str">
        <f t="shared" si="23"/>
        <v>Windo12</v>
      </c>
      <c r="C487" s="325" t="str">
        <f t="shared" si="23"/>
        <v>Windows12</v>
      </c>
      <c r="D487" s="325" t="str">
        <f t="shared" si="23"/>
        <v>Windows</v>
      </c>
      <c r="E487" s="325">
        <f t="shared" si="23"/>
        <v>12</v>
      </c>
      <c r="F487" s="325" t="str">
        <f t="shared" si="23"/>
        <v>Class 85</v>
      </c>
      <c r="G487" s="325" t="str">
        <f t="shared" si="23"/>
        <v>Class 25</v>
      </c>
      <c r="H487" s="325" t="str">
        <f t="shared" si="23"/>
        <v>Heating Zone 2</v>
      </c>
      <c r="I487" s="325" t="str">
        <f t="shared" si="23"/>
        <v>Windows - Class 85 to Class 25 - Heating Zone 2</v>
      </c>
      <c r="J487" s="325" t="s">
        <v>1060</v>
      </c>
      <c r="K487" s="332">
        <f>Results!M75</f>
        <v>0</v>
      </c>
      <c r="L487" s="333">
        <f>Results!N75</f>
        <v>0</v>
      </c>
    </row>
    <row r="488" spans="1:12" ht="15">
      <c r="A488" s="27" t="s">
        <v>1127</v>
      </c>
      <c r="B488" s="325" t="str">
        <f t="shared" si="23"/>
        <v>Windo13</v>
      </c>
      <c r="C488" s="325" t="str">
        <f t="shared" si="23"/>
        <v>Windows13</v>
      </c>
      <c r="D488" s="325" t="str">
        <f t="shared" si="23"/>
        <v>Windows</v>
      </c>
      <c r="E488" s="325">
        <f t="shared" si="23"/>
        <v>13</v>
      </c>
      <c r="F488" s="325" t="str">
        <f t="shared" si="23"/>
        <v>Class 85</v>
      </c>
      <c r="G488" s="325" t="str">
        <f t="shared" si="23"/>
        <v>Class 20</v>
      </c>
      <c r="H488" s="325" t="str">
        <f t="shared" si="23"/>
        <v>Heating Zone 2</v>
      </c>
      <c r="I488" s="325" t="str">
        <f t="shared" si="23"/>
        <v>Windows - Class 85 to Class 20 - Heating Zone 2</v>
      </c>
      <c r="J488" s="325" t="s">
        <v>1060</v>
      </c>
      <c r="K488" s="332">
        <f>Results!M76</f>
        <v>-2.813058640705699</v>
      </c>
      <c r="L488" s="333">
        <f>Results!N76</f>
        <v>-1.1034021001364607</v>
      </c>
    </row>
    <row r="489" spans="1:12" ht="15">
      <c r="A489" s="27" t="s">
        <v>1128</v>
      </c>
      <c r="B489" s="325" t="str">
        <f t="shared" si="23"/>
        <v>Windo14</v>
      </c>
      <c r="C489" s="325" t="str">
        <f t="shared" si="23"/>
        <v>Windows14</v>
      </c>
      <c r="D489" s="325" t="str">
        <f t="shared" si="23"/>
        <v>Windows</v>
      </c>
      <c r="E489" s="325">
        <f t="shared" si="23"/>
        <v>14</v>
      </c>
      <c r="F489" s="325" t="str">
        <f t="shared" si="23"/>
        <v>Class 85</v>
      </c>
      <c r="G489" s="325" t="str">
        <f t="shared" si="23"/>
        <v>Class 15</v>
      </c>
      <c r="H489" s="325" t="str">
        <f t="shared" si="23"/>
        <v>Heating Zone 2</v>
      </c>
      <c r="I489" s="325" t="str">
        <f t="shared" si="23"/>
        <v>Windows - Class 85 to Class 15 - Heating Zone 2</v>
      </c>
      <c r="J489" s="325" t="s">
        <v>1060</v>
      </c>
      <c r="K489" s="332">
        <f>Results!M77</f>
        <v>-1.7808088623794498</v>
      </c>
      <c r="L489" s="333">
        <f>Results!N77</f>
        <v>-1.1626654306222803</v>
      </c>
    </row>
    <row r="490" spans="1:12" ht="15">
      <c r="A490" s="27" t="s">
        <v>1129</v>
      </c>
      <c r="B490" s="325" t="str">
        <f t="shared" si="23"/>
        <v>Windo15</v>
      </c>
      <c r="C490" s="325" t="str">
        <f t="shared" si="23"/>
        <v>Windows15</v>
      </c>
      <c r="D490" s="325" t="str">
        <f t="shared" si="23"/>
        <v>Windows</v>
      </c>
      <c r="E490" s="325">
        <f t="shared" si="23"/>
        <v>15</v>
      </c>
      <c r="F490" s="325" t="str">
        <f t="shared" si="23"/>
        <v>Class 50</v>
      </c>
      <c r="G490" s="325" t="str">
        <f t="shared" si="23"/>
        <v>Class 35</v>
      </c>
      <c r="H490" s="325" t="str">
        <f t="shared" si="23"/>
        <v>Heating Zone 2</v>
      </c>
      <c r="I490" s="325" t="str">
        <f t="shared" si="23"/>
        <v>Windows - Class 50 to Class 35 - Heating Zone 2</v>
      </c>
      <c r="J490" s="325" t="s">
        <v>1060</v>
      </c>
      <c r="K490" s="332">
        <f>Results!M78</f>
        <v>1.3672085184423419</v>
      </c>
      <c r="L490" s="333">
        <f>Results!N78</f>
        <v>1.836476514281177</v>
      </c>
    </row>
    <row r="491" spans="1:12" ht="15">
      <c r="A491" s="27" t="s">
        <v>1130</v>
      </c>
      <c r="B491" s="325" t="str">
        <f t="shared" si="23"/>
        <v>Windo16</v>
      </c>
      <c r="C491" s="325" t="str">
        <f t="shared" si="23"/>
        <v>Windows16</v>
      </c>
      <c r="D491" s="325" t="str">
        <f t="shared" si="23"/>
        <v>Windows</v>
      </c>
      <c r="E491" s="325">
        <f t="shared" si="23"/>
        <v>16</v>
      </c>
      <c r="F491" s="325" t="str">
        <f t="shared" si="23"/>
        <v>Class 50</v>
      </c>
      <c r="G491" s="325" t="str">
        <f t="shared" si="23"/>
        <v>Class 30</v>
      </c>
      <c r="H491" s="325" t="str">
        <f t="shared" si="23"/>
        <v>Heating Zone 2</v>
      </c>
      <c r="I491" s="325" t="str">
        <f t="shared" si="23"/>
        <v>Windows - Class 50 to Class 30 - Heating Zone 2</v>
      </c>
      <c r="J491" s="325" t="s">
        <v>1060</v>
      </c>
      <c r="K491" s="332">
        <f>Results!M79</f>
        <v>2.3105443878833589</v>
      </c>
      <c r="L491" s="333">
        <f>Results!N79</f>
        <v>1.8635928248777196</v>
      </c>
    </row>
    <row r="492" spans="1:12" ht="15">
      <c r="A492" s="27" t="s">
        <v>1131</v>
      </c>
      <c r="B492" s="325" t="str">
        <f t="shared" si="23"/>
        <v>Windo17</v>
      </c>
      <c r="C492" s="325" t="str">
        <f t="shared" si="23"/>
        <v>Windows17</v>
      </c>
      <c r="D492" s="325" t="str">
        <f t="shared" si="23"/>
        <v>Windows</v>
      </c>
      <c r="E492" s="325">
        <f t="shared" si="23"/>
        <v>17</v>
      </c>
      <c r="F492" s="325" t="str">
        <f t="shared" si="23"/>
        <v>Class 50</v>
      </c>
      <c r="G492" s="325" t="str">
        <f t="shared" si="23"/>
        <v>Class 25</v>
      </c>
      <c r="H492" s="325" t="str">
        <f t="shared" si="23"/>
        <v>Heating Zone 2</v>
      </c>
      <c r="I492" s="325" t="str">
        <f t="shared" si="23"/>
        <v>Windows - Class 50 to Class 25 - Heating Zone 2</v>
      </c>
      <c r="J492" s="325" t="s">
        <v>1060</v>
      </c>
      <c r="K492" s="332">
        <f>Results!M80</f>
        <v>6.8915578048585404</v>
      </c>
      <c r="L492" s="333">
        <f>Results!N80</f>
        <v>3.074311727472999</v>
      </c>
    </row>
    <row r="493" spans="1:12" ht="15">
      <c r="A493" s="27" t="s">
        <v>1132</v>
      </c>
      <c r="B493" s="325" t="str">
        <f t="shared" si="23"/>
        <v>Windo18</v>
      </c>
      <c r="C493" s="325" t="str">
        <f t="shared" si="23"/>
        <v>Windows18</v>
      </c>
      <c r="D493" s="325" t="str">
        <f t="shared" si="23"/>
        <v>Windows</v>
      </c>
      <c r="E493" s="325">
        <f t="shared" si="23"/>
        <v>18</v>
      </c>
      <c r="F493" s="325" t="str">
        <f t="shared" si="23"/>
        <v>Class 50</v>
      </c>
      <c r="G493" s="325" t="str">
        <f t="shared" si="23"/>
        <v>Class 20</v>
      </c>
      <c r="H493" s="325" t="str">
        <f t="shared" si="23"/>
        <v>Heating Zone 2</v>
      </c>
      <c r="I493" s="325" t="str">
        <f t="shared" si="23"/>
        <v>Windows - Class 50 to Class 20 - Heating Zone 2</v>
      </c>
      <c r="J493" s="325" t="s">
        <v>1060</v>
      </c>
      <c r="K493" s="332">
        <f>Results!M81</f>
        <v>4.0784991641528414</v>
      </c>
      <c r="L493" s="333">
        <f>Results!N81</f>
        <v>1.9709096273365385</v>
      </c>
    </row>
    <row r="494" spans="1:12" ht="15">
      <c r="A494" s="27" t="s">
        <v>1133</v>
      </c>
      <c r="B494" s="325" t="str">
        <f t="shared" si="23"/>
        <v>Windo19</v>
      </c>
      <c r="C494" s="325" t="str">
        <f t="shared" si="23"/>
        <v>Windows19</v>
      </c>
      <c r="D494" s="325" t="str">
        <f t="shared" si="23"/>
        <v>Windows</v>
      </c>
      <c r="E494" s="325">
        <f t="shared" si="23"/>
        <v>19</v>
      </c>
      <c r="F494" s="325" t="str">
        <f t="shared" si="23"/>
        <v>Class 35</v>
      </c>
      <c r="G494" s="325" t="str">
        <f t="shared" si="23"/>
        <v>Class 22</v>
      </c>
      <c r="H494" s="325" t="str">
        <f t="shared" si="23"/>
        <v>Heating Zone 2</v>
      </c>
      <c r="I494" s="325" t="str">
        <f t="shared" si="23"/>
        <v>Windows - Class 35 to Class 22 - Heating Zone 2</v>
      </c>
      <c r="J494" s="325" t="s">
        <v>1060</v>
      </c>
      <c r="K494" s="332">
        <f>Results!M82</f>
        <v>2.3299647613007903</v>
      </c>
      <c r="L494" s="333">
        <f>Results!N82</f>
        <v>0.11739721238976294</v>
      </c>
    </row>
    <row r="495" spans="1:12" ht="15">
      <c r="A495" s="27" t="s">
        <v>1134</v>
      </c>
      <c r="B495" s="325" t="str">
        <f t="shared" si="23"/>
        <v>Windo20</v>
      </c>
      <c r="C495" s="325" t="str">
        <f t="shared" si="23"/>
        <v>Windows20</v>
      </c>
      <c r="D495" s="325" t="str">
        <f t="shared" si="23"/>
        <v>Windows</v>
      </c>
      <c r="E495" s="325">
        <f t="shared" si="23"/>
        <v>20</v>
      </c>
      <c r="F495" s="325" t="str">
        <f t="shared" si="23"/>
        <v>Single Pane</v>
      </c>
      <c r="G495" s="325" t="str">
        <f t="shared" si="23"/>
        <v>Class 22</v>
      </c>
      <c r="H495" s="325" t="str">
        <f t="shared" si="23"/>
        <v>Heating Zone 2</v>
      </c>
      <c r="I495" s="325" t="str">
        <f t="shared" si="23"/>
        <v>Windows - Single Pane to Class 22 - Heating Zone 2</v>
      </c>
      <c r="J495" s="325" t="s">
        <v>1060</v>
      </c>
      <c r="K495" s="332">
        <f>Results!M83</f>
        <v>18.691969731249145</v>
      </c>
      <c r="L495" s="333">
        <f>Results!N83</f>
        <v>1.4797537748173075</v>
      </c>
    </row>
    <row r="496" spans="1:12" ht="15">
      <c r="A496" s="27" t="s">
        <v>1135</v>
      </c>
      <c r="B496" s="325" t="str">
        <f t="shared" si="23"/>
        <v>Windo21</v>
      </c>
      <c r="C496" s="325" t="str">
        <f t="shared" si="23"/>
        <v>Windows21</v>
      </c>
      <c r="D496" s="325" t="str">
        <f t="shared" si="23"/>
        <v>Windows</v>
      </c>
      <c r="E496" s="325">
        <f t="shared" si="23"/>
        <v>21</v>
      </c>
      <c r="F496" s="325" t="str">
        <f t="shared" si="23"/>
        <v>Double Pane</v>
      </c>
      <c r="G496" s="325" t="str">
        <f t="shared" si="23"/>
        <v>Class 22</v>
      </c>
      <c r="H496" s="325" t="str">
        <f t="shared" si="23"/>
        <v>Heating Zone 2</v>
      </c>
      <c r="I496" s="325" t="str">
        <f t="shared" si="23"/>
        <v>Windows - Double Pane to Class 22 - Heating Zone 2</v>
      </c>
      <c r="J496" s="325" t="s">
        <v>1060</v>
      </c>
      <c r="K496" s="332">
        <f>Results!M84</f>
        <v>10.929742403103431</v>
      </c>
      <c r="L496" s="333">
        <f>Results!N84</f>
        <v>1.9176960100483682</v>
      </c>
    </row>
    <row r="497" spans="1:12" ht="15">
      <c r="A497" s="27" t="s">
        <v>1136</v>
      </c>
      <c r="B497" s="325" t="str">
        <f t="shared" si="23"/>
        <v>Windo22</v>
      </c>
      <c r="C497" s="325" t="str">
        <f t="shared" si="23"/>
        <v>Windows22</v>
      </c>
      <c r="D497" s="325" t="str">
        <f t="shared" si="23"/>
        <v>Windows</v>
      </c>
      <c r="E497" s="325">
        <f t="shared" si="23"/>
        <v>22</v>
      </c>
      <c r="F497" s="325" t="str">
        <f t="shared" si="23"/>
        <v>Single Pane</v>
      </c>
      <c r="G497" s="325" t="str">
        <f t="shared" si="23"/>
        <v>Class 30</v>
      </c>
      <c r="H497" s="325" t="str">
        <f t="shared" si="23"/>
        <v>Heating Zone 2</v>
      </c>
      <c r="I497" s="325" t="str">
        <f t="shared" si="23"/>
        <v>Windows - Single Pane to Class 30 - Heating Zone 2</v>
      </c>
      <c r="J497" s="325" t="s">
        <v>1060</v>
      </c>
      <c r="K497" s="330">
        <f>Results!M85</f>
        <v>17.30534083938937</v>
      </c>
      <c r="L497" s="331">
        <f>Results!N85</f>
        <v>1.3894728730240868</v>
      </c>
    </row>
    <row r="498" spans="1:12" ht="15">
      <c r="A498" s="27" t="s">
        <v>1137</v>
      </c>
      <c r="B498" s="325" t="str">
        <f t="shared" si="23"/>
        <v>Windo23</v>
      </c>
      <c r="C498" s="325" t="str">
        <f t="shared" si="23"/>
        <v>Windows23</v>
      </c>
      <c r="D498" s="325" t="str">
        <f t="shared" si="23"/>
        <v>Windows</v>
      </c>
      <c r="E498" s="325">
        <f t="shared" si="23"/>
        <v>23</v>
      </c>
      <c r="F498" s="325" t="str">
        <f t="shared" si="23"/>
        <v>Double Pane</v>
      </c>
      <c r="G498" s="325" t="str">
        <f t="shared" si="23"/>
        <v>Class 30</v>
      </c>
      <c r="H498" s="325" t="str">
        <f t="shared" si="23"/>
        <v>Heating Zone 2</v>
      </c>
      <c r="I498" s="325" t="str">
        <f t="shared" si="23"/>
        <v>Windows - Double Pane to Class 30 - Heating Zone 2</v>
      </c>
      <c r="J498" s="325" t="s">
        <v>1060</v>
      </c>
      <c r="K498" s="330">
        <f>Results!M86</f>
        <v>9.5431135112436589</v>
      </c>
      <c r="L498" s="331">
        <f>Results!N86</f>
        <v>1.8274151082551477</v>
      </c>
    </row>
    <row r="499" spans="1:12" ht="15">
      <c r="A499" s="27" t="s">
        <v>1138</v>
      </c>
      <c r="B499" s="325" t="str">
        <f t="shared" si="23"/>
        <v>Windo24</v>
      </c>
      <c r="C499" s="325" t="str">
        <f t="shared" si="23"/>
        <v>Windows24</v>
      </c>
      <c r="D499" s="325" t="str">
        <f t="shared" si="23"/>
        <v>Windows</v>
      </c>
      <c r="E499" s="325">
        <f t="shared" si="23"/>
        <v>24</v>
      </c>
      <c r="F499" s="325" t="str">
        <f t="shared" si="23"/>
        <v>Class 35</v>
      </c>
      <c r="G499" s="325" t="str">
        <f t="shared" si="23"/>
        <v>Class 30</v>
      </c>
      <c r="H499" s="325" t="str">
        <f t="shared" si="23"/>
        <v>Heating Zone 2</v>
      </c>
      <c r="I499" s="325" t="str">
        <f t="shared" si="23"/>
        <v>Windows - Class 35 to Class 30 - Heating Zone 2</v>
      </c>
      <c r="J499" s="325" t="s">
        <v>1060</v>
      </c>
      <c r="K499" s="330">
        <f>Results!M87</f>
        <v>0.94333586944101733</v>
      </c>
      <c r="L499" s="331">
        <f>Results!N87</f>
        <v>2.7116310596542306E-2</v>
      </c>
    </row>
    <row r="500" spans="1:12" ht="15">
      <c r="A500" s="27" t="s">
        <v>1139</v>
      </c>
      <c r="B500" s="325" t="str">
        <f t="shared" ref="B500:I515" si="24">B362</f>
        <v>Infil10</v>
      </c>
      <c r="C500" s="325" t="str">
        <f t="shared" si="24"/>
        <v>Infiltration10</v>
      </c>
      <c r="D500" s="325" t="str">
        <f t="shared" si="24"/>
        <v>Infiltration</v>
      </c>
      <c r="E500" s="325">
        <f t="shared" si="24"/>
        <v>10</v>
      </c>
      <c r="F500" s="325" t="str">
        <f t="shared" si="24"/>
        <v>0.45 ACHn</v>
      </c>
      <c r="G500" s="325" t="str">
        <f t="shared" si="24"/>
        <v>0.35 ACHn</v>
      </c>
      <c r="H500" s="325" t="str">
        <f t="shared" si="24"/>
        <v>Heating Zone 2</v>
      </c>
      <c r="I500" s="325" t="str">
        <f t="shared" si="24"/>
        <v>Infiltration Reduction - 0.45 ACHn to 0.35 ACHn - Heating Zone 2</v>
      </c>
      <c r="J500" s="325" t="s">
        <v>1060</v>
      </c>
      <c r="K500" s="334">
        <f>Results!M88</f>
        <v>0</v>
      </c>
      <c r="L500" s="335">
        <f>Results!N88</f>
        <v>0</v>
      </c>
    </row>
    <row r="501" spans="1:12" ht="15">
      <c r="A501" s="27" t="s">
        <v>1140</v>
      </c>
      <c r="B501" s="325" t="str">
        <f t="shared" si="24"/>
        <v>Infil11</v>
      </c>
      <c r="C501" s="325" t="str">
        <f t="shared" si="24"/>
        <v>Infiltration11</v>
      </c>
      <c r="D501" s="325" t="str">
        <f t="shared" si="24"/>
        <v>Infiltration</v>
      </c>
      <c r="E501" s="325">
        <f t="shared" si="24"/>
        <v>11</v>
      </c>
      <c r="F501" s="325" t="str">
        <f t="shared" si="24"/>
        <v>0.45 ACHn</v>
      </c>
      <c r="G501" s="325" t="str">
        <f t="shared" si="24"/>
        <v>0.20 ACHn</v>
      </c>
      <c r="H501" s="325" t="str">
        <f t="shared" si="24"/>
        <v>Heating Zone 2</v>
      </c>
      <c r="I501" s="325" t="str">
        <f t="shared" si="24"/>
        <v>Infiltration Reduction - 0.45 ACHn to 0.20 ACHn - Heating Zone 2</v>
      </c>
      <c r="J501" s="325" t="s">
        <v>1060</v>
      </c>
      <c r="K501" s="332">
        <f>Results!M89</f>
        <v>0</v>
      </c>
      <c r="L501" s="333">
        <f>Results!N89</f>
        <v>0</v>
      </c>
    </row>
    <row r="502" spans="1:12" ht="15">
      <c r="A502" s="27" t="s">
        <v>1141</v>
      </c>
      <c r="B502" s="325" t="str">
        <f t="shared" si="24"/>
        <v>Infil12</v>
      </c>
      <c r="C502" s="325" t="str">
        <f t="shared" si="24"/>
        <v>Infiltration12</v>
      </c>
      <c r="D502" s="325" t="str">
        <f t="shared" si="24"/>
        <v>Infiltration</v>
      </c>
      <c r="E502" s="325">
        <f t="shared" si="24"/>
        <v>12</v>
      </c>
      <c r="F502" s="325" t="str">
        <f t="shared" si="24"/>
        <v>0.35 ACHn</v>
      </c>
      <c r="G502" s="325" t="str">
        <f t="shared" si="24"/>
        <v>0.20 ACHn</v>
      </c>
      <c r="H502" s="325" t="str">
        <f t="shared" si="24"/>
        <v>Heating Zone 2</v>
      </c>
      <c r="I502" s="325" t="str">
        <f t="shared" si="24"/>
        <v>Infiltration Reduction - 0.35 ACHn to 0.20 ACHn - Heating Zone 2</v>
      </c>
      <c r="J502" s="325" t="s">
        <v>1060</v>
      </c>
      <c r="K502" s="339">
        <f>Results!M90</f>
        <v>0</v>
      </c>
      <c r="L502" s="340">
        <f>Results!N90</f>
        <v>0</v>
      </c>
    </row>
    <row r="503" spans="1:12" ht="15">
      <c r="A503" s="27" t="s">
        <v>1142</v>
      </c>
      <c r="B503" s="325" t="str">
        <f t="shared" si="24"/>
        <v>DuctT10</v>
      </c>
      <c r="C503" s="325" t="str">
        <f t="shared" si="24"/>
        <v>DuctTightness10</v>
      </c>
      <c r="D503" s="325" t="str">
        <f t="shared" si="24"/>
        <v>DuctTightness</v>
      </c>
      <c r="E503" s="325">
        <f t="shared" si="24"/>
        <v>10</v>
      </c>
      <c r="F503" s="325" t="str">
        <f t="shared" si="24"/>
        <v>Std-crawl</v>
      </c>
      <c r="G503" s="325" t="str">
        <f t="shared" si="24"/>
        <v>PTCS-crawl</v>
      </c>
      <c r="H503" s="325" t="str">
        <f t="shared" si="24"/>
        <v>Heating Zone 2</v>
      </c>
      <c r="I503" s="325" t="str">
        <f t="shared" si="24"/>
        <v>DuctTightness - Std-crawl to PTCS-crawl - Heating Zone 2</v>
      </c>
      <c r="J503" s="325" t="s">
        <v>1060</v>
      </c>
      <c r="K503" s="341">
        <f>Results!M91</f>
        <v>3995.3412058823515</v>
      </c>
      <c r="L503" s="342">
        <f>Results!N91</f>
        <v>413.47297771499973</v>
      </c>
    </row>
    <row r="504" spans="1:12" ht="15">
      <c r="A504" s="27" t="s">
        <v>1143</v>
      </c>
      <c r="B504" s="325" t="str">
        <f t="shared" si="24"/>
        <v>DuctI10</v>
      </c>
      <c r="C504" s="325" t="str">
        <f t="shared" si="24"/>
        <v>DuctInsulation10</v>
      </c>
      <c r="D504" s="325" t="str">
        <f t="shared" si="24"/>
        <v>DuctInsulation</v>
      </c>
      <c r="E504" s="325">
        <f t="shared" si="24"/>
        <v>10</v>
      </c>
      <c r="F504" s="325" t="str">
        <f t="shared" si="24"/>
        <v>R-0</v>
      </c>
      <c r="G504" s="325" t="str">
        <f t="shared" si="24"/>
        <v>R-4.2</v>
      </c>
      <c r="H504" s="325" t="str">
        <f t="shared" si="24"/>
        <v>Heating Zone 2</v>
      </c>
      <c r="I504" s="325" t="str">
        <f t="shared" si="24"/>
        <v>DuctInsulation - R-0 to R-4.2 - Heating Zone 2</v>
      </c>
      <c r="J504" s="325" t="s">
        <v>1060</v>
      </c>
      <c r="K504" s="343">
        <f>Results!M92</f>
        <v>198.82264705882773</v>
      </c>
      <c r="L504" s="344">
        <f>Results!N92</f>
        <v>26.859237802500388</v>
      </c>
    </row>
    <row r="505" spans="1:12" ht="15">
      <c r="A505" s="27" t="s">
        <v>1144</v>
      </c>
      <c r="B505" s="325" t="str">
        <f t="shared" si="24"/>
        <v>DuctI11</v>
      </c>
      <c r="C505" s="325" t="str">
        <f t="shared" si="24"/>
        <v>DuctInsulation11</v>
      </c>
      <c r="D505" s="325" t="str">
        <f t="shared" si="24"/>
        <v>DuctInsulation</v>
      </c>
      <c r="E505" s="325">
        <f t="shared" si="24"/>
        <v>11</v>
      </c>
      <c r="F505" s="325" t="str">
        <f t="shared" si="24"/>
        <v>R-0</v>
      </c>
      <c r="G505" s="325" t="str">
        <f t="shared" si="24"/>
        <v>R-11</v>
      </c>
      <c r="H505" s="325" t="str">
        <f t="shared" si="24"/>
        <v>Heating Zone 2</v>
      </c>
      <c r="I505" s="325" t="str">
        <f t="shared" si="24"/>
        <v>DuctInsulation - R-0 to R-11 - Heating Zone 2</v>
      </c>
      <c r="J505" s="325" t="s">
        <v>1060</v>
      </c>
      <c r="K505" s="345">
        <f>Results!M93</f>
        <v>277.7934117647103</v>
      </c>
      <c r="L505" s="346">
        <f>Results!N93</f>
        <v>37.190448495000624</v>
      </c>
    </row>
    <row r="506" spans="1:12" ht="15">
      <c r="A506" s="27" t="s">
        <v>1145</v>
      </c>
      <c r="B506" s="325" t="str">
        <f t="shared" si="24"/>
        <v>DuctI12</v>
      </c>
      <c r="C506" s="325" t="str">
        <f t="shared" si="24"/>
        <v>DuctInsulation12</v>
      </c>
      <c r="D506" s="325" t="str">
        <f t="shared" si="24"/>
        <v>DuctInsulation</v>
      </c>
      <c r="E506" s="325">
        <f t="shared" si="24"/>
        <v>12</v>
      </c>
      <c r="F506" s="325" t="str">
        <f t="shared" si="24"/>
        <v>R-4.2</v>
      </c>
      <c r="G506" s="325" t="str">
        <f t="shared" si="24"/>
        <v>R-11</v>
      </c>
      <c r="H506" s="325" t="str">
        <f t="shared" si="24"/>
        <v>Heating Zone 2</v>
      </c>
      <c r="I506" s="325" t="str">
        <f t="shared" si="24"/>
        <v>DuctInsulation - R-4.2 to R-11 - Heating Zone 2</v>
      </c>
      <c r="J506" s="325" t="s">
        <v>1060</v>
      </c>
      <c r="K506" s="347">
        <f>Results!M94</f>
        <v>78.970764705882544</v>
      </c>
      <c r="L506" s="348">
        <f>Results!N94</f>
        <v>10.331210692500232</v>
      </c>
    </row>
    <row r="507" spans="1:12" ht="15">
      <c r="A507" s="27" t="s">
        <v>1146</v>
      </c>
      <c r="B507" s="325" t="str">
        <f t="shared" si="24"/>
        <v>HeatP10</v>
      </c>
      <c r="C507" s="325" t="str">
        <f t="shared" si="24"/>
        <v>HeatPump10</v>
      </c>
      <c r="D507" s="325" t="str">
        <f t="shared" si="24"/>
        <v>HeatPump</v>
      </c>
      <c r="E507" s="325">
        <f t="shared" si="24"/>
        <v>10</v>
      </c>
      <c r="F507" s="325" t="str">
        <f t="shared" si="24"/>
        <v>7.7/13</v>
      </c>
      <c r="G507" s="325" t="str">
        <f t="shared" si="24"/>
        <v>8.5/13</v>
      </c>
      <c r="H507" s="325" t="str">
        <f t="shared" si="24"/>
        <v>Heating Zone 2</v>
      </c>
      <c r="I507" s="325" t="str">
        <f t="shared" si="24"/>
        <v>HeatPump Upgrade - 7.7/13 to 8.5/13 - Heating Zone 2</v>
      </c>
      <c r="J507" s="325" t="s">
        <v>1060</v>
      </c>
      <c r="K507" s="345">
        <f>Results!M95</f>
        <v>562.08535026737877</v>
      </c>
      <c r="L507" s="346">
        <f>Results!N95</f>
        <v>0</v>
      </c>
    </row>
    <row r="508" spans="1:12" ht="15">
      <c r="A508" s="27" t="s">
        <v>1147</v>
      </c>
      <c r="B508" s="325" t="str">
        <f t="shared" si="24"/>
        <v>HeatP11</v>
      </c>
      <c r="C508" s="325" t="str">
        <f t="shared" si="24"/>
        <v>HeatPump11</v>
      </c>
      <c r="D508" s="325" t="str">
        <f t="shared" si="24"/>
        <v>HeatPump</v>
      </c>
      <c r="E508" s="325">
        <f t="shared" si="24"/>
        <v>11</v>
      </c>
      <c r="F508" s="325" t="str">
        <f t="shared" si="24"/>
        <v>7.7/13</v>
      </c>
      <c r="G508" s="325" t="str">
        <f t="shared" si="24"/>
        <v>9.0/14</v>
      </c>
      <c r="H508" s="325" t="str">
        <f t="shared" si="24"/>
        <v>Heating Zone 2</v>
      </c>
      <c r="I508" s="325" t="str">
        <f t="shared" si="24"/>
        <v>HeatPump Upgrade - 7.7/13 to 9.0/14 - Heating Zone 2</v>
      </c>
      <c r="J508" s="325" t="s">
        <v>1060</v>
      </c>
      <c r="K508" s="345">
        <f>Results!M96</f>
        <v>822.62740909090837</v>
      </c>
      <c r="L508" s="346">
        <f>Results!N96</f>
        <v>216.62932766008913</v>
      </c>
    </row>
    <row r="509" spans="1:12" ht="15">
      <c r="A509" s="27" t="s">
        <v>1148</v>
      </c>
      <c r="B509" s="325" t="str">
        <f t="shared" si="24"/>
        <v>HeatP12</v>
      </c>
      <c r="C509" s="325" t="str">
        <f t="shared" si="24"/>
        <v>HeatPump12</v>
      </c>
      <c r="D509" s="325" t="str">
        <f t="shared" si="24"/>
        <v>HeatPump</v>
      </c>
      <c r="E509" s="325">
        <f t="shared" si="24"/>
        <v>12</v>
      </c>
      <c r="F509" s="325" t="str">
        <f t="shared" si="24"/>
        <v>7.7/13</v>
      </c>
      <c r="G509" s="325" t="str">
        <f t="shared" si="24"/>
        <v>8.2/13</v>
      </c>
      <c r="H509" s="325" t="str">
        <f t="shared" si="24"/>
        <v>Heating Zone 2</v>
      </c>
      <c r="I509" s="325" t="str">
        <f t="shared" si="24"/>
        <v>HeatPump Upgrade - 7.7/13 to 8.2/13 - Heating Zone 2</v>
      </c>
      <c r="J509" s="325" t="s">
        <v>1060</v>
      </c>
      <c r="K509" s="345">
        <f>Results!M97</f>
        <v>390.5088725055416</v>
      </c>
      <c r="L509" s="346">
        <f>Results!N97</f>
        <v>0</v>
      </c>
    </row>
    <row r="510" spans="1:12" ht="15.75" thickBot="1">
      <c r="A510" s="27" t="s">
        <v>1149</v>
      </c>
      <c r="B510" s="325" t="str">
        <f t="shared" si="24"/>
        <v>HPCnt10</v>
      </c>
      <c r="C510" s="325" t="str">
        <f t="shared" si="24"/>
        <v>HPCntrls10</v>
      </c>
      <c r="D510" s="325" t="str">
        <f t="shared" si="24"/>
        <v>HPCntrls</v>
      </c>
      <c r="E510" s="325">
        <f t="shared" si="24"/>
        <v>10</v>
      </c>
      <c r="F510" s="325" t="str">
        <f t="shared" si="24"/>
        <v>Standard</v>
      </c>
      <c r="G510" s="325" t="str">
        <f t="shared" si="24"/>
        <v>PTCS</v>
      </c>
      <c r="H510" s="325" t="str">
        <f t="shared" si="24"/>
        <v>Heating Zone 2</v>
      </c>
      <c r="I510" s="325" t="str">
        <f t="shared" si="24"/>
        <v>HPCntrls Upgrade - Standard to PTCS - Heating Zone 2</v>
      </c>
      <c r="J510" s="325" t="s">
        <v>1060</v>
      </c>
      <c r="K510" s="351">
        <f>Results!M98</f>
        <v>2044.7653602941182</v>
      </c>
      <c r="L510" s="352">
        <f>Results!N98</f>
        <v>-3.696052695000037</v>
      </c>
    </row>
    <row r="511" spans="1:12" ht="15">
      <c r="A511" s="27" t="s">
        <v>1150</v>
      </c>
      <c r="B511" s="325" t="str">
        <f t="shared" si="24"/>
        <v>Walls10</v>
      </c>
      <c r="C511" s="325" t="str">
        <f t="shared" si="24"/>
        <v>Walls10</v>
      </c>
      <c r="D511" s="325" t="str">
        <f t="shared" si="24"/>
        <v>Walls</v>
      </c>
      <c r="E511" s="325">
        <f t="shared" si="24"/>
        <v>10</v>
      </c>
      <c r="F511" s="325" t="str">
        <f t="shared" si="24"/>
        <v>R-0</v>
      </c>
      <c r="G511" s="325" t="str">
        <f t="shared" si="24"/>
        <v>R-11</v>
      </c>
      <c r="H511" s="325" t="str">
        <f t="shared" si="24"/>
        <v>Heating Zone 3</v>
      </c>
      <c r="I511" s="325" t="str">
        <f t="shared" si="24"/>
        <v>Multi Family Weatherization - Insulate Walls - R-0 to R-11 - Heating Zone 3</v>
      </c>
      <c r="J511" s="325" t="s">
        <v>1060</v>
      </c>
      <c r="K511" s="326">
        <f>Results!M99</f>
        <v>1.2941128108432651</v>
      </c>
      <c r="L511" s="327">
        <f>Results!N99</f>
        <v>2.718977531756606E-2</v>
      </c>
    </row>
    <row r="512" spans="1:12" ht="15">
      <c r="A512" s="27" t="s">
        <v>1151</v>
      </c>
      <c r="B512" s="325" t="str">
        <f t="shared" si="24"/>
        <v>BGWal10</v>
      </c>
      <c r="C512" s="325" t="str">
        <f t="shared" si="24"/>
        <v>BGWalls10</v>
      </c>
      <c r="D512" s="325" t="str">
        <f t="shared" si="24"/>
        <v>BGWalls</v>
      </c>
      <c r="E512" s="325">
        <f t="shared" si="24"/>
        <v>10</v>
      </c>
      <c r="F512" s="325" t="str">
        <f t="shared" si="24"/>
        <v>R-0</v>
      </c>
      <c r="G512" s="325" t="str">
        <f t="shared" si="24"/>
        <v>R-11</v>
      </c>
      <c r="H512" s="325" t="str">
        <f t="shared" si="24"/>
        <v>Heating Zone 3</v>
      </c>
      <c r="I512" s="325" t="str">
        <f t="shared" si="24"/>
        <v>Multi Family Weatherization - Insulate BGWalls - R-0 to R-11 - Heating Zone 3</v>
      </c>
      <c r="J512" s="325" t="s">
        <v>1060</v>
      </c>
      <c r="K512" s="328">
        <f>Results!M100</f>
        <v>0</v>
      </c>
      <c r="L512" s="329">
        <f>Results!N100</f>
        <v>0</v>
      </c>
    </row>
    <row r="513" spans="1:12" ht="15">
      <c r="A513" s="27" t="s">
        <v>1152</v>
      </c>
      <c r="B513" s="325" t="str">
        <f t="shared" si="24"/>
        <v>Floor10</v>
      </c>
      <c r="C513" s="325" t="str">
        <f t="shared" si="24"/>
        <v>Floors10</v>
      </c>
      <c r="D513" s="325" t="str">
        <f t="shared" si="24"/>
        <v>Floors</v>
      </c>
      <c r="E513" s="325">
        <f t="shared" si="24"/>
        <v>10</v>
      </c>
      <c r="F513" s="325" t="str">
        <f t="shared" si="24"/>
        <v>R-0</v>
      </c>
      <c r="G513" s="325" t="str">
        <f t="shared" si="24"/>
        <v>R-19</v>
      </c>
      <c r="H513" s="325" t="str">
        <f t="shared" si="24"/>
        <v>Heating Zone 3</v>
      </c>
      <c r="I513" s="325" t="str">
        <f t="shared" si="24"/>
        <v>Multi Family Weatherization - Insulate Floors - R-0 to R-19 - Heating Zone 3</v>
      </c>
      <c r="J513" s="325" t="s">
        <v>1060</v>
      </c>
      <c r="K513" s="330">
        <f>Results!M101</f>
        <v>0.39968299779804961</v>
      </c>
      <c r="L513" s="331">
        <f>Results!N101</f>
        <v>-8.9672965962566548E-2</v>
      </c>
    </row>
    <row r="514" spans="1:12" ht="15">
      <c r="A514" s="27" t="s">
        <v>1153</v>
      </c>
      <c r="B514" s="325" t="str">
        <f t="shared" si="24"/>
        <v>Floor11</v>
      </c>
      <c r="C514" s="325" t="str">
        <f t="shared" si="24"/>
        <v>Floors11</v>
      </c>
      <c r="D514" s="325" t="str">
        <f t="shared" si="24"/>
        <v>Floors</v>
      </c>
      <c r="E514" s="325">
        <f t="shared" si="24"/>
        <v>11</v>
      </c>
      <c r="F514" s="325" t="str">
        <f t="shared" si="24"/>
        <v>R-0</v>
      </c>
      <c r="G514" s="325" t="str">
        <f t="shared" si="24"/>
        <v>R-25</v>
      </c>
      <c r="H514" s="325" t="str">
        <f t="shared" si="24"/>
        <v>Heating Zone 3</v>
      </c>
      <c r="I514" s="325" t="str">
        <f t="shared" si="24"/>
        <v>Multi Family Weatherization - Insulate Floors - R-0 to R-25 - Heating Zone 3</v>
      </c>
      <c r="J514" s="325" t="s">
        <v>1060</v>
      </c>
      <c r="K514" s="332">
        <f>Results!M102</f>
        <v>0.45860684177414163</v>
      </c>
      <c r="L514" s="333">
        <f>Results!N102</f>
        <v>-0.10411173149197864</v>
      </c>
    </row>
    <row r="515" spans="1:12" ht="15">
      <c r="A515" s="27" t="s">
        <v>1154</v>
      </c>
      <c r="B515" s="325" t="str">
        <f t="shared" si="24"/>
        <v>Floor12</v>
      </c>
      <c r="C515" s="325" t="str">
        <f t="shared" si="24"/>
        <v>Floors12</v>
      </c>
      <c r="D515" s="325" t="str">
        <f t="shared" si="24"/>
        <v>Floors</v>
      </c>
      <c r="E515" s="325">
        <f t="shared" si="24"/>
        <v>12</v>
      </c>
      <c r="F515" s="325" t="str">
        <f t="shared" si="24"/>
        <v>R-0</v>
      </c>
      <c r="G515" s="325" t="str">
        <f t="shared" si="24"/>
        <v>R-30</v>
      </c>
      <c r="H515" s="325" t="str">
        <f t="shared" si="24"/>
        <v>Heating Zone 3</v>
      </c>
      <c r="I515" s="325" t="str">
        <f t="shared" si="24"/>
        <v>Multi Family Weatherization - Insulate Floors - R-0 to R-30 - Heating Zone 3</v>
      </c>
      <c r="J515" s="325" t="s">
        <v>1060</v>
      </c>
      <c r="K515" s="330">
        <f>Results!M103</f>
        <v>0.52124867882982007</v>
      </c>
      <c r="L515" s="331">
        <f>Results!N103</f>
        <v>-0.1197336760508019</v>
      </c>
    </row>
    <row r="516" spans="1:12" ht="15">
      <c r="A516" s="27" t="s">
        <v>1155</v>
      </c>
      <c r="B516" s="325" t="str">
        <f t="shared" ref="B516:I531" si="25">B378</f>
        <v>Floor13</v>
      </c>
      <c r="C516" s="325" t="str">
        <f t="shared" si="25"/>
        <v>Floors13</v>
      </c>
      <c r="D516" s="325" t="str">
        <f t="shared" si="25"/>
        <v>Floors</v>
      </c>
      <c r="E516" s="325">
        <f t="shared" si="25"/>
        <v>13</v>
      </c>
      <c r="F516" s="325" t="str">
        <f t="shared" si="25"/>
        <v>R-0</v>
      </c>
      <c r="G516" s="325" t="str">
        <f t="shared" si="25"/>
        <v>R-38</v>
      </c>
      <c r="H516" s="325" t="str">
        <f t="shared" si="25"/>
        <v>Heating Zone 3</v>
      </c>
      <c r="I516" s="325" t="str">
        <f t="shared" si="25"/>
        <v>Multi Family Weatherization - Insulate Floors - R-0 to R-38 - Heating Zone 3</v>
      </c>
      <c r="J516" s="325" t="s">
        <v>1060</v>
      </c>
      <c r="K516" s="332">
        <f>Results!M104</f>
        <v>0.53813011953444434</v>
      </c>
      <c r="L516" s="333">
        <f>Results!N104</f>
        <v>-0.12395791410962562</v>
      </c>
    </row>
    <row r="517" spans="1:12" ht="15">
      <c r="A517" s="27" t="s">
        <v>1156</v>
      </c>
      <c r="B517" s="325" t="str">
        <f t="shared" si="25"/>
        <v>Floor14</v>
      </c>
      <c r="C517" s="325" t="str">
        <f t="shared" si="25"/>
        <v>Floors14</v>
      </c>
      <c r="D517" s="325" t="str">
        <f t="shared" si="25"/>
        <v>Floors</v>
      </c>
      <c r="E517" s="325">
        <f t="shared" si="25"/>
        <v>14</v>
      </c>
      <c r="F517" s="325" t="str">
        <f t="shared" si="25"/>
        <v>R-19</v>
      </c>
      <c r="G517" s="325" t="str">
        <f t="shared" si="25"/>
        <v>R-25</v>
      </c>
      <c r="H517" s="325" t="str">
        <f t="shared" si="25"/>
        <v>Heating Zone 3</v>
      </c>
      <c r="I517" s="325" t="str">
        <f t="shared" si="25"/>
        <v>Multi Family Weatherization - Insulate Floors - R-19 to R-25 - Heating Zone 3</v>
      </c>
      <c r="J517" s="325" t="s">
        <v>1060</v>
      </c>
      <c r="K517" s="332">
        <f>Results!M105</f>
        <v>5.8923843976091989E-2</v>
      </c>
      <c r="L517" s="333">
        <f>Results!N105</f>
        <v>-1.4438765529412086E-2</v>
      </c>
    </row>
    <row r="518" spans="1:12" ht="15">
      <c r="A518" s="27" t="s">
        <v>1157</v>
      </c>
      <c r="B518" s="325" t="str">
        <f t="shared" si="25"/>
        <v>Floor15</v>
      </c>
      <c r="C518" s="325" t="str">
        <f t="shared" si="25"/>
        <v>Floors15</v>
      </c>
      <c r="D518" s="325" t="str">
        <f t="shared" si="25"/>
        <v>Floors</v>
      </c>
      <c r="E518" s="325">
        <f t="shared" si="25"/>
        <v>15</v>
      </c>
      <c r="F518" s="325" t="str">
        <f t="shared" si="25"/>
        <v>R-19</v>
      </c>
      <c r="G518" s="325" t="str">
        <f t="shared" si="25"/>
        <v>R-30</v>
      </c>
      <c r="H518" s="325" t="str">
        <f t="shared" si="25"/>
        <v>Heating Zone 3</v>
      </c>
      <c r="I518" s="325" t="str">
        <f t="shared" si="25"/>
        <v>Multi Family Weatherization - Insulate Floors - R-19 to R-30 - Heating Zone 3</v>
      </c>
      <c r="J518" s="325" t="s">
        <v>1060</v>
      </c>
      <c r="K518" s="330">
        <f>Results!M106</f>
        <v>0.12156568103177048</v>
      </c>
      <c r="L518" s="331">
        <f>Results!N106</f>
        <v>-3.0060710088235364E-2</v>
      </c>
    </row>
    <row r="519" spans="1:12" ht="15">
      <c r="A519" s="27" t="s">
        <v>1158</v>
      </c>
      <c r="B519" s="325" t="str">
        <f t="shared" si="25"/>
        <v>Floor16</v>
      </c>
      <c r="C519" s="325" t="str">
        <f t="shared" si="25"/>
        <v>Floors16</v>
      </c>
      <c r="D519" s="325" t="str">
        <f t="shared" si="25"/>
        <v>Floors</v>
      </c>
      <c r="E519" s="325">
        <f t="shared" si="25"/>
        <v>16</v>
      </c>
      <c r="F519" s="325" t="str">
        <f t="shared" si="25"/>
        <v>R-19</v>
      </c>
      <c r="G519" s="325" t="str">
        <f t="shared" si="25"/>
        <v>R-38</v>
      </c>
      <c r="H519" s="325" t="str">
        <f t="shared" si="25"/>
        <v>Heating Zone 3</v>
      </c>
      <c r="I519" s="325" t="str">
        <f t="shared" si="25"/>
        <v>Multi Family Weatherization - Insulate Floors - R-19 to R-38 - Heating Zone 3</v>
      </c>
      <c r="J519" s="325" t="s">
        <v>1060</v>
      </c>
      <c r="K519" s="332">
        <f>Results!M107</f>
        <v>0.13844712173639465</v>
      </c>
      <c r="L519" s="333">
        <f>Results!N107</f>
        <v>-3.4284948147059083E-2</v>
      </c>
    </row>
    <row r="520" spans="1:12" ht="15">
      <c r="A520" s="27" t="s">
        <v>1159</v>
      </c>
      <c r="B520" s="325" t="str">
        <f t="shared" si="25"/>
        <v>Floor17</v>
      </c>
      <c r="C520" s="325" t="str">
        <f t="shared" si="25"/>
        <v>Floors17</v>
      </c>
      <c r="D520" s="325" t="str">
        <f t="shared" si="25"/>
        <v>Floors</v>
      </c>
      <c r="E520" s="325">
        <f t="shared" si="25"/>
        <v>17</v>
      </c>
      <c r="F520" s="325" t="str">
        <f t="shared" si="25"/>
        <v>R-11</v>
      </c>
      <c r="G520" s="325" t="str">
        <f t="shared" si="25"/>
        <v>R-30</v>
      </c>
      <c r="H520" s="325" t="str">
        <f t="shared" si="25"/>
        <v>Heating Zone 3</v>
      </c>
      <c r="I520" s="325" t="str">
        <f t="shared" si="25"/>
        <v>Multi Family Weatherization - Insulate Floors - R-11 to R-30 - Heating Zone 3</v>
      </c>
      <c r="J520" s="325" t="s">
        <v>1060</v>
      </c>
      <c r="K520" s="332">
        <f>Results!M108</f>
        <v>1.1485525794274944</v>
      </c>
      <c r="L520" s="333">
        <f>Results!N108</f>
        <v>-0.23747853707754002</v>
      </c>
    </row>
    <row r="521" spans="1:12" ht="15">
      <c r="A521" s="27" t="s">
        <v>1152</v>
      </c>
      <c r="B521" s="325" t="str">
        <f t="shared" si="25"/>
        <v>Floor18</v>
      </c>
      <c r="C521" s="325" t="str">
        <f t="shared" si="25"/>
        <v>Floors18</v>
      </c>
      <c r="D521" s="325" t="str">
        <f t="shared" si="25"/>
        <v>Floors</v>
      </c>
      <c r="E521" s="325">
        <f t="shared" si="25"/>
        <v>18</v>
      </c>
      <c r="F521" s="325" t="str">
        <f t="shared" si="25"/>
        <v>R-0</v>
      </c>
      <c r="G521" s="325" t="str">
        <f t="shared" si="25"/>
        <v>R-19</v>
      </c>
      <c r="H521" s="325" t="str">
        <f t="shared" si="25"/>
        <v>Heating Zone 3</v>
      </c>
      <c r="I521" s="325" t="str">
        <f t="shared" si="25"/>
        <v>Multi Family Weatherization - Insulate Floors - R-0 to R-19 - Heating Zone 3</v>
      </c>
      <c r="J521" s="325" t="s">
        <v>1060</v>
      </c>
      <c r="K521" s="332">
        <f>Results!M109</f>
        <v>0.39968299779804961</v>
      </c>
      <c r="L521" s="333">
        <f>Results!N109</f>
        <v>-8.9672965962566548E-2</v>
      </c>
    </row>
    <row r="522" spans="1:12" ht="15">
      <c r="A522" s="27" t="s">
        <v>1160</v>
      </c>
      <c r="B522" s="325" t="str">
        <f t="shared" si="25"/>
        <v>Ceili10</v>
      </c>
      <c r="C522" s="325" t="str">
        <f t="shared" si="25"/>
        <v>Ceiling10</v>
      </c>
      <c r="D522" s="325" t="str">
        <f t="shared" si="25"/>
        <v>Ceiling</v>
      </c>
      <c r="E522" s="325">
        <f t="shared" si="25"/>
        <v>10</v>
      </c>
      <c r="F522" s="325" t="str">
        <f t="shared" si="25"/>
        <v>R-0</v>
      </c>
      <c r="G522" s="325" t="str">
        <f t="shared" si="25"/>
        <v>R-19</v>
      </c>
      <c r="H522" s="325" t="str">
        <f t="shared" si="25"/>
        <v>Heating Zone 3</v>
      </c>
      <c r="I522" s="325" t="str">
        <f t="shared" si="25"/>
        <v>Multi Family Weatherization - Insulate Attic - R-0 to R-19 - Heating Zone 3</v>
      </c>
      <c r="J522" s="325" t="s">
        <v>1060</v>
      </c>
      <c r="K522" s="334">
        <f>Results!M110</f>
        <v>0.17776883689839601</v>
      </c>
      <c r="L522" s="335">
        <f>Results!N110</f>
        <v>0.1503444091636362</v>
      </c>
    </row>
    <row r="523" spans="1:12" ht="15">
      <c r="A523" s="27" t="s">
        <v>1161</v>
      </c>
      <c r="B523" s="325" t="str">
        <f t="shared" si="25"/>
        <v>Ceili11</v>
      </c>
      <c r="C523" s="325" t="str">
        <f t="shared" si="25"/>
        <v>Ceiling11</v>
      </c>
      <c r="D523" s="325" t="str">
        <f t="shared" si="25"/>
        <v>Ceiling</v>
      </c>
      <c r="E523" s="325">
        <f t="shared" si="25"/>
        <v>11</v>
      </c>
      <c r="F523" s="325" t="str">
        <f t="shared" si="25"/>
        <v>R-0</v>
      </c>
      <c r="G523" s="325" t="str">
        <f t="shared" si="25"/>
        <v>R-38</v>
      </c>
      <c r="H523" s="325" t="str">
        <f t="shared" si="25"/>
        <v>Heating Zone 3</v>
      </c>
      <c r="I523" s="325" t="str">
        <f t="shared" si="25"/>
        <v>Multi Family Weatherization - Insulate Attic - R-0 to R-38 - Heating Zone 3</v>
      </c>
      <c r="J523" s="325" t="s">
        <v>1060</v>
      </c>
      <c r="K523" s="330">
        <f>Results!M111</f>
        <v>0.24316752673796765</v>
      </c>
      <c r="L523" s="331">
        <f>Results!N111</f>
        <v>0.20626678120454522</v>
      </c>
    </row>
    <row r="524" spans="1:12" ht="15">
      <c r="A524" s="27" t="s">
        <v>1162</v>
      </c>
      <c r="B524" s="325" t="str">
        <f t="shared" si="25"/>
        <v>Ceili12</v>
      </c>
      <c r="C524" s="325" t="str">
        <f t="shared" si="25"/>
        <v>Ceiling12</v>
      </c>
      <c r="D524" s="325" t="str">
        <f t="shared" si="25"/>
        <v>Ceiling</v>
      </c>
      <c r="E524" s="325">
        <f t="shared" si="25"/>
        <v>12</v>
      </c>
      <c r="F524" s="325" t="str">
        <f t="shared" si="25"/>
        <v>R-0</v>
      </c>
      <c r="G524" s="325" t="str">
        <f t="shared" si="25"/>
        <v>R-49</v>
      </c>
      <c r="H524" s="325" t="str">
        <f t="shared" si="25"/>
        <v>Heating Zone 3</v>
      </c>
      <c r="I524" s="325" t="str">
        <f t="shared" si="25"/>
        <v>Multi Family Weatherization - Insulate Attic - R-0 to R-49 - Heating Zone 3</v>
      </c>
      <c r="J524" s="325" t="s">
        <v>1060</v>
      </c>
      <c r="K524" s="330">
        <f>Results!M112</f>
        <v>0.25850335561497367</v>
      </c>
      <c r="L524" s="331">
        <f>Results!N112</f>
        <v>0.21938249129545437</v>
      </c>
    </row>
    <row r="525" spans="1:12" ht="15">
      <c r="A525" s="27" t="s">
        <v>1163</v>
      </c>
      <c r="B525" s="325" t="str">
        <f t="shared" si="25"/>
        <v>Ceili13</v>
      </c>
      <c r="C525" s="325" t="str">
        <f t="shared" si="25"/>
        <v>Ceiling13</v>
      </c>
      <c r="D525" s="325" t="str">
        <f t="shared" si="25"/>
        <v>Ceiling</v>
      </c>
      <c r="E525" s="325">
        <f t="shared" si="25"/>
        <v>13</v>
      </c>
      <c r="F525" s="325" t="str">
        <f t="shared" si="25"/>
        <v>R-30</v>
      </c>
      <c r="G525" s="325" t="str">
        <f t="shared" si="25"/>
        <v>R-38</v>
      </c>
      <c r="H525" s="325" t="str">
        <f t="shared" si="25"/>
        <v>Heating Zone 3</v>
      </c>
      <c r="I525" s="325" t="str">
        <f t="shared" si="25"/>
        <v>Multi Family Weatherization - Insulate Attic - R-30 to R-38 - Heating Zone 3</v>
      </c>
      <c r="J525" s="325" t="s">
        <v>1060</v>
      </c>
      <c r="K525" s="332">
        <f>Results!M113</f>
        <v>1.7770561497326129E-2</v>
      </c>
      <c r="L525" s="333">
        <f>Results!N113</f>
        <v>1.5492037881818157E-2</v>
      </c>
    </row>
    <row r="526" spans="1:12" ht="15">
      <c r="A526" s="27" t="s">
        <v>1164</v>
      </c>
      <c r="B526" s="325" t="str">
        <f t="shared" si="25"/>
        <v>Ceili14</v>
      </c>
      <c r="C526" s="325" t="str">
        <f t="shared" si="25"/>
        <v>Ceiling14</v>
      </c>
      <c r="D526" s="325" t="str">
        <f t="shared" si="25"/>
        <v>Ceiling</v>
      </c>
      <c r="E526" s="325">
        <f t="shared" si="25"/>
        <v>14</v>
      </c>
      <c r="F526" s="325" t="str">
        <f t="shared" si="25"/>
        <v>R-30</v>
      </c>
      <c r="G526" s="325" t="str">
        <f t="shared" si="25"/>
        <v>R-49</v>
      </c>
      <c r="H526" s="325" t="str">
        <f t="shared" si="25"/>
        <v>Heating Zone 3</v>
      </c>
      <c r="I526" s="325" t="str">
        <f t="shared" si="25"/>
        <v>Multi Family Weatherization - Insulate Attic - R-30 to R-49 - Heating Zone 3</v>
      </c>
      <c r="J526" s="325" t="s">
        <v>1060</v>
      </c>
      <c r="K526" s="332">
        <f>Results!M114</f>
        <v>3.3106390374332099E-2</v>
      </c>
      <c r="L526" s="333">
        <f>Results!N114</f>
        <v>2.8607747972727304E-2</v>
      </c>
    </row>
    <row r="527" spans="1:12" ht="15">
      <c r="A527" s="27" t="s">
        <v>1165</v>
      </c>
      <c r="B527" s="325" t="str">
        <f t="shared" si="25"/>
        <v>Ceili15</v>
      </c>
      <c r="C527" s="325" t="str">
        <f t="shared" si="25"/>
        <v>Ceiling15</v>
      </c>
      <c r="D527" s="325" t="str">
        <f t="shared" si="25"/>
        <v>Ceiling</v>
      </c>
      <c r="E527" s="325">
        <f t="shared" si="25"/>
        <v>15</v>
      </c>
      <c r="F527" s="325" t="str">
        <f t="shared" si="25"/>
        <v>R-19</v>
      </c>
      <c r="G527" s="325" t="str">
        <f t="shared" si="25"/>
        <v>R-30</v>
      </c>
      <c r="H527" s="325" t="str">
        <f t="shared" si="25"/>
        <v>Heating Zone 3</v>
      </c>
      <c r="I527" s="325" t="str">
        <f t="shared" si="25"/>
        <v>Multi Family Weatherization - Insulate Attic - R-19 to R-30 - Heating Zone 3</v>
      </c>
      <c r="J527" s="325" t="s">
        <v>1060</v>
      </c>
      <c r="K527" s="332">
        <f>Results!M115</f>
        <v>4.7628128342245529E-2</v>
      </c>
      <c r="L527" s="333">
        <f>Results!N115</f>
        <v>4.0430334159090892E-2</v>
      </c>
    </row>
    <row r="528" spans="1:12" ht="15">
      <c r="A528" s="27" t="s">
        <v>1166</v>
      </c>
      <c r="B528" s="325" t="str">
        <f t="shared" si="25"/>
        <v>Ceili16</v>
      </c>
      <c r="C528" s="325" t="str">
        <f t="shared" si="25"/>
        <v>Ceiling16</v>
      </c>
      <c r="D528" s="325" t="str">
        <f t="shared" si="25"/>
        <v>Ceiling</v>
      </c>
      <c r="E528" s="325">
        <f t="shared" si="25"/>
        <v>16</v>
      </c>
      <c r="F528" s="325" t="str">
        <f t="shared" si="25"/>
        <v>R-19</v>
      </c>
      <c r="G528" s="325" t="str">
        <f t="shared" si="25"/>
        <v>R-38</v>
      </c>
      <c r="H528" s="325" t="str">
        <f t="shared" si="25"/>
        <v>Heating Zone 3</v>
      </c>
      <c r="I528" s="325" t="str">
        <f t="shared" si="25"/>
        <v>Multi Family Weatherization - Insulate Attic - R-19 to R-38 - Heating Zone 3</v>
      </c>
      <c r="J528" s="325" t="s">
        <v>1060</v>
      </c>
      <c r="K528" s="330">
        <f>Results!M116</f>
        <v>6.5398689839571644E-2</v>
      </c>
      <c r="L528" s="331">
        <f>Results!N116</f>
        <v>5.5922372040909052E-2</v>
      </c>
    </row>
    <row r="529" spans="1:12" ht="15">
      <c r="A529" s="27" t="s">
        <v>1167</v>
      </c>
      <c r="B529" s="325" t="str">
        <f t="shared" si="25"/>
        <v>Ceili17</v>
      </c>
      <c r="C529" s="325" t="str">
        <f t="shared" si="25"/>
        <v>Ceiling17</v>
      </c>
      <c r="D529" s="325" t="str">
        <f t="shared" si="25"/>
        <v>Ceiling</v>
      </c>
      <c r="E529" s="325">
        <f t="shared" si="25"/>
        <v>17</v>
      </c>
      <c r="F529" s="325" t="str">
        <f t="shared" si="25"/>
        <v>R-19</v>
      </c>
      <c r="G529" s="325" t="str">
        <f t="shared" si="25"/>
        <v>R-49</v>
      </c>
      <c r="H529" s="325" t="str">
        <f t="shared" si="25"/>
        <v>Heating Zone 3</v>
      </c>
      <c r="I529" s="325" t="str">
        <f t="shared" si="25"/>
        <v>Multi Family Weatherization - Insulate Attic - R-19 to R-49 - Heating Zone 3</v>
      </c>
      <c r="J529" s="325" t="s">
        <v>1060</v>
      </c>
      <c r="K529" s="330">
        <f>Results!M117</f>
        <v>8.0734518716577622E-2</v>
      </c>
      <c r="L529" s="331">
        <f>Results!N117</f>
        <v>6.9038082131818196E-2</v>
      </c>
    </row>
    <row r="530" spans="1:12" ht="15">
      <c r="A530" s="27" t="s">
        <v>1168</v>
      </c>
      <c r="B530" s="325" t="str">
        <f t="shared" si="25"/>
        <v>Ceili18</v>
      </c>
      <c r="C530" s="325" t="str">
        <f t="shared" si="25"/>
        <v>Ceiling18</v>
      </c>
      <c r="D530" s="325" t="str">
        <f t="shared" si="25"/>
        <v>Ceiling</v>
      </c>
      <c r="E530" s="325">
        <f t="shared" si="25"/>
        <v>18</v>
      </c>
      <c r="F530" s="325" t="str">
        <f t="shared" si="25"/>
        <v>R-38</v>
      </c>
      <c r="G530" s="325" t="str">
        <f t="shared" si="25"/>
        <v>R-49</v>
      </c>
      <c r="H530" s="325" t="str">
        <f t="shared" si="25"/>
        <v>Heating Zone 3</v>
      </c>
      <c r="I530" s="325" t="str">
        <f t="shared" si="25"/>
        <v>Multi Family Weatherization - Insulate Attic - R-38 to R-49 - Heating Zone 3</v>
      </c>
      <c r="J530" s="325" t="s">
        <v>1060</v>
      </c>
      <c r="K530" s="337">
        <f>Results!M118</f>
        <v>1.5335828877005974E-2</v>
      </c>
      <c r="L530" s="338">
        <f>Results!N118</f>
        <v>1.3115710090909147E-2</v>
      </c>
    </row>
    <row r="531" spans="1:12" ht="15">
      <c r="A531" s="27" t="s">
        <v>1169</v>
      </c>
      <c r="B531" s="325" t="str">
        <f t="shared" si="25"/>
        <v>Windo10</v>
      </c>
      <c r="C531" s="325" t="str">
        <f t="shared" si="25"/>
        <v>Windows10</v>
      </c>
      <c r="D531" s="325" t="str">
        <f t="shared" si="25"/>
        <v>Windows</v>
      </c>
      <c r="E531" s="325">
        <f t="shared" si="25"/>
        <v>10</v>
      </c>
      <c r="F531" s="325" t="str">
        <f t="shared" si="25"/>
        <v>Class 85</v>
      </c>
      <c r="G531" s="325" t="str">
        <f t="shared" si="25"/>
        <v>Class 35</v>
      </c>
      <c r="H531" s="325" t="str">
        <f t="shared" si="25"/>
        <v>Heating Zone 3</v>
      </c>
      <c r="I531" s="325" t="str">
        <f t="shared" si="25"/>
        <v>Windows - Class 85 to Class 35 - Heating Zone 3</v>
      </c>
      <c r="J531" s="325" t="s">
        <v>1060</v>
      </c>
      <c r="K531" s="332">
        <f>Results!M119</f>
        <v>-7.7238867978426793</v>
      </c>
      <c r="L531" s="333">
        <f>Results!N119</f>
        <v>-1.827726509498834</v>
      </c>
    </row>
    <row r="532" spans="1:12" ht="15">
      <c r="A532" s="27" t="s">
        <v>1170</v>
      </c>
      <c r="B532" s="325" t="str">
        <f t="shared" ref="B532:I547" si="26">B394</f>
        <v>Windo11</v>
      </c>
      <c r="C532" s="325" t="str">
        <f t="shared" si="26"/>
        <v>Windows11</v>
      </c>
      <c r="D532" s="325" t="str">
        <f t="shared" si="26"/>
        <v>Windows</v>
      </c>
      <c r="E532" s="325">
        <f t="shared" si="26"/>
        <v>11</v>
      </c>
      <c r="F532" s="325" t="str">
        <f t="shared" si="26"/>
        <v>Class 85</v>
      </c>
      <c r="G532" s="325" t="str">
        <f t="shared" si="26"/>
        <v>Class 30</v>
      </c>
      <c r="H532" s="325" t="str">
        <f t="shared" si="26"/>
        <v>Heating Zone 3</v>
      </c>
      <c r="I532" s="325" t="str">
        <f t="shared" si="26"/>
        <v>Windows - Class 85 to Class 30 - Heating Zone 3</v>
      </c>
      <c r="J532" s="325" t="s">
        <v>1060</v>
      </c>
      <c r="K532" s="332">
        <f>Results!M120</f>
        <v>-6.4329234654234657</v>
      </c>
      <c r="L532" s="333">
        <f>Results!N120</f>
        <v>-1.7595555066996891</v>
      </c>
    </row>
    <row r="533" spans="1:12" ht="15">
      <c r="A533" s="27" t="s">
        <v>1171</v>
      </c>
      <c r="B533" s="325" t="str">
        <f t="shared" si="26"/>
        <v>Windo12</v>
      </c>
      <c r="C533" s="325" t="str">
        <f t="shared" si="26"/>
        <v>Windows12</v>
      </c>
      <c r="D533" s="325" t="str">
        <f t="shared" si="26"/>
        <v>Windows</v>
      </c>
      <c r="E533" s="325">
        <f t="shared" si="26"/>
        <v>12</v>
      </c>
      <c r="F533" s="325" t="str">
        <f t="shared" si="26"/>
        <v>Class 85</v>
      </c>
      <c r="G533" s="325" t="str">
        <f t="shared" si="26"/>
        <v>Class 25</v>
      </c>
      <c r="H533" s="325" t="str">
        <f t="shared" si="26"/>
        <v>Heating Zone 3</v>
      </c>
      <c r="I533" s="325" t="str">
        <f t="shared" si="26"/>
        <v>Windows - Class 85 to Class 25 - Heating Zone 3</v>
      </c>
      <c r="J533" s="325" t="s">
        <v>1060</v>
      </c>
      <c r="K533" s="332">
        <f>Results!M121</f>
        <v>0</v>
      </c>
      <c r="L533" s="333">
        <f>Results!N121</f>
        <v>0</v>
      </c>
    </row>
    <row r="534" spans="1:12" ht="15">
      <c r="A534" s="27" t="s">
        <v>1172</v>
      </c>
      <c r="B534" s="325" t="str">
        <f t="shared" si="26"/>
        <v>Windo13</v>
      </c>
      <c r="C534" s="325" t="str">
        <f t="shared" si="26"/>
        <v>Windows13</v>
      </c>
      <c r="D534" s="325" t="str">
        <f t="shared" si="26"/>
        <v>Windows</v>
      </c>
      <c r="E534" s="325">
        <f t="shared" si="26"/>
        <v>13</v>
      </c>
      <c r="F534" s="325" t="str">
        <f t="shared" si="26"/>
        <v>Class 85</v>
      </c>
      <c r="G534" s="325" t="str">
        <f t="shared" si="26"/>
        <v>Class 20</v>
      </c>
      <c r="H534" s="325" t="str">
        <f t="shared" si="26"/>
        <v>Heating Zone 3</v>
      </c>
      <c r="I534" s="325" t="str">
        <f t="shared" si="26"/>
        <v>Windows - Class 85 to Class 20 - Heating Zone 3</v>
      </c>
      <c r="J534" s="325" t="s">
        <v>1060</v>
      </c>
      <c r="K534" s="332">
        <f>Results!M122</f>
        <v>-4.0055807395219158</v>
      </c>
      <c r="L534" s="333">
        <f>Results!N122</f>
        <v>-1.5531741247707849</v>
      </c>
    </row>
    <row r="535" spans="1:12" ht="15">
      <c r="A535" s="27" t="s">
        <v>1173</v>
      </c>
      <c r="B535" s="325" t="str">
        <f t="shared" si="26"/>
        <v>Windo14</v>
      </c>
      <c r="C535" s="325" t="str">
        <f t="shared" si="26"/>
        <v>Windows14</v>
      </c>
      <c r="D535" s="325" t="str">
        <f t="shared" si="26"/>
        <v>Windows</v>
      </c>
      <c r="E535" s="325">
        <f t="shared" si="26"/>
        <v>14</v>
      </c>
      <c r="F535" s="325" t="str">
        <f t="shared" si="26"/>
        <v>Class 85</v>
      </c>
      <c r="G535" s="325" t="str">
        <f t="shared" si="26"/>
        <v>Class 15</v>
      </c>
      <c r="H535" s="325" t="str">
        <f t="shared" si="26"/>
        <v>Heating Zone 3</v>
      </c>
      <c r="I535" s="325" t="str">
        <f t="shared" si="26"/>
        <v>Windows - Class 85 to Class 15 - Heating Zone 3</v>
      </c>
      <c r="J535" s="325" t="s">
        <v>1060</v>
      </c>
      <c r="K535" s="332">
        <f>Results!M123</f>
        <v>-2.618766397001691</v>
      </c>
      <c r="L535" s="333">
        <f>Results!N123</f>
        <v>-1.5889403216025639</v>
      </c>
    </row>
    <row r="536" spans="1:12" ht="15">
      <c r="A536" s="27" t="s">
        <v>1174</v>
      </c>
      <c r="B536" s="325" t="str">
        <f t="shared" si="26"/>
        <v>Windo15</v>
      </c>
      <c r="C536" s="325" t="str">
        <f t="shared" si="26"/>
        <v>Windows15</v>
      </c>
      <c r="D536" s="325" t="str">
        <f t="shared" si="26"/>
        <v>Windows</v>
      </c>
      <c r="E536" s="325">
        <f t="shared" si="26"/>
        <v>15</v>
      </c>
      <c r="F536" s="325" t="str">
        <f t="shared" si="26"/>
        <v>Class 50</v>
      </c>
      <c r="G536" s="325" t="str">
        <f t="shared" si="26"/>
        <v>Class 35</v>
      </c>
      <c r="H536" s="325" t="str">
        <f t="shared" si="26"/>
        <v>Heating Zone 3</v>
      </c>
      <c r="I536" s="325" t="str">
        <f t="shared" si="26"/>
        <v>Windows - Class 50 to Class 35 - Heating Zone 3</v>
      </c>
      <c r="J536" s="325" t="s">
        <v>1060</v>
      </c>
      <c r="K536" s="332">
        <f>Results!M124</f>
        <v>2.229638991727227</v>
      </c>
      <c r="L536" s="333">
        <f>Results!N124</f>
        <v>2.3990663374087027</v>
      </c>
    </row>
    <row r="537" spans="1:12" ht="15">
      <c r="A537" s="27" t="s">
        <v>1175</v>
      </c>
      <c r="B537" s="325" t="str">
        <f t="shared" si="26"/>
        <v>Windo16</v>
      </c>
      <c r="C537" s="325" t="str">
        <f t="shared" si="26"/>
        <v>Windows16</v>
      </c>
      <c r="D537" s="325" t="str">
        <f t="shared" si="26"/>
        <v>Windows</v>
      </c>
      <c r="E537" s="325">
        <f t="shared" si="26"/>
        <v>16</v>
      </c>
      <c r="F537" s="325" t="str">
        <f t="shared" si="26"/>
        <v>Class 50</v>
      </c>
      <c r="G537" s="325" t="str">
        <f t="shared" si="26"/>
        <v>Class 30</v>
      </c>
      <c r="H537" s="325" t="str">
        <f t="shared" si="26"/>
        <v>Heating Zone 3</v>
      </c>
      <c r="I537" s="325" t="str">
        <f t="shared" si="26"/>
        <v>Windows - Class 50 to Class 30 - Heating Zone 3</v>
      </c>
      <c r="J537" s="325" t="s">
        <v>1060</v>
      </c>
      <c r="K537" s="332">
        <f>Results!M125</f>
        <v>3.5206023241464415</v>
      </c>
      <c r="L537" s="333">
        <f>Results!N125</f>
        <v>2.4672373402078476</v>
      </c>
    </row>
    <row r="538" spans="1:12" ht="15">
      <c r="A538" s="27" t="s">
        <v>1176</v>
      </c>
      <c r="B538" s="325" t="str">
        <f t="shared" si="26"/>
        <v>Windo17</v>
      </c>
      <c r="C538" s="325" t="str">
        <f t="shared" si="26"/>
        <v>Windows17</v>
      </c>
      <c r="D538" s="325" t="str">
        <f t="shared" si="26"/>
        <v>Windows</v>
      </c>
      <c r="E538" s="325">
        <f t="shared" si="26"/>
        <v>17</v>
      </c>
      <c r="F538" s="325" t="str">
        <f t="shared" si="26"/>
        <v>Class 50</v>
      </c>
      <c r="G538" s="325" t="str">
        <f t="shared" si="26"/>
        <v>Class 25</v>
      </c>
      <c r="H538" s="325" t="str">
        <f t="shared" si="26"/>
        <v>Heating Zone 3</v>
      </c>
      <c r="I538" s="325" t="str">
        <f t="shared" si="26"/>
        <v>Windows - Class 50 to Class 25 - Heating Zone 3</v>
      </c>
      <c r="J538" s="325" t="s">
        <v>1060</v>
      </c>
      <c r="K538" s="332">
        <f>Results!M126</f>
        <v>9.9535257895699072</v>
      </c>
      <c r="L538" s="333">
        <f>Results!N126</f>
        <v>4.2267928469075375</v>
      </c>
    </row>
    <row r="539" spans="1:12" ht="15">
      <c r="A539" s="27" t="s">
        <v>1177</v>
      </c>
      <c r="B539" s="325" t="str">
        <f t="shared" si="26"/>
        <v>Windo18</v>
      </c>
      <c r="C539" s="325" t="str">
        <f t="shared" si="26"/>
        <v>Windows18</v>
      </c>
      <c r="D539" s="325" t="str">
        <f t="shared" si="26"/>
        <v>Windows</v>
      </c>
      <c r="E539" s="325">
        <f t="shared" si="26"/>
        <v>18</v>
      </c>
      <c r="F539" s="325" t="str">
        <f t="shared" si="26"/>
        <v>Class 50</v>
      </c>
      <c r="G539" s="325" t="str">
        <f t="shared" si="26"/>
        <v>Class 20</v>
      </c>
      <c r="H539" s="325" t="str">
        <f t="shared" si="26"/>
        <v>Heating Zone 3</v>
      </c>
      <c r="I539" s="325" t="str">
        <f t="shared" si="26"/>
        <v>Windows - Class 50 to Class 20 - Heating Zone 3</v>
      </c>
      <c r="J539" s="325" t="s">
        <v>1060</v>
      </c>
      <c r="K539" s="332">
        <f>Results!M127</f>
        <v>5.9479450500479913</v>
      </c>
      <c r="L539" s="333">
        <f>Results!N127</f>
        <v>2.6736187221367516</v>
      </c>
    </row>
    <row r="540" spans="1:12" ht="15">
      <c r="A540" s="27" t="s">
        <v>1178</v>
      </c>
      <c r="B540" s="325" t="str">
        <f t="shared" si="26"/>
        <v>Windo19</v>
      </c>
      <c r="C540" s="325" t="str">
        <f t="shared" si="26"/>
        <v>Windows19</v>
      </c>
      <c r="D540" s="325" t="str">
        <f t="shared" si="26"/>
        <v>Windows</v>
      </c>
      <c r="E540" s="325">
        <f t="shared" si="26"/>
        <v>19</v>
      </c>
      <c r="F540" s="325" t="str">
        <f t="shared" si="26"/>
        <v>Class 35</v>
      </c>
      <c r="G540" s="325" t="str">
        <f t="shared" si="26"/>
        <v>Class 22</v>
      </c>
      <c r="H540" s="325" t="str">
        <f t="shared" si="26"/>
        <v>Heating Zone 3</v>
      </c>
      <c r="I540" s="325" t="str">
        <f t="shared" si="26"/>
        <v>Windows - Class 35 to Class 22 - Heating Zone 3</v>
      </c>
      <c r="J540" s="325" t="s">
        <v>1060</v>
      </c>
      <c r="K540" s="332">
        <f>Results!M128</f>
        <v>3.1970138831756483</v>
      </c>
      <c r="L540" s="333">
        <f>Results!N128</f>
        <v>0.23751308602175589</v>
      </c>
    </row>
    <row r="541" spans="1:12" ht="15">
      <c r="A541" s="27" t="s">
        <v>1179</v>
      </c>
      <c r="B541" s="325" t="str">
        <f t="shared" si="26"/>
        <v>Windo20</v>
      </c>
      <c r="C541" s="325" t="str">
        <f t="shared" si="26"/>
        <v>Windows20</v>
      </c>
      <c r="D541" s="325" t="str">
        <f t="shared" si="26"/>
        <v>Windows</v>
      </c>
      <c r="E541" s="325">
        <f t="shared" si="26"/>
        <v>20</v>
      </c>
      <c r="F541" s="325" t="str">
        <f t="shared" si="26"/>
        <v>Single Pane</v>
      </c>
      <c r="G541" s="325" t="str">
        <f t="shared" si="26"/>
        <v>Class 22</v>
      </c>
      <c r="H541" s="325" t="str">
        <f t="shared" si="26"/>
        <v>Heating Zone 3</v>
      </c>
      <c r="I541" s="325" t="str">
        <f t="shared" si="26"/>
        <v>Windows - Single Pane to Class 22 - Heating Zone 3</v>
      </c>
      <c r="J541" s="325" t="s">
        <v>1060</v>
      </c>
      <c r="K541" s="332">
        <f>Results!M129</f>
        <v>26.069865453174277</v>
      </c>
      <c r="L541" s="333">
        <f>Results!N129</f>
        <v>2.3076774732303811</v>
      </c>
    </row>
    <row r="542" spans="1:12" ht="15">
      <c r="A542" s="27" t="s">
        <v>1180</v>
      </c>
      <c r="B542" s="325" t="str">
        <f t="shared" si="26"/>
        <v>Windo21</v>
      </c>
      <c r="C542" s="325" t="str">
        <f t="shared" si="26"/>
        <v>Windows21</v>
      </c>
      <c r="D542" s="325" t="str">
        <f t="shared" si="26"/>
        <v>Windows</v>
      </c>
      <c r="E542" s="325">
        <f t="shared" si="26"/>
        <v>21</v>
      </c>
      <c r="F542" s="325" t="str">
        <f t="shared" si="26"/>
        <v>Double Pane</v>
      </c>
      <c r="G542" s="325" t="str">
        <f t="shared" si="26"/>
        <v>Class 22</v>
      </c>
      <c r="H542" s="325" t="str">
        <f t="shared" si="26"/>
        <v>Heating Zone 3</v>
      </c>
      <c r="I542" s="325" t="str">
        <f t="shared" si="26"/>
        <v>Windows - Double Pane to Class 22 - Heating Zone 3</v>
      </c>
      <c r="J542" s="325" t="s">
        <v>1060</v>
      </c>
      <c r="K542" s="332">
        <f>Results!M130</f>
        <v>15.474579962521142</v>
      </c>
      <c r="L542" s="333">
        <f>Results!N130</f>
        <v>2.7482648577233877</v>
      </c>
    </row>
    <row r="543" spans="1:12" ht="15">
      <c r="A543" s="27" t="s">
        <v>1181</v>
      </c>
      <c r="B543" s="325" t="str">
        <f t="shared" si="26"/>
        <v>Windo22</v>
      </c>
      <c r="C543" s="325" t="str">
        <f t="shared" si="26"/>
        <v>Windows22</v>
      </c>
      <c r="D543" s="325" t="str">
        <f t="shared" si="26"/>
        <v>Windows</v>
      </c>
      <c r="E543" s="325">
        <f t="shared" si="26"/>
        <v>22</v>
      </c>
      <c r="F543" s="325" t="str">
        <f t="shared" si="26"/>
        <v>Single Pane</v>
      </c>
      <c r="G543" s="325" t="str">
        <f t="shared" si="26"/>
        <v>Class 30</v>
      </c>
      <c r="H543" s="325" t="str">
        <f t="shared" si="26"/>
        <v>Heating Zone 3</v>
      </c>
      <c r="I543" s="325" t="str">
        <f t="shared" si="26"/>
        <v>Windows - Single Pane to Class 30 - Heating Zone 3</v>
      </c>
      <c r="J543" s="325" t="s">
        <v>1060</v>
      </c>
      <c r="K543" s="330">
        <f>Results!M131</f>
        <v>24.163814902417844</v>
      </c>
      <c r="L543" s="331">
        <f>Results!N131</f>
        <v>2.1383353900077697</v>
      </c>
    </row>
    <row r="544" spans="1:12" ht="15">
      <c r="A544" s="27" t="s">
        <v>1182</v>
      </c>
      <c r="B544" s="325" t="str">
        <f t="shared" si="26"/>
        <v>Windo23</v>
      </c>
      <c r="C544" s="325" t="str">
        <f t="shared" si="26"/>
        <v>Windows23</v>
      </c>
      <c r="D544" s="325" t="str">
        <f t="shared" si="26"/>
        <v>Windows</v>
      </c>
      <c r="E544" s="325">
        <f t="shared" si="26"/>
        <v>23</v>
      </c>
      <c r="F544" s="325" t="str">
        <f t="shared" si="26"/>
        <v>Double Pane</v>
      </c>
      <c r="G544" s="325" t="str">
        <f t="shared" si="26"/>
        <v>Class 30</v>
      </c>
      <c r="H544" s="325" t="str">
        <f t="shared" si="26"/>
        <v>Heating Zone 3</v>
      </c>
      <c r="I544" s="325" t="str">
        <f t="shared" si="26"/>
        <v>Windows - Double Pane to Class 30 - Heating Zone 3</v>
      </c>
      <c r="J544" s="325" t="s">
        <v>1060</v>
      </c>
      <c r="K544" s="330">
        <f>Results!M132</f>
        <v>13.568529411764708</v>
      </c>
      <c r="L544" s="331">
        <f>Results!N132</f>
        <v>2.5789227745007768</v>
      </c>
    </row>
    <row r="545" spans="1:12" ht="15">
      <c r="A545" s="27" t="s">
        <v>1183</v>
      </c>
      <c r="B545" s="325" t="str">
        <f t="shared" si="26"/>
        <v>Windo24</v>
      </c>
      <c r="C545" s="325" t="str">
        <f t="shared" si="26"/>
        <v>Windows24</v>
      </c>
      <c r="D545" s="325" t="str">
        <f t="shared" si="26"/>
        <v>Windows</v>
      </c>
      <c r="E545" s="325">
        <f t="shared" si="26"/>
        <v>24</v>
      </c>
      <c r="F545" s="325" t="str">
        <f t="shared" si="26"/>
        <v>Class 35</v>
      </c>
      <c r="G545" s="325" t="str">
        <f t="shared" si="26"/>
        <v>Class 30</v>
      </c>
      <c r="H545" s="325" t="str">
        <f t="shared" si="26"/>
        <v>Heating Zone 3</v>
      </c>
      <c r="I545" s="325" t="str">
        <f t="shared" si="26"/>
        <v>Windows - Class 35 to Class 30 - Heating Zone 3</v>
      </c>
      <c r="J545" s="325" t="s">
        <v>1060</v>
      </c>
      <c r="K545" s="330">
        <f>Results!M133</f>
        <v>1.2909633324192145</v>
      </c>
      <c r="L545" s="331">
        <f>Results!N133</f>
        <v>6.8171002799144842E-2</v>
      </c>
    </row>
    <row r="546" spans="1:12" ht="15">
      <c r="A546" s="27" t="s">
        <v>1184</v>
      </c>
      <c r="B546" s="325" t="str">
        <f t="shared" si="26"/>
        <v>Infil10</v>
      </c>
      <c r="C546" s="325" t="str">
        <f t="shared" si="26"/>
        <v>Infiltration10</v>
      </c>
      <c r="D546" s="325" t="str">
        <f t="shared" si="26"/>
        <v>Infiltration</v>
      </c>
      <c r="E546" s="325">
        <f t="shared" si="26"/>
        <v>10</v>
      </c>
      <c r="F546" s="325" t="str">
        <f t="shared" si="26"/>
        <v>0.45 ACHn</v>
      </c>
      <c r="G546" s="325" t="str">
        <f t="shared" si="26"/>
        <v>0.35 ACHn</v>
      </c>
      <c r="H546" s="325" t="str">
        <f t="shared" si="26"/>
        <v>Heating Zone 3</v>
      </c>
      <c r="I546" s="325" t="str">
        <f t="shared" si="26"/>
        <v>Infiltration Reduction - 0.45 ACHn to 0.35 ACHn - Heating Zone 3</v>
      </c>
      <c r="J546" s="325" t="s">
        <v>1060</v>
      </c>
      <c r="K546" s="334">
        <f>Results!M134</f>
        <v>0</v>
      </c>
      <c r="L546" s="335">
        <f>Results!N134</f>
        <v>0</v>
      </c>
    </row>
    <row r="547" spans="1:12" ht="15">
      <c r="A547" s="27" t="s">
        <v>1185</v>
      </c>
      <c r="B547" s="325" t="str">
        <f t="shared" si="26"/>
        <v>Infil11</v>
      </c>
      <c r="C547" s="325" t="str">
        <f t="shared" si="26"/>
        <v>Infiltration11</v>
      </c>
      <c r="D547" s="325" t="str">
        <f t="shared" si="26"/>
        <v>Infiltration</v>
      </c>
      <c r="E547" s="325">
        <f t="shared" si="26"/>
        <v>11</v>
      </c>
      <c r="F547" s="325" t="str">
        <f t="shared" si="26"/>
        <v>0.45 ACHn</v>
      </c>
      <c r="G547" s="325" t="str">
        <f t="shared" si="26"/>
        <v>0.20 ACHn</v>
      </c>
      <c r="H547" s="325" t="str">
        <f t="shared" si="26"/>
        <v>Heating Zone 3</v>
      </c>
      <c r="I547" s="325" t="str">
        <f t="shared" si="26"/>
        <v>Infiltration Reduction - 0.45 ACHn to 0.20 ACHn - Heating Zone 3</v>
      </c>
      <c r="J547" s="325" t="s">
        <v>1060</v>
      </c>
      <c r="K547" s="332">
        <f>Results!M135</f>
        <v>0</v>
      </c>
      <c r="L547" s="333">
        <f>Results!N135</f>
        <v>0</v>
      </c>
    </row>
    <row r="548" spans="1:12" ht="15">
      <c r="A548" s="27" t="s">
        <v>1186</v>
      </c>
      <c r="B548" s="325" t="str">
        <f t="shared" ref="B548:I556" si="27">B410</f>
        <v>Infil12</v>
      </c>
      <c r="C548" s="325" t="str">
        <f t="shared" si="27"/>
        <v>Infiltration12</v>
      </c>
      <c r="D548" s="325" t="str">
        <f t="shared" si="27"/>
        <v>Infiltration</v>
      </c>
      <c r="E548" s="325">
        <f t="shared" si="27"/>
        <v>12</v>
      </c>
      <c r="F548" s="325" t="str">
        <f t="shared" si="27"/>
        <v>0.35 ACHn</v>
      </c>
      <c r="G548" s="325" t="str">
        <f t="shared" si="27"/>
        <v>0.20 ACHn</v>
      </c>
      <c r="H548" s="325" t="str">
        <f t="shared" si="27"/>
        <v>Heating Zone 3</v>
      </c>
      <c r="I548" s="325" t="str">
        <f t="shared" si="27"/>
        <v>Infiltration Reduction - 0.35 ACHn to 0.20 ACHn - Heating Zone 3</v>
      </c>
      <c r="J548" s="325" t="s">
        <v>1060</v>
      </c>
      <c r="K548" s="339">
        <f>Results!M136</f>
        <v>0</v>
      </c>
      <c r="L548" s="340">
        <f>Results!N136</f>
        <v>0</v>
      </c>
    </row>
    <row r="549" spans="1:12" ht="15">
      <c r="A549" s="27" t="s">
        <v>1187</v>
      </c>
      <c r="B549" s="325" t="str">
        <f t="shared" si="27"/>
        <v>DuctT10</v>
      </c>
      <c r="C549" s="325" t="str">
        <f t="shared" si="27"/>
        <v>DuctTightness10</v>
      </c>
      <c r="D549" s="325" t="str">
        <f t="shared" si="27"/>
        <v>DuctTightness</v>
      </c>
      <c r="E549" s="325">
        <f t="shared" si="27"/>
        <v>10</v>
      </c>
      <c r="F549" s="325" t="str">
        <f t="shared" si="27"/>
        <v>Std-crawl</v>
      </c>
      <c r="G549" s="325" t="str">
        <f t="shared" si="27"/>
        <v>PTCS-crawl</v>
      </c>
      <c r="H549" s="325" t="str">
        <f t="shared" si="27"/>
        <v>Heating Zone 3</v>
      </c>
      <c r="I549" s="325" t="str">
        <f t="shared" si="27"/>
        <v>DuctTightness - Std-crawl to PTCS-crawl - Heating Zone 3</v>
      </c>
      <c r="J549" s="325" t="s">
        <v>1060</v>
      </c>
      <c r="K549" s="341">
        <f>Results!M137</f>
        <v>6229.6402941176329</v>
      </c>
      <c r="L549" s="342">
        <f>Results!N137</f>
        <v>815.60395114999869</v>
      </c>
    </row>
    <row r="550" spans="1:12" ht="15">
      <c r="A550" s="27" t="s">
        <v>1188</v>
      </c>
      <c r="B550" s="325" t="str">
        <f t="shared" si="27"/>
        <v>DuctI10</v>
      </c>
      <c r="C550" s="325" t="str">
        <f t="shared" si="27"/>
        <v>DuctInsulation10</v>
      </c>
      <c r="D550" s="325" t="str">
        <f t="shared" si="27"/>
        <v>DuctInsulation</v>
      </c>
      <c r="E550" s="325">
        <f t="shared" si="27"/>
        <v>10</v>
      </c>
      <c r="F550" s="325" t="str">
        <f t="shared" si="27"/>
        <v>R-0</v>
      </c>
      <c r="G550" s="325" t="str">
        <f t="shared" si="27"/>
        <v>R-4.2</v>
      </c>
      <c r="H550" s="325" t="str">
        <f t="shared" si="27"/>
        <v>Heating Zone 3</v>
      </c>
      <c r="I550" s="325" t="str">
        <f t="shared" si="27"/>
        <v>DuctInsulation - R-0 to R-4.2 - Heating Zone 3</v>
      </c>
      <c r="J550" s="325" t="s">
        <v>1060</v>
      </c>
      <c r="K550" s="343">
        <f>Results!M138</f>
        <v>268.38735294117663</v>
      </c>
      <c r="L550" s="344">
        <f>Results!N138</f>
        <v>47.895971799997724</v>
      </c>
    </row>
    <row r="551" spans="1:12" ht="15">
      <c r="A551" s="27" t="s">
        <v>1189</v>
      </c>
      <c r="B551" s="325" t="str">
        <f t="shared" si="27"/>
        <v>DuctI11</v>
      </c>
      <c r="C551" s="325" t="str">
        <f t="shared" si="27"/>
        <v>DuctInsulation11</v>
      </c>
      <c r="D551" s="325" t="str">
        <f t="shared" si="27"/>
        <v>DuctInsulation</v>
      </c>
      <c r="E551" s="325">
        <f t="shared" si="27"/>
        <v>11</v>
      </c>
      <c r="F551" s="325" t="str">
        <f t="shared" si="27"/>
        <v>R-0</v>
      </c>
      <c r="G551" s="325" t="str">
        <f t="shared" si="27"/>
        <v>R-11</v>
      </c>
      <c r="H551" s="325" t="str">
        <f t="shared" si="27"/>
        <v>Heating Zone 3</v>
      </c>
      <c r="I551" s="325" t="str">
        <f t="shared" si="27"/>
        <v>DuctInsulation - R-0 to R-11 - Heating Zone 3</v>
      </c>
      <c r="J551" s="325" t="s">
        <v>1060</v>
      </c>
      <c r="K551" s="345">
        <f>Results!M139</f>
        <v>376.5720588235294</v>
      </c>
      <c r="L551" s="346">
        <f>Results!N139</f>
        <v>66.770836299998408</v>
      </c>
    </row>
    <row r="552" spans="1:12" ht="15">
      <c r="A552" s="27" t="s">
        <v>1190</v>
      </c>
      <c r="B552" s="325" t="str">
        <f t="shared" si="27"/>
        <v>DuctI12</v>
      </c>
      <c r="C552" s="325" t="str">
        <f t="shared" si="27"/>
        <v>DuctInsulation12</v>
      </c>
      <c r="D552" s="325" t="str">
        <f t="shared" si="27"/>
        <v>DuctInsulation</v>
      </c>
      <c r="E552" s="325">
        <f t="shared" si="27"/>
        <v>12</v>
      </c>
      <c r="F552" s="325" t="str">
        <f t="shared" si="27"/>
        <v>R-4.2</v>
      </c>
      <c r="G552" s="325" t="str">
        <f t="shared" si="27"/>
        <v>R-11</v>
      </c>
      <c r="H552" s="325" t="str">
        <f t="shared" si="27"/>
        <v>Heating Zone 3</v>
      </c>
      <c r="I552" s="325" t="str">
        <f t="shared" si="27"/>
        <v>DuctInsulation - R-4.2 to R-11 - Heating Zone 3</v>
      </c>
      <c r="J552" s="325" t="s">
        <v>1060</v>
      </c>
      <c r="K552" s="347">
        <f>Results!M140</f>
        <v>108.18470588235286</v>
      </c>
      <c r="L552" s="348">
        <f>Results!N140</f>
        <v>18.874864500000683</v>
      </c>
    </row>
    <row r="553" spans="1:12" ht="15">
      <c r="A553" s="27" t="s">
        <v>1191</v>
      </c>
      <c r="B553" s="325" t="str">
        <f t="shared" si="27"/>
        <v>HeatP10</v>
      </c>
      <c r="C553" s="325" t="str">
        <f t="shared" si="27"/>
        <v>HeatPump10</v>
      </c>
      <c r="D553" s="325" t="str">
        <f t="shared" si="27"/>
        <v>HeatPump</v>
      </c>
      <c r="E553" s="325">
        <f t="shared" si="27"/>
        <v>10</v>
      </c>
      <c r="F553" s="325" t="str">
        <f t="shared" si="27"/>
        <v>7.7/13</v>
      </c>
      <c r="G553" s="325" t="str">
        <f t="shared" si="27"/>
        <v>8.5/13</v>
      </c>
      <c r="H553" s="325" t="str">
        <f t="shared" si="27"/>
        <v>Heating Zone 3</v>
      </c>
      <c r="I553" s="325" t="str">
        <f t="shared" si="27"/>
        <v>HeatPump Upgrade - 7.7/13 to 8.5/13 - Heating Zone 3</v>
      </c>
      <c r="J553" s="325" t="s">
        <v>1060</v>
      </c>
      <c r="K553" s="345">
        <f>Results!M141</f>
        <v>617.44053093964828</v>
      </c>
      <c r="L553" s="346">
        <f>Results!N141</f>
        <v>0</v>
      </c>
    </row>
    <row r="554" spans="1:12" ht="15">
      <c r="A554" s="27" t="s">
        <v>1192</v>
      </c>
      <c r="B554" s="325" t="str">
        <f t="shared" si="27"/>
        <v>HeatP11</v>
      </c>
      <c r="C554" s="325" t="str">
        <f t="shared" si="27"/>
        <v>HeatPump11</v>
      </c>
      <c r="D554" s="325" t="str">
        <f t="shared" si="27"/>
        <v>HeatPump</v>
      </c>
      <c r="E554" s="325">
        <f t="shared" si="27"/>
        <v>11</v>
      </c>
      <c r="F554" s="325" t="str">
        <f t="shared" si="27"/>
        <v>7.7/13</v>
      </c>
      <c r="G554" s="325" t="str">
        <f t="shared" si="27"/>
        <v>9.0/14</v>
      </c>
      <c r="H554" s="325" t="str">
        <f t="shared" si="27"/>
        <v>Heating Zone 3</v>
      </c>
      <c r="I554" s="325" t="str">
        <f t="shared" si="27"/>
        <v>HeatPump Upgrade - 7.7/13 to 9.0/14 - Heating Zone 3</v>
      </c>
      <c r="J554" s="325" t="s">
        <v>1060</v>
      </c>
      <c r="K554" s="345">
        <f>Results!M142</f>
        <v>898.48876623376418</v>
      </c>
      <c r="L554" s="346">
        <f>Results!N142</f>
        <v>310.12227286607111</v>
      </c>
    </row>
    <row r="555" spans="1:12" ht="15">
      <c r="A555" s="27" t="s">
        <v>1193</v>
      </c>
      <c r="B555" s="325" t="str">
        <f t="shared" si="27"/>
        <v>HeatP12</v>
      </c>
      <c r="C555" s="325" t="str">
        <f t="shared" si="27"/>
        <v>HeatPump12</v>
      </c>
      <c r="D555" s="325" t="str">
        <f t="shared" si="27"/>
        <v>HeatPump</v>
      </c>
      <c r="E555" s="325">
        <f t="shared" si="27"/>
        <v>12</v>
      </c>
      <c r="F555" s="325" t="str">
        <f t="shared" si="27"/>
        <v>7.7/13</v>
      </c>
      <c r="G555" s="325" t="str">
        <f t="shared" si="27"/>
        <v>8.2/13</v>
      </c>
      <c r="H555" s="325" t="str">
        <f t="shared" si="27"/>
        <v>Heating Zone 3</v>
      </c>
      <c r="I555" s="325" t="str">
        <f t="shared" si="27"/>
        <v>HeatPump Upgrade - 7.7/13 to 8.2/13 - Heating Zone 3</v>
      </c>
      <c r="J555" s="325" t="s">
        <v>1060</v>
      </c>
      <c r="K555" s="345">
        <f>Results!M143</f>
        <v>432.35998574595988</v>
      </c>
      <c r="L555" s="346">
        <f>Results!N143</f>
        <v>0</v>
      </c>
    </row>
    <row r="556" spans="1:12" ht="15.75" thickBot="1">
      <c r="A556" s="27" t="s">
        <v>1194</v>
      </c>
      <c r="B556" s="325" t="str">
        <f t="shared" si="27"/>
        <v>HPCnt10</v>
      </c>
      <c r="C556" s="325" t="str">
        <f t="shared" si="27"/>
        <v>HPCntrls10</v>
      </c>
      <c r="D556" s="325" t="str">
        <f t="shared" si="27"/>
        <v>HPCntrls</v>
      </c>
      <c r="E556" s="325">
        <f t="shared" si="27"/>
        <v>10</v>
      </c>
      <c r="F556" s="325" t="str">
        <f t="shared" si="27"/>
        <v>Standard</v>
      </c>
      <c r="G556" s="325" t="str">
        <f t="shared" si="27"/>
        <v>PTCS</v>
      </c>
      <c r="H556" s="325" t="str">
        <f t="shared" si="27"/>
        <v>Heating Zone 3</v>
      </c>
      <c r="I556" s="325" t="str">
        <f t="shared" si="27"/>
        <v>HPCntrls Upgrade - Standard to PTCS - Heating Zone 3</v>
      </c>
      <c r="J556" s="325" t="s">
        <v>1060</v>
      </c>
      <c r="K556" s="351">
        <f>Results!M144</f>
        <v>2888.6685294117638</v>
      </c>
      <c r="L556" s="352">
        <f>Results!N144</f>
        <v>-2.3431575999999579</v>
      </c>
    </row>
  </sheetData>
  <mergeCells count="1">
    <mergeCell ref="K3:L3"/>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5" tint="0.79998168889431442"/>
  </sheetPr>
  <dimension ref="A1:R149"/>
  <sheetViews>
    <sheetView topLeftCell="I1" workbookViewId="0">
      <selection activeCell="Q4" sqref="Q4:V20"/>
    </sheetView>
  </sheetViews>
  <sheetFormatPr defaultRowHeight="12.75"/>
  <cols>
    <col min="1" max="1" width="12.7109375" customWidth="1"/>
    <col min="2" max="2" width="15.5703125" customWidth="1"/>
    <col min="3" max="3" width="14.5703125" customWidth="1"/>
    <col min="4" max="4" width="22" customWidth="1"/>
    <col min="7" max="7" width="15.28515625" bestFit="1" customWidth="1"/>
    <col min="8" max="8" width="80.42578125" customWidth="1"/>
    <col min="9" max="10" width="12.5703125" style="219" customWidth="1"/>
    <col min="13" max="13" width="13.85546875" bestFit="1" customWidth="1"/>
    <col min="14" max="14" width="22.140625" customWidth="1"/>
    <col min="17" max="17" width="53.42578125" bestFit="1" customWidth="1"/>
    <col min="18" max="18" width="16" style="219" bestFit="1" customWidth="1"/>
  </cols>
  <sheetData>
    <row r="1" spans="1:18" s="217" customFormat="1" ht="18.75">
      <c r="E1" s="218"/>
      <c r="R1" s="218"/>
    </row>
    <row r="2" spans="1:18" s="217" customFormat="1" ht="18.75">
      <c r="E2" s="218"/>
      <c r="I2" s="218"/>
      <c r="J2" s="218"/>
      <c r="K2" s="216"/>
      <c r="R2" s="218"/>
    </row>
    <row r="3" spans="1:18" s="217" customFormat="1" ht="19.5" thickBot="1">
      <c r="A3" s="216" t="s">
        <v>510</v>
      </c>
      <c r="E3" s="218"/>
      <c r="I3" s="218"/>
      <c r="J3" s="218"/>
      <c r="K3" s="216"/>
      <c r="R3" s="218"/>
    </row>
    <row r="4" spans="1:18" ht="19.5" thickBot="1">
      <c r="A4" s="216" t="s">
        <v>512</v>
      </c>
      <c r="E4" s="219"/>
      <c r="I4" s="652" t="s">
        <v>515</v>
      </c>
      <c r="J4" s="653"/>
      <c r="K4" s="653"/>
      <c r="L4" s="653"/>
      <c r="M4" s="653"/>
      <c r="N4" s="654"/>
      <c r="R4"/>
    </row>
    <row r="5" spans="1:18" ht="19.5" thickBot="1">
      <c r="D5" s="219"/>
      <c r="I5" s="655" t="s">
        <v>1323</v>
      </c>
      <c r="J5" s="656"/>
      <c r="K5" s="524" t="s">
        <v>183</v>
      </c>
      <c r="L5" s="525" t="s">
        <v>181</v>
      </c>
      <c r="M5" s="526" t="s">
        <v>78</v>
      </c>
      <c r="N5" s="527" t="s">
        <v>1324</v>
      </c>
      <c r="R5"/>
    </row>
    <row r="6" spans="1:18" ht="13.5" thickBot="1">
      <c r="A6" s="224" t="s">
        <v>516</v>
      </c>
      <c r="B6" s="225" t="s">
        <v>6</v>
      </c>
      <c r="C6" s="225" t="s">
        <v>517</v>
      </c>
      <c r="D6" s="226" t="s">
        <v>518</v>
      </c>
      <c r="E6" s="225" t="s">
        <v>519</v>
      </c>
      <c r="F6" s="227" t="s">
        <v>520</v>
      </c>
      <c r="G6" s="228" t="s">
        <v>521</v>
      </c>
      <c r="H6" s="228" t="s">
        <v>6</v>
      </c>
      <c r="I6" s="230" t="s">
        <v>522</v>
      </c>
      <c r="J6" s="231" t="s">
        <v>523</v>
      </c>
      <c r="K6" s="230" t="s">
        <v>522</v>
      </c>
      <c r="L6" s="230" t="s">
        <v>522</v>
      </c>
      <c r="M6" s="528" t="s">
        <v>522</v>
      </c>
      <c r="N6" s="529" t="s">
        <v>523</v>
      </c>
      <c r="R6"/>
    </row>
    <row r="7" spans="1:18" ht="15">
      <c r="A7" s="232" t="str">
        <f>MeasureInputsANDResults!B229</f>
        <v>Walls10</v>
      </c>
      <c r="B7" s="233" t="str">
        <f>MeasureInputsANDResults!C229</f>
        <v>Walls10</v>
      </c>
      <c r="C7" s="233" t="str">
        <f>MeasureInputsANDResults!D229</f>
        <v>Walls</v>
      </c>
      <c r="D7" s="233">
        <f>MeasureInputsANDResults!E229</f>
        <v>10</v>
      </c>
      <c r="E7" s="233" t="str">
        <f>MeasureInputsANDResults!F229</f>
        <v>R-0</v>
      </c>
      <c r="F7" s="233" t="str">
        <f>MeasureInputsANDResults!G229</f>
        <v>R-11</v>
      </c>
      <c r="G7" s="234" t="s">
        <v>324</v>
      </c>
      <c r="H7" s="233" t="str">
        <f t="shared" ref="H7:H17" si="0">"Multi Family Weatherization - Insulate "&amp;C7&amp;" - "&amp;E7&amp;" to "&amp;F7&amp;" - "&amp;G7</f>
        <v>Multi Family Weatherization - Insulate Walls - R-0 to R-11 - Heating Zone 1</v>
      </c>
      <c r="I7" s="235">
        <f>SUMPRODUCT(MeasureInputsANDResults!I229:M229,inputWeightings!$B$20:$F$20)</f>
        <v>1.2397086483100268</v>
      </c>
      <c r="J7" s="236">
        <f>SUMPRODUCT(MeasureInputsANDResults!N229:R229,inputWeightings!$B$20:$F$20)</f>
        <v>-1.3928888865429034E-3</v>
      </c>
      <c r="K7" s="235">
        <f>MeasureInputsANDResults!I175*inputWeightings!$B$20+MeasureInputsANDResults!L175*inputWeightings!$C$20+MeasureInputsANDResults!O175*inputWeightings!$D$20+MeasureInputsANDResults!R175*inputWeightings!$E$20+MeasureInputsANDResults!U175*inputWeightings!$F$20</f>
        <v>1.2472794546100672</v>
      </c>
      <c r="L7" s="235">
        <f>MeasureInputsANDResults!J175*inputWeightings!$B$20+MeasureInputsANDResults!M175*inputWeightings!$C$20+MeasureInputsANDResults!P175*inputWeightings!$D$20+MeasureInputsANDResults!S175*inputWeightings!$E$20+MeasureInputsANDResults!V175*inputWeightings!$F$20</f>
        <v>1.2795366082093165</v>
      </c>
      <c r="M7" s="326">
        <f>MeasureInputsANDResults!K175*inputWeightings!$B$20+MeasureInputsANDResults!N175*inputWeightings!$C$20+MeasureInputsANDResults!Q175*inputWeightings!$D$20+MeasureInputsANDResults!T175*inputWeightings!$E$20+MeasureInputsANDResults!W175*inputWeightings!$F$20</f>
        <v>0.59289129266862839</v>
      </c>
      <c r="N7" s="327">
        <f>SUMPRODUCT(MeasureInputsANDResults!X175:AB175,inputWeightings!$B$33:$F$33)</f>
        <v>-2.5850298012560328E-2</v>
      </c>
      <c r="R7"/>
    </row>
    <row r="8" spans="1:18" ht="15">
      <c r="A8" s="239" t="str">
        <f>MeasureInputsANDResults!B230</f>
        <v>BGWal10</v>
      </c>
      <c r="B8" s="240" t="str">
        <f>MeasureInputsANDResults!C230</f>
        <v>BGWalls10</v>
      </c>
      <c r="C8" s="240" t="str">
        <f>MeasureInputsANDResults!D230</f>
        <v>BGWalls</v>
      </c>
      <c r="D8" s="240">
        <f>MeasureInputsANDResults!E230</f>
        <v>10</v>
      </c>
      <c r="E8" s="240" t="str">
        <f>MeasureInputsANDResults!F230</f>
        <v>R-0</v>
      </c>
      <c r="F8" s="240" t="str">
        <f>MeasureInputsANDResults!G230</f>
        <v>R-11</v>
      </c>
      <c r="G8" s="241" t="s">
        <v>324</v>
      </c>
      <c r="H8" s="240" t="str">
        <f t="shared" si="0"/>
        <v>Multi Family Weatherization - Insulate BGWalls - R-0 to R-11 - Heating Zone 1</v>
      </c>
      <c r="I8" s="242">
        <f>SUMPRODUCT(MeasureInputsANDResults!I230:M230,inputWeightings!$B$20:$F$20)</f>
        <v>0</v>
      </c>
      <c r="J8" s="243">
        <f>SUMPRODUCT(MeasureInputsANDResults!N230:R230,inputWeightings!$B$20:$F$20)</f>
        <v>0</v>
      </c>
      <c r="K8" s="242">
        <f>MeasureInputsANDResults!I176*inputWeightings!$B$20+MeasureInputsANDResults!L176*inputWeightings!$C$20+MeasureInputsANDResults!O176*inputWeightings!$D$20+MeasureInputsANDResults!R176*inputWeightings!$E$20+MeasureInputsANDResults!U176*inputWeightings!$F$20</f>
        <v>0</v>
      </c>
      <c r="L8" s="242">
        <f>MeasureInputsANDResults!J176*inputWeightings!$B$20+MeasureInputsANDResults!M176*inputWeightings!$C$20+MeasureInputsANDResults!P176*inputWeightings!$D$20+MeasureInputsANDResults!S176*inputWeightings!$E$20+MeasureInputsANDResults!V176*inputWeightings!$F$20</f>
        <v>0</v>
      </c>
      <c r="M8" s="328">
        <f>MeasureInputsANDResults!K176*inputWeightings!$B$20+MeasureInputsANDResults!N176*inputWeightings!$C$20+MeasureInputsANDResults!Q176*inputWeightings!$D$20+MeasureInputsANDResults!T176*inputWeightings!$E$20+MeasureInputsANDResults!W176*inputWeightings!$F$20</f>
        <v>0</v>
      </c>
      <c r="N8" s="329">
        <f>SUMPRODUCT(MeasureInputsANDResults!X176:AB176,inputWeightings!$B$33:$F$33)</f>
        <v>0</v>
      </c>
      <c r="R8"/>
    </row>
    <row r="9" spans="1:18" ht="15">
      <c r="A9" s="244" t="str">
        <f>MeasureInputsANDResults!B231</f>
        <v>Floor10</v>
      </c>
      <c r="B9" s="245" t="str">
        <f>MeasureInputsANDResults!C231</f>
        <v>Floors10</v>
      </c>
      <c r="C9" s="245" t="str">
        <f>MeasureInputsANDResults!D231</f>
        <v>Floors</v>
      </c>
      <c r="D9" s="245">
        <f>MeasureInputsANDResults!E231</f>
        <v>10</v>
      </c>
      <c r="E9" s="245" t="str">
        <f>MeasureInputsANDResults!F231</f>
        <v>R-0</v>
      </c>
      <c r="F9" s="245" t="str">
        <f>MeasureInputsANDResults!G231</f>
        <v>R-19</v>
      </c>
      <c r="G9" s="246" t="s">
        <v>324</v>
      </c>
      <c r="H9" s="245" t="str">
        <f t="shared" si="0"/>
        <v>Multi Family Weatherization - Insulate Floors - R-0 to R-19 - Heating Zone 1</v>
      </c>
      <c r="I9" s="247">
        <f>SUMPRODUCT(MeasureInputsANDResults!I231:M231,inputWeightings!$B$20:$F$20)</f>
        <v>0.54904464777548367</v>
      </c>
      <c r="J9" s="248">
        <f>SUMPRODUCT(MeasureInputsANDResults!N231:R231,inputWeightings!$B$20:$F$20)</f>
        <v>-8.6879628014648828E-3</v>
      </c>
      <c r="K9" s="247">
        <f>MeasureInputsANDResults!I177*inputWeightings!$B$20+MeasureInputsANDResults!L177*inputWeightings!$C$20+MeasureInputsANDResults!O177*inputWeightings!$D$20+MeasureInputsANDResults!R177*inputWeightings!$E$20+MeasureInputsANDResults!U177*inputWeightings!$F$20</f>
        <v>0.55318177492593634</v>
      </c>
      <c r="L9" s="247">
        <f>MeasureInputsANDResults!J177*inputWeightings!$B$20+MeasureInputsANDResults!M177*inputWeightings!$C$20+MeasureInputsANDResults!P177*inputWeightings!$D$20+MeasureInputsANDResults!S177*inputWeightings!$E$20+MeasureInputsANDResults!V177*inputWeightings!$F$20</f>
        <v>0.54992417293141704</v>
      </c>
      <c r="M9" s="330">
        <f>MeasureInputsANDResults!K177*inputWeightings!$B$20+MeasureInputsANDResults!N177*inputWeightings!$C$20+MeasureInputsANDResults!Q177*inputWeightings!$D$20+MeasureInputsANDResults!T177*inputWeightings!$E$20+MeasureInputsANDResults!W177*inputWeightings!$F$20</f>
        <v>0.23389755740798973</v>
      </c>
      <c r="N9" s="331">
        <f>SUMPRODUCT(MeasureInputsANDResults!X177:AB177,inputWeightings!$B$33:$F$33)</f>
        <v>-8.5586343811096283E-2</v>
      </c>
      <c r="R9"/>
    </row>
    <row r="10" spans="1:18" ht="15">
      <c r="A10" s="253" t="str">
        <f>MeasureInputsANDResults!B232</f>
        <v>Floor11</v>
      </c>
      <c r="B10" s="254" t="str">
        <f>MeasureInputsANDResults!C232</f>
        <v>Floors11</v>
      </c>
      <c r="C10" s="254" t="str">
        <f>MeasureInputsANDResults!D232</f>
        <v>Floors</v>
      </c>
      <c r="D10" s="254">
        <f>MeasureInputsANDResults!E232</f>
        <v>11</v>
      </c>
      <c r="E10" s="254" t="str">
        <f>MeasureInputsANDResults!F232</f>
        <v>R-0</v>
      </c>
      <c r="F10" s="254" t="str">
        <f>MeasureInputsANDResults!G232</f>
        <v>R-25</v>
      </c>
      <c r="G10" s="255" t="s">
        <v>324</v>
      </c>
      <c r="H10" s="254" t="str">
        <f t="shared" si="0"/>
        <v>Multi Family Weatherization - Insulate Floors - R-0 to R-25 - Heating Zone 1</v>
      </c>
      <c r="I10" s="256">
        <f>SUMPRODUCT(MeasureInputsANDResults!I232:M232,inputWeightings!$B$20:$F$20)</f>
        <v>0.629222122367877</v>
      </c>
      <c r="J10" s="257">
        <f>SUMPRODUCT(MeasureInputsANDResults!N232:R232,inputWeightings!$B$20:$F$20)</f>
        <v>-1.0072624961514117E-2</v>
      </c>
      <c r="K10" s="256">
        <f>MeasureInputsANDResults!I178*inputWeightings!$B$20+MeasureInputsANDResults!L178*inputWeightings!$C$20+MeasureInputsANDResults!O178*inputWeightings!$D$20+MeasureInputsANDResults!R178*inputWeightings!$E$20+MeasureInputsANDResults!U178*inputWeightings!$F$20</f>
        <v>0.63395512797593623</v>
      </c>
      <c r="L10" s="256">
        <f>MeasureInputsANDResults!J178*inputWeightings!$B$20+MeasureInputsANDResults!M178*inputWeightings!$C$20+MeasureInputsANDResults!P178*inputWeightings!$D$20+MeasureInputsANDResults!S178*inputWeightings!$E$20+MeasureInputsANDResults!V178*inputWeightings!$F$20</f>
        <v>0.63036915132647064</v>
      </c>
      <c r="M10" s="332">
        <f>MeasureInputsANDResults!K178*inputWeightings!$B$20+MeasureInputsANDResults!N178*inputWeightings!$C$20+MeasureInputsANDResults!Q178*inputWeightings!$D$20+MeasureInputsANDResults!T178*inputWeightings!$E$20+MeasureInputsANDResults!W178*inputWeightings!$F$20</f>
        <v>0.26842545454545436</v>
      </c>
      <c r="N10" s="333">
        <f>SUMPRODUCT(MeasureInputsANDResults!X178:AB178,inputWeightings!$B$33:$F$33)</f>
        <v>-9.9240917031951953E-2</v>
      </c>
      <c r="R10"/>
    </row>
    <row r="11" spans="1:18" ht="15">
      <c r="A11" s="244" t="str">
        <f>MeasureInputsANDResults!B233</f>
        <v>Floor12</v>
      </c>
      <c r="B11" s="245" t="str">
        <f>MeasureInputsANDResults!C233</f>
        <v>Floors12</v>
      </c>
      <c r="C11" s="245" t="str">
        <f>MeasureInputsANDResults!D233</f>
        <v>Floors</v>
      </c>
      <c r="D11" s="245">
        <f>MeasureInputsANDResults!E233</f>
        <v>12</v>
      </c>
      <c r="E11" s="245" t="str">
        <f>MeasureInputsANDResults!F233</f>
        <v>R-0</v>
      </c>
      <c r="F11" s="245" t="str">
        <f>MeasureInputsANDResults!G233</f>
        <v>R-30</v>
      </c>
      <c r="G11" s="246" t="s">
        <v>324</v>
      </c>
      <c r="H11" s="245" t="str">
        <f t="shared" si="0"/>
        <v>Multi Family Weatherization - Insulate Floors - R-0 to R-30 - Heating Zone 1</v>
      </c>
      <c r="I11" s="247">
        <f>SUMPRODUCT(MeasureInputsANDResults!I233:M233,inputWeightings!$B$20:$F$20)</f>
        <v>0.71360642334571189</v>
      </c>
      <c r="J11" s="248">
        <f>SUMPRODUCT(MeasureInputsANDResults!N233:R233,inputWeightings!$B$20:$F$20)</f>
        <v>-1.1565756036803973E-2</v>
      </c>
      <c r="K11" s="247">
        <f>MeasureInputsANDResults!I179*inputWeightings!$B$20+MeasureInputsANDResults!L179*inputWeightings!$C$20+MeasureInputsANDResults!O179*inputWeightings!$D$20+MeasureInputsANDResults!R179*inputWeightings!$E$20+MeasureInputsANDResults!U179*inputWeightings!$F$20</f>
        <v>0.71896218781336929</v>
      </c>
      <c r="L11" s="247">
        <f>MeasureInputsANDResults!J179*inputWeightings!$B$20+MeasureInputsANDResults!M179*inputWeightings!$C$20+MeasureInputsANDResults!P179*inputWeightings!$D$20+MeasureInputsANDResults!S179*inputWeightings!$E$20+MeasureInputsANDResults!V179*inputWeightings!$F$20</f>
        <v>0.71506655842459887</v>
      </c>
      <c r="M11" s="330">
        <f>MeasureInputsANDResults!K179*inputWeightings!$B$20+MeasureInputsANDResults!N179*inputWeightings!$C$20+MeasureInputsANDResults!Q179*inputWeightings!$D$20+MeasureInputsANDResults!T179*inputWeightings!$E$20+MeasureInputsANDResults!W179*inputWeightings!$F$20</f>
        <v>0.30503938345391612</v>
      </c>
      <c r="N11" s="331">
        <f>SUMPRODUCT(MeasureInputsANDResults!X179:AB179,inputWeightings!$B$33:$F$33)</f>
        <v>-0.11397062156911769</v>
      </c>
      <c r="R11"/>
    </row>
    <row r="12" spans="1:18" ht="15">
      <c r="A12" s="253" t="str">
        <f>MeasureInputsANDResults!B234</f>
        <v>Floor13</v>
      </c>
      <c r="B12" s="254" t="str">
        <f>MeasureInputsANDResults!C234</f>
        <v>Floors13</v>
      </c>
      <c r="C12" s="254" t="str">
        <f>MeasureInputsANDResults!D234</f>
        <v>Floors</v>
      </c>
      <c r="D12" s="254">
        <f>MeasureInputsANDResults!E234</f>
        <v>13</v>
      </c>
      <c r="E12" s="254" t="str">
        <f>MeasureInputsANDResults!F234</f>
        <v>R-0</v>
      </c>
      <c r="F12" s="254" t="str">
        <f>MeasureInputsANDResults!G234</f>
        <v>R-38</v>
      </c>
      <c r="G12" s="255" t="s">
        <v>324</v>
      </c>
      <c r="H12" s="254" t="str">
        <f t="shared" si="0"/>
        <v>Multi Family Weatherization - Insulate Floors - R-0 to R-38 - Heating Zone 1</v>
      </c>
      <c r="I12" s="256">
        <f>SUMPRODUCT(MeasureInputsANDResults!I234:M234,inputWeightings!$B$20:$F$20)</f>
        <v>0.73603185698061679</v>
      </c>
      <c r="J12" s="257">
        <f>SUMPRODUCT(MeasureInputsANDResults!N234:R234,inputWeightings!$B$20:$F$20)</f>
        <v>-1.1968762310279761E-2</v>
      </c>
      <c r="K12" s="256">
        <f>MeasureInputsANDResults!I180*inputWeightings!$B$20+MeasureInputsANDResults!L180*inputWeightings!$C$20+MeasureInputsANDResults!O180*inputWeightings!$D$20+MeasureInputsANDResults!R180*inputWeightings!$E$20+MeasureInputsANDResults!U180*inputWeightings!$F$20</f>
        <v>0.74155652685521434</v>
      </c>
      <c r="L12" s="256">
        <f>MeasureInputsANDResults!J180*inputWeightings!$B$20+MeasureInputsANDResults!M180*inputWeightings!$C$20+MeasureInputsANDResults!P180*inputWeightings!$D$20+MeasureInputsANDResults!S180*inputWeightings!$E$20+MeasureInputsANDResults!V180*inputWeightings!$F$20</f>
        <v>0.73758250343048126</v>
      </c>
      <c r="M12" s="332">
        <f>MeasureInputsANDResults!K180*inputWeightings!$B$20+MeasureInputsANDResults!N180*inputWeightings!$C$20+MeasureInputsANDResults!Q180*inputWeightings!$D$20+MeasureInputsANDResults!T180*inputWeightings!$E$20+MeasureInputsANDResults!W180*inputWeightings!$F$20</f>
        <v>0.31449822428436602</v>
      </c>
      <c r="N12" s="333">
        <f>SUMPRODUCT(MeasureInputsANDResults!X180:AB180,inputWeightings!$B$33:$F$33)</f>
        <v>-0.11794506497446529</v>
      </c>
      <c r="R12"/>
    </row>
    <row r="13" spans="1:18" ht="15">
      <c r="A13" s="253" t="str">
        <f>MeasureInputsANDResults!B235</f>
        <v>Floor14</v>
      </c>
      <c r="B13" s="254" t="str">
        <f>MeasureInputsANDResults!C235</f>
        <v>Floors14</v>
      </c>
      <c r="C13" s="254" t="str">
        <f>MeasureInputsANDResults!D235</f>
        <v>Floors</v>
      </c>
      <c r="D13" s="254">
        <f>MeasureInputsANDResults!E235</f>
        <v>14</v>
      </c>
      <c r="E13" s="254" t="str">
        <f>MeasureInputsANDResults!F235</f>
        <v>R-19</v>
      </c>
      <c r="F13" s="254" t="str">
        <f>MeasureInputsANDResults!G235</f>
        <v>R-25</v>
      </c>
      <c r="G13" s="255" t="s">
        <v>324</v>
      </c>
      <c r="H13" s="254" t="str">
        <f t="shared" si="0"/>
        <v>Multi Family Weatherization - Insulate Floors - R-19 to R-25 - Heating Zone 1</v>
      </c>
      <c r="I13" s="256">
        <f>SUMPRODUCT(MeasureInputsANDResults!I235:M235,inputWeightings!$B$20:$F$20)</f>
        <v>8.0177474592393327E-2</v>
      </c>
      <c r="J13" s="257">
        <f>SUMPRODUCT(MeasureInputsANDResults!N235:R235,inputWeightings!$B$20:$F$20)</f>
        <v>-1.384662160049233E-3</v>
      </c>
      <c r="K13" s="256">
        <f>MeasureInputsANDResults!I181*inputWeightings!$B$20+MeasureInputsANDResults!L181*inputWeightings!$C$20+MeasureInputsANDResults!O181*inputWeightings!$D$20+MeasureInputsANDResults!R181*inputWeightings!$E$20+MeasureInputsANDResults!U181*inputWeightings!$F$20</f>
        <v>8.0773353049999788E-2</v>
      </c>
      <c r="L13" s="256">
        <f>MeasureInputsANDResults!J181*inputWeightings!$B$20+MeasureInputsANDResults!M181*inputWeightings!$C$20+MeasureInputsANDResults!P181*inputWeightings!$D$20+MeasureInputsANDResults!S181*inputWeightings!$E$20+MeasureInputsANDResults!V181*inputWeightings!$F$20</f>
        <v>8.0444978395053601E-2</v>
      </c>
      <c r="M13" s="332">
        <f>MeasureInputsANDResults!K181*inputWeightings!$B$20+MeasureInputsANDResults!N181*inputWeightings!$C$20+MeasureInputsANDResults!Q181*inputWeightings!$D$20+MeasureInputsANDResults!T181*inputWeightings!$E$20+MeasureInputsANDResults!W181*inputWeightings!$F$20</f>
        <v>3.4527897137464666E-2</v>
      </c>
      <c r="N13" s="333">
        <f>SUMPRODUCT(MeasureInputsANDResults!X181:AB181,inputWeightings!$B$33:$F$33)</f>
        <v>-1.3654573220855675E-2</v>
      </c>
      <c r="R13"/>
    </row>
    <row r="14" spans="1:18" ht="15">
      <c r="A14" s="244" t="str">
        <f>MeasureInputsANDResults!B236</f>
        <v>Floor15</v>
      </c>
      <c r="B14" s="245" t="str">
        <f>MeasureInputsANDResults!C236</f>
        <v>Floors15</v>
      </c>
      <c r="C14" s="245" t="str">
        <f>MeasureInputsANDResults!D236</f>
        <v>Floors</v>
      </c>
      <c r="D14" s="245">
        <f>MeasureInputsANDResults!E236</f>
        <v>15</v>
      </c>
      <c r="E14" s="245" t="str">
        <f>MeasureInputsANDResults!F236</f>
        <v>R-19</v>
      </c>
      <c r="F14" s="245" t="str">
        <f>MeasureInputsANDResults!G236</f>
        <v>R-30</v>
      </c>
      <c r="G14" s="246" t="s">
        <v>324</v>
      </c>
      <c r="H14" s="245" t="str">
        <f t="shared" si="0"/>
        <v>Multi Family Weatherization - Insulate Floors - R-19 to R-30 - Heating Zone 1</v>
      </c>
      <c r="I14" s="247">
        <f>SUMPRODUCT(MeasureInputsANDResults!I236:M236,inputWeightings!$B$20:$F$20)</f>
        <v>0.16456177557022819</v>
      </c>
      <c r="J14" s="248">
        <f>SUMPRODUCT(MeasureInputsANDResults!N236:R236,inputWeightings!$B$20:$F$20)</f>
        <v>-2.8777932353390902E-3</v>
      </c>
      <c r="K14" s="247">
        <f>MeasureInputsANDResults!I182*inputWeightings!$B$20+MeasureInputsANDResults!L182*inputWeightings!$C$20+MeasureInputsANDResults!O182*inputWeightings!$D$20+MeasureInputsANDResults!R182*inputWeightings!$E$20+MeasureInputsANDResults!U182*inputWeightings!$F$20</f>
        <v>0.16578041288743295</v>
      </c>
      <c r="L14" s="247">
        <f>MeasureInputsANDResults!J182*inputWeightings!$B$20+MeasureInputsANDResults!M182*inputWeightings!$C$20+MeasureInputsANDResults!P182*inputWeightings!$D$20+MeasureInputsANDResults!S182*inputWeightings!$E$20+MeasureInputsANDResults!V182*inputWeightings!$F$20</f>
        <v>0.16514238549318172</v>
      </c>
      <c r="M14" s="330">
        <f>MeasureInputsANDResults!K182*inputWeightings!$B$20+MeasureInputsANDResults!N182*inputWeightings!$C$20+MeasureInputsANDResults!Q182*inputWeightings!$D$20+MeasureInputsANDResults!T182*inputWeightings!$E$20+MeasureInputsANDResults!W182*inputWeightings!$F$20</f>
        <v>7.1141826045926365E-2</v>
      </c>
      <c r="N14" s="331">
        <f>SUMPRODUCT(MeasureInputsANDResults!X182:AB182,inputWeightings!$B$33:$F$33)</f>
        <v>-2.8384277758021409E-2</v>
      </c>
      <c r="R14"/>
    </row>
    <row r="15" spans="1:18" ht="15">
      <c r="A15" s="253" t="str">
        <f>MeasureInputsANDResults!B237</f>
        <v>Floor16</v>
      </c>
      <c r="B15" s="254" t="str">
        <f>MeasureInputsANDResults!C237</f>
        <v>Floors16</v>
      </c>
      <c r="C15" s="254" t="str">
        <f>MeasureInputsANDResults!D237</f>
        <v>Floors</v>
      </c>
      <c r="D15" s="254">
        <f>MeasureInputsANDResults!E237</f>
        <v>16</v>
      </c>
      <c r="E15" s="254" t="str">
        <f>MeasureInputsANDResults!F237</f>
        <v>R-19</v>
      </c>
      <c r="F15" s="254" t="str">
        <f>MeasureInputsANDResults!G237</f>
        <v>R-38</v>
      </c>
      <c r="G15" s="255" t="s">
        <v>324</v>
      </c>
      <c r="H15" s="254" t="str">
        <f t="shared" si="0"/>
        <v>Multi Family Weatherization - Insulate Floors - R-19 to R-38 - Heating Zone 1</v>
      </c>
      <c r="I15" s="256">
        <f>SUMPRODUCT(MeasureInputsANDResults!I237:M237,inputWeightings!$B$20:$F$20)</f>
        <v>0.18698720920513304</v>
      </c>
      <c r="J15" s="257">
        <f>SUMPRODUCT(MeasureInputsANDResults!N237:R237,inputWeightings!$B$20:$F$20)</f>
        <v>-3.2807995088148792E-3</v>
      </c>
      <c r="K15" s="256">
        <f>MeasureInputsANDResults!I183*inputWeightings!$B$20+MeasureInputsANDResults!L183*inputWeightings!$C$20+MeasureInputsANDResults!O183*inputWeightings!$D$20+MeasureInputsANDResults!R183*inputWeightings!$E$20+MeasureInputsANDResults!U183*inputWeightings!$F$20</f>
        <v>0.18837475192927783</v>
      </c>
      <c r="L15" s="256">
        <f>MeasureInputsANDResults!J183*inputWeightings!$B$20+MeasureInputsANDResults!M183*inputWeightings!$C$20+MeasureInputsANDResults!P183*inputWeightings!$D$20+MeasureInputsANDResults!S183*inputWeightings!$E$20+MeasureInputsANDResults!V183*inputWeightings!$F$20</f>
        <v>0.18765833049906411</v>
      </c>
      <c r="M15" s="332">
        <f>MeasureInputsANDResults!K183*inputWeightings!$B$20+MeasureInputsANDResults!N183*inputWeightings!$C$20+MeasureInputsANDResults!Q183*inputWeightings!$D$20+MeasureInputsANDResults!T183*inputWeightings!$E$20+MeasureInputsANDResults!W183*inputWeightings!$F$20</f>
        <v>8.0600666876376334E-2</v>
      </c>
      <c r="N15" s="333">
        <f>SUMPRODUCT(MeasureInputsANDResults!X183:AB183,inputWeightings!$B$33:$F$33)</f>
        <v>-3.2358721163369006E-2</v>
      </c>
      <c r="R15"/>
    </row>
    <row r="16" spans="1:18" ht="15">
      <c r="A16" s="253" t="str">
        <f>MeasureInputsANDResults!B238</f>
        <v>Floor17</v>
      </c>
      <c r="B16" s="254" t="str">
        <f>MeasureInputsANDResults!C238</f>
        <v>Floors17</v>
      </c>
      <c r="C16" s="254" t="str">
        <f>MeasureInputsANDResults!D238</f>
        <v>Floors</v>
      </c>
      <c r="D16" s="254">
        <f>MeasureInputsANDResults!E238</f>
        <v>17</v>
      </c>
      <c r="E16" s="254" t="str">
        <f>MeasureInputsANDResults!F238</f>
        <v>R-11</v>
      </c>
      <c r="F16" s="254" t="str">
        <f>MeasureInputsANDResults!G238</f>
        <v>R-30</v>
      </c>
      <c r="G16" s="255" t="s">
        <v>324</v>
      </c>
      <c r="H16" s="254" t="str">
        <f t="shared" si="0"/>
        <v>Multi Family Weatherization - Insulate Floors - R-11 to R-30 - Heating Zone 1</v>
      </c>
      <c r="I16" s="256">
        <f>SUMPRODUCT(MeasureInputsANDResults!I238:M238,inputWeightings!$B$20:$F$20)</f>
        <v>1.6030093442071243</v>
      </c>
      <c r="J16" s="257">
        <f>SUMPRODUCT(MeasureInputsANDResults!N238:R238,inputWeightings!$B$20:$F$20)</f>
        <v>-2.320864680527707E-2</v>
      </c>
      <c r="K16" s="256">
        <f>MeasureInputsANDResults!I184*inputWeightings!$B$20+MeasureInputsANDResults!L184*inputWeightings!$C$20+MeasureInputsANDResults!O184*inputWeightings!$D$20+MeasureInputsANDResults!R184*inputWeightings!$E$20+MeasureInputsANDResults!U184*inputWeightings!$F$20</f>
        <v>1.6152584490197861</v>
      </c>
      <c r="L16" s="256">
        <f>MeasureInputsANDResults!J184*inputWeightings!$B$20+MeasureInputsANDResults!M184*inputWeightings!$C$20+MeasureInputsANDResults!P184*inputWeightings!$D$20+MeasureInputsANDResults!S184*inputWeightings!$E$20+MeasureInputsANDResults!V184*inputWeightings!$F$20</f>
        <v>1.6020059360994654</v>
      </c>
      <c r="M16" s="332">
        <f>MeasureInputsANDResults!K184*inputWeightings!$B$20+MeasureInputsANDResults!N184*inputWeightings!$C$20+MeasureInputsANDResults!Q184*inputWeightings!$D$20+MeasureInputsANDResults!T184*inputWeightings!$E$20+MeasureInputsANDResults!W184*inputWeightings!$F$20</f>
        <v>0.67654718150361715</v>
      </c>
      <c r="N16" s="333">
        <f>SUMPRODUCT(MeasureInputsANDResults!X184:AB184,inputWeightings!$B$33:$F$33)</f>
        <v>-0.22804222050160428</v>
      </c>
      <c r="R16"/>
    </row>
    <row r="17" spans="1:18" ht="15">
      <c r="A17" s="253" t="str">
        <f>MeasureInputsANDResults!B239</f>
        <v>Floor18</v>
      </c>
      <c r="B17" s="254" t="str">
        <f>MeasureInputsANDResults!C239</f>
        <v>Floors18</v>
      </c>
      <c r="C17" s="254" t="str">
        <f>MeasureInputsANDResults!D239</f>
        <v>Floors</v>
      </c>
      <c r="D17" s="254">
        <f>MeasureInputsANDResults!E239</f>
        <v>18</v>
      </c>
      <c r="E17" s="254" t="str">
        <f>MeasureInputsANDResults!F239</f>
        <v>R-0</v>
      </c>
      <c r="F17" s="254" t="str">
        <f>MeasureInputsANDResults!G239</f>
        <v>R-19</v>
      </c>
      <c r="G17" s="255" t="s">
        <v>324</v>
      </c>
      <c r="H17" s="254" t="str">
        <f t="shared" si="0"/>
        <v>Multi Family Weatherization - Insulate Floors - R-0 to R-19 - Heating Zone 1</v>
      </c>
      <c r="I17" s="256">
        <f>SUMPRODUCT(MeasureInputsANDResults!I239:M239,inputWeightings!$B$20:$F$20)</f>
        <v>0.54904464777548367</v>
      </c>
      <c r="J17" s="257">
        <f>SUMPRODUCT(MeasureInputsANDResults!N239:R239,inputWeightings!$B$20:$F$20)</f>
        <v>-8.6879628014648828E-3</v>
      </c>
      <c r="K17" s="256">
        <f>MeasureInputsANDResults!I185*inputWeightings!$B$20+MeasureInputsANDResults!L185*inputWeightings!$C$20+MeasureInputsANDResults!O185*inputWeightings!$D$20+MeasureInputsANDResults!R185*inputWeightings!$E$20+MeasureInputsANDResults!U185*inputWeightings!$F$20</f>
        <v>0.55318177492593634</v>
      </c>
      <c r="L17" s="256">
        <f>MeasureInputsANDResults!J185*inputWeightings!$B$20+MeasureInputsANDResults!M185*inputWeightings!$C$20+MeasureInputsANDResults!P185*inputWeightings!$D$20+MeasureInputsANDResults!S185*inputWeightings!$E$20+MeasureInputsANDResults!V185*inputWeightings!$F$20</f>
        <v>0.54992417293141704</v>
      </c>
      <c r="M17" s="332">
        <f>MeasureInputsANDResults!K185*inputWeightings!$B$20+MeasureInputsANDResults!N185*inputWeightings!$C$20+MeasureInputsANDResults!Q185*inputWeightings!$D$20+MeasureInputsANDResults!T185*inputWeightings!$E$20+MeasureInputsANDResults!W185*inputWeightings!$F$20</f>
        <v>0.23389755740798973</v>
      </c>
      <c r="N17" s="333">
        <f>SUMPRODUCT(MeasureInputsANDResults!X185:AB185,inputWeightings!$B$33:$F$33)</f>
        <v>-8.5586343811096283E-2</v>
      </c>
      <c r="R17"/>
    </row>
    <row r="18" spans="1:18" ht="15">
      <c r="A18" s="280" t="str">
        <f>MeasureInputsANDResults!B240</f>
        <v>Ceili10</v>
      </c>
      <c r="B18" s="281" t="str">
        <f>MeasureInputsANDResults!C240</f>
        <v>Ceiling10</v>
      </c>
      <c r="C18" s="281" t="str">
        <f>MeasureInputsANDResults!D240</f>
        <v>Ceiling</v>
      </c>
      <c r="D18" s="281">
        <f>MeasureInputsANDResults!E240</f>
        <v>10</v>
      </c>
      <c r="E18" s="281" t="str">
        <f>MeasureInputsANDResults!F240</f>
        <v>R-0</v>
      </c>
      <c r="F18" s="281" t="str">
        <f>MeasureInputsANDResults!G240</f>
        <v>R-19</v>
      </c>
      <c r="G18" s="282" t="s">
        <v>324</v>
      </c>
      <c r="H18" s="281" t="str">
        <f t="shared" ref="H18:H26" si="1">"Multi Family Weatherization - Insulate Attic - "&amp;E18&amp;" to "&amp;F18&amp;" - "&amp;G18</f>
        <v>Multi Family Weatherization - Insulate Attic - R-0 to R-19 - Heating Zone 1</v>
      </c>
      <c r="I18" s="283">
        <f>SUMPRODUCT(MeasureInputsANDResults!I240:M240,inputWeightings!$B$20:$F$20)</f>
        <v>0.45217427081960204</v>
      </c>
      <c r="J18" s="284">
        <f>SUMPRODUCT(MeasureInputsANDResults!N240:R240,inputWeightings!$B$20:$F$20)</f>
        <v>7.762726858501612E-3</v>
      </c>
      <c r="K18" s="283">
        <f>MeasureInputsANDResults!I186*inputWeightings!$B$20+MeasureInputsANDResults!L186*inputWeightings!$C$20+MeasureInputsANDResults!O186*inputWeightings!$D$20+MeasureInputsANDResults!R186*inputWeightings!$E$20+MeasureInputsANDResults!U186*inputWeightings!$F$20</f>
        <v>0.45541817326465872</v>
      </c>
      <c r="L18" s="283">
        <f>MeasureInputsANDResults!J186*inputWeightings!$B$20+MeasureInputsANDResults!M186*inputWeightings!$C$20+MeasureInputsANDResults!P186*inputWeightings!$D$20+MeasureInputsANDResults!S186*inputWeightings!$E$20+MeasureInputsANDResults!V186*inputWeightings!$F$20</f>
        <v>0.46621429878568194</v>
      </c>
      <c r="M18" s="334">
        <f>MeasureInputsANDResults!K186*inputWeightings!$B$20+MeasureInputsANDResults!N186*inputWeightings!$C$20+MeasureInputsANDResults!Q186*inputWeightings!$D$20+MeasureInputsANDResults!T186*inputWeightings!$E$20+MeasureInputsANDResults!W186*inputWeightings!$F$20</f>
        <v>0.1805786938502677</v>
      </c>
      <c r="N18" s="335">
        <f>SUMPRODUCT(MeasureInputsANDResults!X186:AB186,inputWeightings!$B$33:$F$33)</f>
        <v>5.7263270484772713E-2</v>
      </c>
      <c r="R18"/>
    </row>
    <row r="19" spans="1:18" ht="15">
      <c r="A19" s="244" t="str">
        <f>MeasureInputsANDResults!B241</f>
        <v>Ceili11</v>
      </c>
      <c r="B19" s="245" t="str">
        <f>MeasureInputsANDResults!C241</f>
        <v>Ceiling11</v>
      </c>
      <c r="C19" s="245" t="str">
        <f>MeasureInputsANDResults!D241</f>
        <v>Ceiling</v>
      </c>
      <c r="D19" s="245">
        <f>MeasureInputsANDResults!E241</f>
        <v>11</v>
      </c>
      <c r="E19" s="245" t="str">
        <f>MeasureInputsANDResults!F241</f>
        <v>R-0</v>
      </c>
      <c r="F19" s="245" t="str">
        <f>MeasureInputsANDResults!G241</f>
        <v>R-38</v>
      </c>
      <c r="G19" s="246" t="s">
        <v>324</v>
      </c>
      <c r="H19" s="245" t="str">
        <f t="shared" si="1"/>
        <v>Multi Family Weatherization - Insulate Attic - R-0 to R-38 - Heating Zone 1</v>
      </c>
      <c r="I19" s="247">
        <f>SUMPRODUCT(MeasureInputsANDResults!I241:M241,inputWeightings!$B$20:$F$20)</f>
        <v>0.61510352765702936</v>
      </c>
      <c r="J19" s="248">
        <f>SUMPRODUCT(MeasureInputsANDResults!N241:R241,inputWeightings!$B$20:$F$20)</f>
        <v>1.0606700724409222E-2</v>
      </c>
      <c r="K19" s="247">
        <f>MeasureInputsANDResults!I187*inputWeightings!$B$20+MeasureInputsANDResults!L187*inputWeightings!$C$20+MeasureInputsANDResults!O187*inputWeightings!$D$20+MeasureInputsANDResults!R187*inputWeightings!$E$20+MeasureInputsANDResults!U187*inputWeightings!$F$20</f>
        <v>0.61951019567454524</v>
      </c>
      <c r="L19" s="247">
        <f>MeasureInputsANDResults!J187*inputWeightings!$B$20+MeasureInputsANDResults!M187*inputWeightings!$C$20+MeasureInputsANDResults!P187*inputWeightings!$D$20+MeasureInputsANDResults!S187*inputWeightings!$E$20+MeasureInputsANDResults!V187*inputWeightings!$F$20</f>
        <v>0.63424727150579585</v>
      </c>
      <c r="M19" s="330">
        <f>MeasureInputsANDResults!K187*inputWeightings!$B$20+MeasureInputsANDResults!N187*inputWeightings!$C$20+MeasureInputsANDResults!Q187*inputWeightings!$D$20+MeasureInputsANDResults!T187*inputWeightings!$E$20+MeasureInputsANDResults!W187*inputWeightings!$F$20</f>
        <v>0.24602500133689853</v>
      </c>
      <c r="N19" s="331">
        <f>SUMPRODUCT(MeasureInputsANDResults!X187:AB187,inputWeightings!$B$33:$F$33)</f>
        <v>7.7947435230795448E-2</v>
      </c>
      <c r="R19"/>
    </row>
    <row r="20" spans="1:18" ht="15">
      <c r="A20" s="244" t="str">
        <f>MeasureInputsANDResults!B242</f>
        <v>Ceili12</v>
      </c>
      <c r="B20" s="245" t="str">
        <f>MeasureInputsANDResults!C242</f>
        <v>Ceiling12</v>
      </c>
      <c r="C20" s="245" t="str">
        <f>MeasureInputsANDResults!D242</f>
        <v>Ceiling</v>
      </c>
      <c r="D20" s="245">
        <f>MeasureInputsANDResults!E242</f>
        <v>12</v>
      </c>
      <c r="E20" s="245" t="str">
        <f>MeasureInputsANDResults!F242</f>
        <v>R-0</v>
      </c>
      <c r="F20" s="245" t="str">
        <f>MeasureInputsANDResults!G242</f>
        <v>R-49</v>
      </c>
      <c r="G20" s="246" t="s">
        <v>324</v>
      </c>
      <c r="H20" s="245" t="str">
        <f t="shared" si="1"/>
        <v>Multi Family Weatherization - Insulate Attic - R-0 to R-49 - Heating Zone 1</v>
      </c>
      <c r="I20" s="247">
        <f>SUMPRODUCT(MeasureInputsANDResults!I242:M242,inputWeightings!$B$20:$F$20)</f>
        <v>0.65278341033317866</v>
      </c>
      <c r="J20" s="248">
        <f>SUMPRODUCT(MeasureInputsANDResults!N242:R242,inputWeightings!$B$20:$F$20)</f>
        <v>1.1270546169371481E-2</v>
      </c>
      <c r="K20" s="247">
        <f>MeasureInputsANDResults!I188*inputWeightings!$B$20+MeasureInputsANDResults!L188*inputWeightings!$C$20+MeasureInputsANDResults!O188*inputWeightings!$D$20+MeasureInputsANDResults!R188*inputWeightings!$E$20+MeasureInputsANDResults!U188*inputWeightings!$F$20</f>
        <v>0.65746060110011362</v>
      </c>
      <c r="L20" s="247">
        <f>MeasureInputsANDResults!J188*inputWeightings!$B$20+MeasureInputsANDResults!M188*inputWeightings!$C$20+MeasureInputsANDResults!P188*inputWeightings!$D$20+MeasureInputsANDResults!S188*inputWeightings!$E$20+MeasureInputsANDResults!V188*inputWeightings!$F$20</f>
        <v>0.67311479770670479</v>
      </c>
      <c r="M20" s="330">
        <f>MeasureInputsANDResults!K188*inputWeightings!$B$20+MeasureInputsANDResults!N188*inputWeightings!$C$20+MeasureInputsANDResults!Q188*inputWeightings!$D$20+MeasureInputsANDResults!T188*inputWeightings!$E$20+MeasureInputsANDResults!W188*inputWeightings!$F$20</f>
        <v>0.26102458689839569</v>
      </c>
      <c r="N20" s="331">
        <f>SUMPRODUCT(MeasureInputsANDResults!X188:AB188,inputWeightings!$B$33:$F$33)</f>
        <v>8.2756733343863631E-2</v>
      </c>
      <c r="R20"/>
    </row>
    <row r="21" spans="1:18" ht="15">
      <c r="A21" s="244" t="str">
        <f>MeasureInputsANDResults!B243</f>
        <v>Ceili13</v>
      </c>
      <c r="B21" s="245" t="str">
        <f>MeasureInputsANDResults!C243</f>
        <v>Ceiling13</v>
      </c>
      <c r="C21" s="245" t="str">
        <f>MeasureInputsANDResults!D243</f>
        <v>Ceiling</v>
      </c>
      <c r="D21" s="245">
        <f>MeasureInputsANDResults!E243</f>
        <v>13</v>
      </c>
      <c r="E21" s="245" t="str">
        <f>MeasureInputsANDResults!F243</f>
        <v>R-30</v>
      </c>
      <c r="F21" s="245" t="str">
        <f>MeasureInputsANDResults!G243</f>
        <v>R-38</v>
      </c>
      <c r="G21" s="246" t="s">
        <v>324</v>
      </c>
      <c r="H21" s="245" t="str">
        <f t="shared" si="1"/>
        <v>Multi Family Weatherization - Insulate Attic - R-30 to R-38 - Heating Zone 1</v>
      </c>
      <c r="I21" s="247">
        <f>SUMPRODUCT(MeasureInputsANDResults!I243:M243,inputWeightings!$B$20:$F$20)</f>
        <v>4.4801566119385752E-2</v>
      </c>
      <c r="J21" s="248">
        <f>SUMPRODUCT(MeasureInputsANDResults!N243:R243,inputWeightings!$B$20:$F$20)</f>
        <v>7.8583615048332506E-4</v>
      </c>
      <c r="K21" s="247">
        <f>MeasureInputsANDResults!I189*inputWeightings!$B$20+MeasureInputsANDResults!L189*inputWeightings!$C$20+MeasureInputsANDResults!O189*inputWeightings!$D$20+MeasureInputsANDResults!R189*inputWeightings!$E$20+MeasureInputsANDResults!U189*inputWeightings!$F$20</f>
        <v>4.5119713772727429E-2</v>
      </c>
      <c r="L21" s="247">
        <f>MeasureInputsANDResults!J189*inputWeightings!$B$20+MeasureInputsANDResults!M189*inputWeightings!$C$20+MeasureInputsANDResults!P189*inputWeightings!$D$20+MeasureInputsANDResults!S189*inputWeightings!$E$20+MeasureInputsANDResults!V189*inputWeightings!$F$20</f>
        <v>4.6205455862954554E-2</v>
      </c>
      <c r="M21" s="330">
        <f>MeasureInputsANDResults!K189*inputWeightings!$B$20+MeasureInputsANDResults!N189*inputWeightings!$C$20+MeasureInputsANDResults!Q189*inputWeightings!$D$20+MeasureInputsANDResults!T189*inputWeightings!$E$20+MeasureInputsANDResults!W189*inputWeightings!$F$20</f>
        <v>1.811531283422466E-2</v>
      </c>
      <c r="N21" s="331">
        <f>SUMPRODUCT(MeasureInputsANDResults!X189:AB189,inputWeightings!$B$33:$F$33)</f>
        <v>5.704400053977249E-3</v>
      </c>
    </row>
    <row r="22" spans="1:18" ht="15">
      <c r="A22" s="244" t="str">
        <f>MeasureInputsANDResults!B244</f>
        <v>Ceili14</v>
      </c>
      <c r="B22" s="245" t="str">
        <f>MeasureInputsANDResults!C244</f>
        <v>Ceiling14</v>
      </c>
      <c r="C22" s="245" t="str">
        <f>MeasureInputsANDResults!D244</f>
        <v>Ceiling</v>
      </c>
      <c r="D22" s="245">
        <f>MeasureInputsANDResults!E244</f>
        <v>14</v>
      </c>
      <c r="E22" s="245" t="str">
        <f>MeasureInputsANDResults!F244</f>
        <v>R-30</v>
      </c>
      <c r="F22" s="245" t="str">
        <f>MeasureInputsANDResults!G244</f>
        <v>R-49</v>
      </c>
      <c r="G22" s="246" t="s">
        <v>324</v>
      </c>
      <c r="H22" s="245" t="str">
        <f t="shared" si="1"/>
        <v>Multi Family Weatherization - Insulate Attic - R-30 to R-49 - Heating Zone 1</v>
      </c>
      <c r="I22" s="247">
        <f>SUMPRODUCT(MeasureInputsANDResults!I244:M244,inputWeightings!$B$20:$F$20)</f>
        <v>8.2481448795535053E-2</v>
      </c>
      <c r="J22" s="248">
        <f>SUMPRODUCT(MeasureInputsANDResults!N244:R244,inputWeightings!$B$20:$F$20)</f>
        <v>1.449681595445586E-3</v>
      </c>
      <c r="K22" s="247">
        <f>MeasureInputsANDResults!I190*inputWeightings!$B$20+MeasureInputsANDResults!L190*inputWeightings!$C$20+MeasureInputsANDResults!O190*inputWeightings!$D$20+MeasureInputsANDResults!R190*inputWeightings!$E$20+MeasureInputsANDResults!U190*inputWeightings!$F$20</f>
        <v>8.3070119198295753E-2</v>
      </c>
      <c r="L22" s="247">
        <f>MeasureInputsANDResults!J190*inputWeightings!$B$20+MeasureInputsANDResults!M190*inputWeightings!$C$20+MeasureInputsANDResults!P190*inputWeightings!$D$20+MeasureInputsANDResults!S190*inputWeightings!$E$20+MeasureInputsANDResults!V190*inputWeightings!$F$20</f>
        <v>8.5072982063863586E-2</v>
      </c>
      <c r="M22" s="330">
        <f>MeasureInputsANDResults!K190*inputWeightings!$B$20+MeasureInputsANDResults!N190*inputWeightings!$C$20+MeasureInputsANDResults!Q190*inputWeightings!$D$20+MeasureInputsANDResults!T190*inputWeightings!$E$20+MeasureInputsANDResults!W190*inputWeightings!$F$20</f>
        <v>3.3114898395721806E-2</v>
      </c>
      <c r="N22" s="331">
        <f>SUMPRODUCT(MeasureInputsANDResults!X190:AB190,inputWeightings!$B$33:$F$33)</f>
        <v>1.0513698167045449E-2</v>
      </c>
    </row>
    <row r="23" spans="1:18" ht="15">
      <c r="A23" s="253" t="str">
        <f>MeasureInputsANDResults!B245</f>
        <v>Ceili15</v>
      </c>
      <c r="B23" s="254" t="str">
        <f>MeasureInputsANDResults!C245</f>
        <v>Ceiling15</v>
      </c>
      <c r="C23" s="254" t="str">
        <f>MeasureInputsANDResults!D245</f>
        <v>Ceiling</v>
      </c>
      <c r="D23" s="254">
        <f>MeasureInputsANDResults!E245</f>
        <v>15</v>
      </c>
      <c r="E23" s="254" t="str">
        <f>MeasureInputsANDResults!F245</f>
        <v>R-19</v>
      </c>
      <c r="F23" s="254" t="str">
        <f>MeasureInputsANDResults!G245</f>
        <v>R-30</v>
      </c>
      <c r="G23" s="255" t="s">
        <v>324</v>
      </c>
      <c r="H23" s="254" t="str">
        <f t="shared" si="1"/>
        <v>Multi Family Weatherization - Insulate Attic - R-19 to R-30 - Heating Zone 1</v>
      </c>
      <c r="I23" s="256">
        <f>SUMPRODUCT(MeasureInputsANDResults!I245:M245,inputWeightings!$B$20:$F$20)</f>
        <v>0.11812769071804162</v>
      </c>
      <c r="J23" s="257">
        <f>SUMPRODUCT(MeasureInputsANDResults!N245:R245,inputWeightings!$B$20:$F$20)</f>
        <v>2.0581377154242865E-3</v>
      </c>
      <c r="K23" s="256">
        <f>MeasureInputsANDResults!I191*inputWeightings!$B$20+MeasureInputsANDResults!L191*inputWeightings!$C$20+MeasureInputsANDResults!O191*inputWeightings!$D$20+MeasureInputsANDResults!R191*inputWeightings!$E$20+MeasureInputsANDResults!U191*inputWeightings!$F$20</f>
        <v>0.11897230863715916</v>
      </c>
      <c r="L23" s="256">
        <f>MeasureInputsANDResults!J191*inputWeightings!$B$20+MeasureInputsANDResults!M191*inputWeightings!$C$20+MeasureInputsANDResults!P191*inputWeightings!$D$20+MeasureInputsANDResults!S191*inputWeightings!$E$20+MeasureInputsANDResults!V191*inputWeightings!$F$20</f>
        <v>0.12182751685715926</v>
      </c>
      <c r="M23" s="332">
        <f>MeasureInputsANDResults!K191*inputWeightings!$B$20+MeasureInputsANDResults!N191*inputWeightings!$C$20+MeasureInputsANDResults!Q191*inputWeightings!$D$20+MeasureInputsANDResults!T191*inputWeightings!$E$20+MeasureInputsANDResults!W191*inputWeightings!$F$20</f>
        <v>4.7330994652406172E-2</v>
      </c>
      <c r="N23" s="333">
        <f>SUMPRODUCT(MeasureInputsANDResults!X191:AB191,inputWeightings!$B$33:$F$33)</f>
        <v>1.4979764692045476E-2</v>
      </c>
    </row>
    <row r="24" spans="1:18" ht="15">
      <c r="A24" s="244" t="str">
        <f>MeasureInputsANDResults!B246</f>
        <v>Ceili16</v>
      </c>
      <c r="B24" s="245" t="str">
        <f>MeasureInputsANDResults!C246</f>
        <v>Ceiling16</v>
      </c>
      <c r="C24" s="245" t="str">
        <f>MeasureInputsANDResults!D246</f>
        <v>Ceiling</v>
      </c>
      <c r="D24" s="245">
        <f>MeasureInputsANDResults!E246</f>
        <v>16</v>
      </c>
      <c r="E24" s="245" t="str">
        <f>MeasureInputsANDResults!F246</f>
        <v>R-19</v>
      </c>
      <c r="F24" s="245" t="str">
        <f>MeasureInputsANDResults!G246</f>
        <v>R-38</v>
      </c>
      <c r="G24" s="246" t="s">
        <v>324</v>
      </c>
      <c r="H24" s="245" t="str">
        <f t="shared" si="1"/>
        <v>Multi Family Weatherization - Insulate Attic - R-19 to R-38 - Heating Zone 1</v>
      </c>
      <c r="I24" s="247">
        <f>SUMPRODUCT(MeasureInputsANDResults!I246:M246,inputWeightings!$B$20:$F$20)</f>
        <v>0.16292925683742737</v>
      </c>
      <c r="J24" s="248">
        <f>SUMPRODUCT(MeasureInputsANDResults!N246:R246,inputWeightings!$B$20:$F$20)</f>
        <v>2.8439738659076113E-3</v>
      </c>
      <c r="K24" s="247">
        <f>MeasureInputsANDResults!I192*inputWeightings!$B$20+MeasureInputsANDResults!L192*inputWeightings!$C$20+MeasureInputsANDResults!O192*inputWeightings!$D$20+MeasureInputsANDResults!R192*inputWeightings!$E$20+MeasureInputsANDResults!U192*inputWeightings!$F$20</f>
        <v>0.16409202240988657</v>
      </c>
      <c r="L24" s="247">
        <f>MeasureInputsANDResults!J192*inputWeightings!$B$20+MeasureInputsANDResults!M192*inputWeightings!$C$20+MeasureInputsANDResults!P192*inputWeightings!$D$20+MeasureInputsANDResults!S192*inputWeightings!$E$20+MeasureInputsANDResults!V192*inputWeightings!$F$20</f>
        <v>0.1680329727201138</v>
      </c>
      <c r="M24" s="330">
        <f>MeasureInputsANDResults!K192*inputWeightings!$B$20+MeasureInputsANDResults!N192*inputWeightings!$C$20+MeasureInputsANDResults!Q192*inputWeightings!$D$20+MeasureInputsANDResults!T192*inputWeightings!$E$20+MeasureInputsANDResults!W192*inputWeightings!$F$20</f>
        <v>6.5446307486630814E-2</v>
      </c>
      <c r="N24" s="331">
        <f>SUMPRODUCT(MeasureInputsANDResults!X192:AB192,inputWeightings!$B$33:$F$33)</f>
        <v>2.0684164746022721E-2</v>
      </c>
    </row>
    <row r="25" spans="1:18" ht="15">
      <c r="A25" s="244" t="str">
        <f>MeasureInputsANDResults!B247</f>
        <v>Ceili17</v>
      </c>
      <c r="B25" s="245" t="str">
        <f>MeasureInputsANDResults!C247</f>
        <v>Ceiling17</v>
      </c>
      <c r="C25" s="245" t="str">
        <f>MeasureInputsANDResults!D247</f>
        <v>Ceiling</v>
      </c>
      <c r="D25" s="245">
        <f>MeasureInputsANDResults!E247</f>
        <v>17</v>
      </c>
      <c r="E25" s="245" t="str">
        <f>MeasureInputsANDResults!F247</f>
        <v>R-19</v>
      </c>
      <c r="F25" s="245" t="str">
        <f>MeasureInputsANDResults!G247</f>
        <v>R-49</v>
      </c>
      <c r="G25" s="246" t="s">
        <v>324</v>
      </c>
      <c r="H25" s="245" t="str">
        <f t="shared" si="1"/>
        <v>Multi Family Weatherization - Insulate Attic - R-19 to R-49 - Heating Zone 1</v>
      </c>
      <c r="I25" s="247">
        <f>SUMPRODUCT(MeasureInputsANDResults!I247:M247,inputWeightings!$B$20:$F$20)</f>
        <v>0.20060913951357665</v>
      </c>
      <c r="J25" s="248">
        <f>SUMPRODUCT(MeasureInputsANDResults!N247:R247,inputWeightings!$B$20:$F$20)</f>
        <v>3.5078193108698729E-3</v>
      </c>
      <c r="K25" s="247">
        <f>MeasureInputsANDResults!I193*inputWeightings!$B$20+MeasureInputsANDResults!L193*inputWeightings!$C$20+MeasureInputsANDResults!O193*inputWeightings!$D$20+MeasureInputsANDResults!R193*inputWeightings!$E$20+MeasureInputsANDResults!U193*inputWeightings!$F$20</f>
        <v>0.2020424278354549</v>
      </c>
      <c r="L25" s="247">
        <f>MeasureInputsANDResults!J193*inputWeightings!$B$20+MeasureInputsANDResults!M193*inputWeightings!$C$20+MeasureInputsANDResults!P193*inputWeightings!$D$20+MeasureInputsANDResults!S193*inputWeightings!$E$20+MeasureInputsANDResults!V193*inputWeightings!$F$20</f>
        <v>0.20690049892102283</v>
      </c>
      <c r="M25" s="330">
        <f>MeasureInputsANDResults!K193*inputWeightings!$B$20+MeasureInputsANDResults!N193*inputWeightings!$C$20+MeasureInputsANDResults!Q193*inputWeightings!$D$20+MeasureInputsANDResults!T193*inputWeightings!$E$20+MeasureInputsANDResults!W193*inputWeightings!$F$20</f>
        <v>8.0445893048127964E-2</v>
      </c>
      <c r="N25" s="331">
        <f>SUMPRODUCT(MeasureInputsANDResults!X193:AB193,inputWeightings!$B$33:$F$33)</f>
        <v>2.5493462859090925E-2</v>
      </c>
    </row>
    <row r="26" spans="1:18" ht="15">
      <c r="A26" s="285" t="str">
        <f>MeasureInputsANDResults!B248</f>
        <v>Ceili18</v>
      </c>
      <c r="B26" s="286" t="str">
        <f>MeasureInputsANDResults!C248</f>
        <v>Ceiling18</v>
      </c>
      <c r="C26" s="286" t="str">
        <f>MeasureInputsANDResults!D248</f>
        <v>Ceiling</v>
      </c>
      <c r="D26" s="286">
        <f>MeasureInputsANDResults!E248</f>
        <v>18</v>
      </c>
      <c r="E26" s="286" t="str">
        <f>MeasureInputsANDResults!F248</f>
        <v>R-38</v>
      </c>
      <c r="F26" s="286" t="str">
        <f>MeasureInputsANDResults!G248</f>
        <v>R-49</v>
      </c>
      <c r="G26" s="287" t="s">
        <v>324</v>
      </c>
      <c r="H26" s="286" t="str">
        <f t="shared" si="1"/>
        <v>Multi Family Weatherization - Insulate Attic - R-38 to R-49 - Heating Zone 1</v>
      </c>
      <c r="I26" s="288">
        <f>SUMPRODUCT(MeasureInputsANDResults!I248:M248,inputWeightings!$B$20:$F$20)</f>
        <v>3.767988267614928E-2</v>
      </c>
      <c r="J26" s="289">
        <f>SUMPRODUCT(MeasureInputsANDResults!N248:R248,inputWeightings!$B$20:$F$20)</f>
        <v>6.6384544496226109E-4</v>
      </c>
      <c r="K26" s="288">
        <f>MeasureInputsANDResults!I194*inputWeightings!$B$20+MeasureInputsANDResults!L194*inputWeightings!$C$20+MeasureInputsANDResults!O194*inputWeightings!$D$20+MeasureInputsANDResults!R194*inputWeightings!$E$20+MeasureInputsANDResults!U194*inputWeightings!$F$20</f>
        <v>3.7950405425568309E-2</v>
      </c>
      <c r="L26" s="288">
        <f>MeasureInputsANDResults!J194*inputWeightings!$B$20+MeasureInputsANDResults!M194*inputWeightings!$C$20+MeasureInputsANDResults!P194*inputWeightings!$D$20+MeasureInputsANDResults!S194*inputWeightings!$E$20+MeasureInputsANDResults!V194*inputWeightings!$F$20</f>
        <v>3.8867526200909039E-2</v>
      </c>
      <c r="M26" s="337">
        <f>MeasureInputsANDResults!K194*inputWeightings!$B$20+MeasureInputsANDResults!N194*inputWeightings!$C$20+MeasureInputsANDResults!Q194*inputWeightings!$D$20+MeasureInputsANDResults!T194*inputWeightings!$E$20+MeasureInputsANDResults!W194*inputWeightings!$F$20</f>
        <v>1.4999585561497148E-2</v>
      </c>
      <c r="N26" s="338">
        <f>SUMPRODUCT(MeasureInputsANDResults!X194:AB194,inputWeightings!$B$33:$F$33)</f>
        <v>4.8092981130681989E-3</v>
      </c>
    </row>
    <row r="27" spans="1:18" ht="15">
      <c r="A27" s="253" t="str">
        <f>MeasureInputsANDResults!B249</f>
        <v>Windo10</v>
      </c>
      <c r="B27" s="254" t="str">
        <f>MeasureInputsANDResults!C249</f>
        <v>Windows10</v>
      </c>
      <c r="C27" s="254" t="str">
        <f>MeasureInputsANDResults!D249</f>
        <v>Windows</v>
      </c>
      <c r="D27" s="254">
        <f>MeasureInputsANDResults!E249</f>
        <v>10</v>
      </c>
      <c r="E27" s="254" t="str">
        <f>MeasureInputsANDResults!F249</f>
        <v>Class 85</v>
      </c>
      <c r="F27" s="254" t="str">
        <f>MeasureInputsANDResults!G249</f>
        <v>Class 35</v>
      </c>
      <c r="G27" s="255" t="s">
        <v>324</v>
      </c>
      <c r="H27" s="254" t="str">
        <f>C27&amp;" - "&amp;E27&amp;" to "&amp;F27&amp;" - "&amp;G27</f>
        <v>Windows - Class 85 to Class 35 - Heating Zone 1</v>
      </c>
      <c r="I27" s="256">
        <f>SUMPRODUCT(MeasureInputsANDResults!I249:M249,inputWeightings!$B$20:$F$20)</f>
        <v>-6.9524591278587629</v>
      </c>
      <c r="J27" s="257">
        <f>SUMPRODUCT(MeasureInputsANDResults!N249:R249,inputWeightings!$B$20:$F$20)</f>
        <v>-0.10414659506102675</v>
      </c>
      <c r="K27" s="256">
        <f>MeasureInputsANDResults!I195*inputWeightings!$B$20+MeasureInputsANDResults!L195*inputWeightings!$C$20+MeasureInputsANDResults!O195*inputWeightings!$D$20+MeasureInputsANDResults!R195*inputWeightings!$E$20+MeasureInputsANDResults!U195*inputWeightings!$F$20</f>
        <v>-6.9943700424944639</v>
      </c>
      <c r="L27" s="256">
        <f>MeasureInputsANDResults!J195*inputWeightings!$B$20+MeasureInputsANDResults!M195*inputWeightings!$C$20+MeasureInputsANDResults!P195*inputWeightings!$D$20+MeasureInputsANDResults!S195*inputWeightings!$E$20+MeasureInputsANDResults!V195*inputWeightings!$F$20</f>
        <v>-7.16193690852195</v>
      </c>
      <c r="M27" s="332">
        <f>MeasureInputsANDResults!K195*inputWeightings!$B$20+MeasureInputsANDResults!N195*inputWeightings!$C$20+MeasureInputsANDResults!Q195*inputWeightings!$D$20+MeasureInputsANDResults!T195*inputWeightings!$E$20+MeasureInputsANDResults!W195*inputWeightings!$F$20</f>
        <v>-3.3919558332190682</v>
      </c>
      <c r="N27" s="333">
        <f>SUMPRODUCT(MeasureInputsANDResults!X195:AB195,inputWeightings!$B$33:$F$33)</f>
        <v>-0.79742802647600997</v>
      </c>
    </row>
    <row r="28" spans="1:18" ht="15">
      <c r="A28" s="253" t="str">
        <f>MeasureInputsANDResults!B250</f>
        <v>Windo11</v>
      </c>
      <c r="B28" s="254" t="str">
        <f>MeasureInputsANDResults!C250</f>
        <v>Windows11</v>
      </c>
      <c r="C28" s="254" t="str">
        <f>MeasureInputsANDResults!D250</f>
        <v>Windows</v>
      </c>
      <c r="D28" s="254">
        <f>MeasureInputsANDResults!E250</f>
        <v>11</v>
      </c>
      <c r="E28" s="254" t="str">
        <f>MeasureInputsANDResults!F250</f>
        <v>Class 85</v>
      </c>
      <c r="F28" s="254" t="str">
        <f>MeasureInputsANDResults!G250</f>
        <v>Class 30</v>
      </c>
      <c r="G28" s="255" t="s">
        <v>324</v>
      </c>
      <c r="H28" s="254" t="str">
        <f t="shared" ref="H28:H41" si="2">C28&amp;" - "&amp;E28&amp;" to "&amp;F28&amp;" - "&amp;G28</f>
        <v>Windows - Class 85 to Class 30 - Heating Zone 1</v>
      </c>
      <c r="I28" s="256">
        <f>SUMPRODUCT(MeasureInputsANDResults!I250:M250,inputWeightings!$B$20:$F$20)</f>
        <v>-5.7127269671468444</v>
      </c>
      <c r="J28" s="257">
        <f>SUMPRODUCT(MeasureInputsANDResults!N250:R250,inputWeightings!$B$20:$F$20)</f>
        <v>-0.10310920899909645</v>
      </c>
      <c r="K28" s="256">
        <f>MeasureInputsANDResults!I196*inputWeightings!$B$20+MeasureInputsANDResults!L196*inputWeightings!$C$20+MeasureInputsANDResults!O196*inputWeightings!$D$20+MeasureInputsANDResults!R196*inputWeightings!$E$20+MeasureInputsANDResults!U196*inputWeightings!$F$20</f>
        <v>-5.7469488745951818</v>
      </c>
      <c r="L28" s="256">
        <f>MeasureInputsANDResults!J196*inputWeightings!$B$20+MeasureInputsANDResults!M196*inputWeightings!$C$20+MeasureInputsANDResults!P196*inputWeightings!$D$20+MeasureInputsANDResults!S196*inputWeightings!$E$20+MeasureInputsANDResults!V196*inputWeightings!$F$20</f>
        <v>-5.8862502334801858</v>
      </c>
      <c r="M28" s="332">
        <f>MeasureInputsANDResults!K196*inputWeightings!$B$20+MeasureInputsANDResults!N196*inputWeightings!$C$20+MeasureInputsANDResults!Q196*inputWeightings!$D$20+MeasureInputsANDResults!T196*inputWeightings!$E$20+MeasureInputsANDResults!W196*inputWeightings!$F$20</f>
        <v>-2.8008934126331186</v>
      </c>
      <c r="N28" s="333">
        <f>SUMPRODUCT(MeasureInputsANDResults!X196:AB196,inputWeightings!$B$33:$F$33)</f>
        <v>-0.8043982191222806</v>
      </c>
    </row>
    <row r="29" spans="1:18" ht="15">
      <c r="A29" s="253" t="str">
        <f>MeasureInputsANDResults!B251</f>
        <v>Windo12</v>
      </c>
      <c r="B29" s="254" t="str">
        <f>MeasureInputsANDResults!C251</f>
        <v>Windows12</v>
      </c>
      <c r="C29" s="254" t="str">
        <f>MeasureInputsANDResults!D251</f>
        <v>Windows</v>
      </c>
      <c r="D29" s="254">
        <f>MeasureInputsANDResults!E251</f>
        <v>12</v>
      </c>
      <c r="E29" s="254" t="str">
        <f>MeasureInputsANDResults!F251</f>
        <v>Class 85</v>
      </c>
      <c r="F29" s="254" t="str">
        <f>MeasureInputsANDResults!G251</f>
        <v>Class 25</v>
      </c>
      <c r="G29" s="255" t="s">
        <v>324</v>
      </c>
      <c r="H29" s="254" t="str">
        <f t="shared" si="2"/>
        <v>Windows - Class 85 to Class 25 - Heating Zone 1</v>
      </c>
      <c r="I29" s="256">
        <f>SUMPRODUCT(MeasureInputsANDResults!I251:M251,inputWeightings!$B$20:$F$20)</f>
        <v>0</v>
      </c>
      <c r="J29" s="257">
        <f>SUMPRODUCT(MeasureInputsANDResults!N251:R251,inputWeightings!$B$20:$F$20)</f>
        <v>0</v>
      </c>
      <c r="K29" s="256">
        <f>MeasureInputsANDResults!I197*inputWeightings!$B$20+MeasureInputsANDResults!L197*inputWeightings!$C$20+MeasureInputsANDResults!O197*inputWeightings!$D$20+MeasureInputsANDResults!R197*inputWeightings!$E$20+MeasureInputsANDResults!U197*inputWeightings!$F$20</f>
        <v>0</v>
      </c>
      <c r="L29" s="256">
        <f>MeasureInputsANDResults!J197*inputWeightings!$B$20+MeasureInputsANDResults!M197*inputWeightings!$C$20+MeasureInputsANDResults!P197*inputWeightings!$D$20+MeasureInputsANDResults!S197*inputWeightings!$E$20+MeasureInputsANDResults!V197*inputWeightings!$F$20</f>
        <v>0</v>
      </c>
      <c r="M29" s="332">
        <f>MeasureInputsANDResults!K197*inputWeightings!$B$20+MeasureInputsANDResults!N197*inputWeightings!$C$20+MeasureInputsANDResults!Q197*inputWeightings!$D$20+MeasureInputsANDResults!T197*inputWeightings!$E$20+MeasureInputsANDResults!W197*inputWeightings!$F$20</f>
        <v>0</v>
      </c>
      <c r="N29" s="333">
        <f>SUMPRODUCT(MeasureInputsANDResults!X197:AB197,inputWeightings!$B$33:$F$33)</f>
        <v>0</v>
      </c>
    </row>
    <row r="30" spans="1:18" ht="15">
      <c r="A30" s="253" t="str">
        <f>MeasureInputsANDResults!B252</f>
        <v>Windo13</v>
      </c>
      <c r="B30" s="254" t="str">
        <f>MeasureInputsANDResults!C252</f>
        <v>Windows13</v>
      </c>
      <c r="C30" s="254" t="str">
        <f>MeasureInputsANDResults!D252</f>
        <v>Windows</v>
      </c>
      <c r="D30" s="254">
        <f>MeasureInputsANDResults!E252</f>
        <v>13</v>
      </c>
      <c r="E30" s="254" t="str">
        <f>MeasureInputsANDResults!F252</f>
        <v>Class 85</v>
      </c>
      <c r="F30" s="254" t="str">
        <f>MeasureInputsANDResults!G252</f>
        <v>Class 20</v>
      </c>
      <c r="G30" s="255" t="s">
        <v>324</v>
      </c>
      <c r="H30" s="254" t="str">
        <f t="shared" si="2"/>
        <v>Windows - Class 85 to Class 20 - Heating Zone 1</v>
      </c>
      <c r="I30" s="256">
        <f>SUMPRODUCT(MeasureInputsANDResults!I252:M252,inputWeightings!$B$20:$F$20)</f>
        <v>-3.4198957342844878</v>
      </c>
      <c r="J30" s="257">
        <f>SUMPRODUCT(MeasureInputsANDResults!N252:R252,inputWeightings!$B$20:$F$20)</f>
        <v>-9.6272055483609453E-2</v>
      </c>
      <c r="K30" s="256">
        <f>MeasureInputsANDResults!I198*inputWeightings!$B$20+MeasureInputsANDResults!L198*inputWeightings!$C$20+MeasureInputsANDResults!O198*inputWeightings!$D$20+MeasureInputsANDResults!R198*inputWeightings!$E$20+MeasureInputsANDResults!U198*inputWeightings!$F$20</f>
        <v>-3.4401272519786321</v>
      </c>
      <c r="L30" s="256">
        <f>MeasureInputsANDResults!J198*inputWeightings!$B$20+MeasureInputsANDResults!M198*inputWeightings!$C$20+MeasureInputsANDResults!P198*inputWeightings!$D$20+MeasureInputsANDResults!S198*inputWeightings!$E$20+MeasureInputsANDResults!V198*inputWeightings!$F$20</f>
        <v>-3.5253858548301276</v>
      </c>
      <c r="M30" s="332">
        <f>MeasureInputsANDResults!K198*inputWeightings!$B$20+MeasureInputsANDResults!N198*inputWeightings!$C$20+MeasureInputsANDResults!Q198*inputWeightings!$D$20+MeasureInputsANDResults!T198*inputWeightings!$E$20+MeasureInputsANDResults!W198*inputWeightings!$F$20</f>
        <v>-1.6931300436491612</v>
      </c>
      <c r="N30" s="333">
        <f>SUMPRODUCT(MeasureInputsANDResults!X198:AB198,inputWeightings!$B$33:$F$33)</f>
        <v>-0.77773817469794104</v>
      </c>
    </row>
    <row r="31" spans="1:18" ht="15">
      <c r="A31" s="253" t="str">
        <f>MeasureInputsANDResults!B253</f>
        <v>Windo14</v>
      </c>
      <c r="B31" s="254" t="str">
        <f>MeasureInputsANDResults!C253</f>
        <v>Windows14</v>
      </c>
      <c r="C31" s="254" t="str">
        <f>MeasureInputsANDResults!D253</f>
        <v>Windows</v>
      </c>
      <c r="D31" s="254">
        <f>MeasureInputsANDResults!E253</f>
        <v>14</v>
      </c>
      <c r="E31" s="254" t="str">
        <f>MeasureInputsANDResults!F253</f>
        <v>Class 85</v>
      </c>
      <c r="F31" s="254" t="str">
        <f>MeasureInputsANDResults!G253</f>
        <v>Class 15</v>
      </c>
      <c r="G31" s="255" t="s">
        <v>324</v>
      </c>
      <c r="H31" s="254" t="str">
        <f t="shared" si="2"/>
        <v>Windows - Class 85 to Class 15 - Heating Zone 1</v>
      </c>
      <c r="I31" s="256">
        <f>SUMPRODUCT(MeasureInputsANDResults!I253:M253,inputWeightings!$B$20:$F$20)</f>
        <v>-2.0643117658016785</v>
      </c>
      <c r="J31" s="257">
        <f>SUMPRODUCT(MeasureInputsANDResults!N253:R253,inputWeightings!$B$20:$F$20)</f>
        <v>-0.10388808536178759</v>
      </c>
      <c r="K31" s="256">
        <f>MeasureInputsANDResults!I199*inputWeightings!$B$20+MeasureInputsANDResults!L199*inputWeightings!$C$20+MeasureInputsANDResults!O199*inputWeightings!$D$20+MeasureInputsANDResults!R199*inputWeightings!$E$20+MeasureInputsANDResults!U199*inputWeightings!$F$20</f>
        <v>-2.0763290955372957</v>
      </c>
      <c r="L31" s="256">
        <f>MeasureInputsANDResults!J199*inputWeightings!$B$20+MeasureInputsANDResults!M199*inputWeightings!$C$20+MeasureInputsANDResults!P199*inputWeightings!$D$20+MeasureInputsANDResults!S199*inputWeightings!$E$20+MeasureInputsANDResults!V199*inputWeightings!$F$20</f>
        <v>-2.127760459081391</v>
      </c>
      <c r="M31" s="332">
        <f>MeasureInputsANDResults!K199*inputWeightings!$B$20+MeasureInputsANDResults!N199*inputWeightings!$C$20+MeasureInputsANDResults!Q199*inputWeightings!$D$20+MeasureInputsANDResults!T199*inputWeightings!$E$20+MeasureInputsANDResults!W199*inputWeightings!$F$20</f>
        <v>-1.0371827631518811</v>
      </c>
      <c r="N31" s="333">
        <f>SUMPRODUCT(MeasureInputsANDResults!X199:AB199,inputWeightings!$B$33:$F$33)</f>
        <v>-0.86672509851223789</v>
      </c>
    </row>
    <row r="32" spans="1:18" ht="15">
      <c r="A32" s="253" t="str">
        <f>MeasureInputsANDResults!B254</f>
        <v>Windo15</v>
      </c>
      <c r="B32" s="254" t="str">
        <f>MeasureInputsANDResults!C254</f>
        <v>Windows15</v>
      </c>
      <c r="C32" s="254" t="str">
        <f>MeasureInputsANDResults!D254</f>
        <v>Windows</v>
      </c>
      <c r="D32" s="254">
        <f>MeasureInputsANDResults!E254</f>
        <v>15</v>
      </c>
      <c r="E32" s="254" t="str">
        <f>MeasureInputsANDResults!F254</f>
        <v>Class 50</v>
      </c>
      <c r="F32" s="254" t="str">
        <f>MeasureInputsANDResults!G254</f>
        <v>Class 35</v>
      </c>
      <c r="G32" s="255" t="s">
        <v>324</v>
      </c>
      <c r="H32" s="254" t="str">
        <f t="shared" si="2"/>
        <v>Windows - Class 50 to Class 35 - Heating Zone 1</v>
      </c>
      <c r="I32" s="256">
        <f>SUMPRODUCT(MeasureInputsANDResults!I254:M254,inputWeightings!$B$20:$F$20)</f>
        <v>1.1999180397858424</v>
      </c>
      <c r="J32" s="257">
        <f>SUMPRODUCT(MeasureInputsANDResults!N254:R254,inputWeightings!$B$20:$F$20)</f>
        <v>0.16926158815862349</v>
      </c>
      <c r="K32" s="256">
        <f>MeasureInputsANDResults!I200*inputWeightings!$B$20+MeasureInputsANDResults!L200*inputWeightings!$C$20+MeasureInputsANDResults!O200*inputWeightings!$D$20+MeasureInputsANDResults!R200*inputWeightings!$E$20+MeasureInputsANDResults!U200*inputWeightings!$F$20</f>
        <v>1.2056008540024281</v>
      </c>
      <c r="L32" s="256">
        <f>MeasureInputsANDResults!J200*inputWeightings!$B$20+MeasureInputsANDResults!M200*inputWeightings!$C$20+MeasureInputsANDResults!P200*inputWeightings!$D$20+MeasureInputsANDResults!S200*inputWeightings!$E$20+MeasureInputsANDResults!V200*inputWeightings!$F$20</f>
        <v>1.2220005068442104</v>
      </c>
      <c r="M32" s="332">
        <f>MeasureInputsANDResults!K200*inputWeightings!$B$20+MeasureInputsANDResults!N200*inputWeightings!$C$20+MeasureInputsANDResults!Q200*inputWeightings!$D$20+MeasureInputsANDResults!T200*inputWeightings!$E$20+MeasureInputsANDResults!W200*inputWeightings!$F$20</f>
        <v>0.72873547065679434</v>
      </c>
      <c r="N32" s="333">
        <f>SUMPRODUCT(MeasureInputsANDResults!X200:AB200,inputWeightings!$B$33:$F$33)</f>
        <v>1.4816125220064105</v>
      </c>
    </row>
    <row r="33" spans="1:14" ht="15">
      <c r="A33" s="253" t="str">
        <f>MeasureInputsANDResults!B255</f>
        <v>Windo16</v>
      </c>
      <c r="B33" s="254" t="str">
        <f>MeasureInputsANDResults!C255</f>
        <v>Windows16</v>
      </c>
      <c r="C33" s="254" t="str">
        <f>MeasureInputsANDResults!D255</f>
        <v>Windows</v>
      </c>
      <c r="D33" s="254">
        <f>MeasureInputsANDResults!E255</f>
        <v>16</v>
      </c>
      <c r="E33" s="254" t="str">
        <f>MeasureInputsANDResults!F255</f>
        <v>Class 50</v>
      </c>
      <c r="F33" s="254" t="str">
        <f>MeasureInputsANDResults!G255</f>
        <v>Class 30</v>
      </c>
      <c r="G33" s="255" t="s">
        <v>324</v>
      </c>
      <c r="H33" s="254" t="str">
        <f t="shared" si="2"/>
        <v>Windows - Class 50 to Class 30 - Heating Zone 1</v>
      </c>
      <c r="I33" s="256">
        <f>SUMPRODUCT(MeasureInputsANDResults!I255:M255,inputWeightings!$B$20:$F$20)</f>
        <v>2.4396502004977618</v>
      </c>
      <c r="J33" s="257">
        <f>SUMPRODUCT(MeasureInputsANDResults!N255:R255,inputWeightings!$B$20:$F$20)</f>
        <v>0.17029897422055379</v>
      </c>
      <c r="K33" s="256">
        <f>MeasureInputsANDResults!I201*inputWeightings!$B$20+MeasureInputsANDResults!L201*inputWeightings!$C$20+MeasureInputsANDResults!O201*inputWeightings!$D$20+MeasureInputsANDResults!R201*inputWeightings!$E$20+MeasureInputsANDResults!U201*inputWeightings!$F$20</f>
        <v>2.4530220219017096</v>
      </c>
      <c r="L33" s="256">
        <f>MeasureInputsANDResults!J201*inputWeightings!$B$20+MeasureInputsANDResults!M201*inputWeightings!$C$20+MeasureInputsANDResults!P201*inputWeightings!$D$20+MeasureInputsANDResults!S201*inputWeightings!$E$20+MeasureInputsANDResults!V201*inputWeightings!$F$20</f>
        <v>2.4976871818859747</v>
      </c>
      <c r="M33" s="332">
        <f>MeasureInputsANDResults!K201*inputWeightings!$B$20+MeasureInputsANDResults!N201*inputWeightings!$C$20+MeasureInputsANDResults!Q201*inputWeightings!$D$20+MeasureInputsANDResults!T201*inputWeightings!$E$20+MeasureInputsANDResults!W201*inputWeightings!$F$20</f>
        <v>1.3197978912427439</v>
      </c>
      <c r="N33" s="333">
        <f>SUMPRODUCT(MeasureInputsANDResults!X201:AB201,inputWeightings!$B$33:$F$33)</f>
        <v>1.4746423293601398</v>
      </c>
    </row>
    <row r="34" spans="1:14" ht="15">
      <c r="A34" s="253" t="str">
        <f>MeasureInputsANDResults!B256</f>
        <v>Windo17</v>
      </c>
      <c r="B34" s="254" t="str">
        <f>MeasureInputsANDResults!C256</f>
        <v>Windows17</v>
      </c>
      <c r="C34" s="254" t="str">
        <f>MeasureInputsANDResults!D256</f>
        <v>Windows</v>
      </c>
      <c r="D34" s="254">
        <f>MeasureInputsANDResults!E256</f>
        <v>17</v>
      </c>
      <c r="E34" s="254" t="str">
        <f>MeasureInputsANDResults!F256</f>
        <v>Class 50</v>
      </c>
      <c r="F34" s="254" t="str">
        <f>MeasureInputsANDResults!G256</f>
        <v>Class 25</v>
      </c>
      <c r="G34" s="255" t="s">
        <v>324</v>
      </c>
      <c r="H34" s="254" t="str">
        <f t="shared" si="2"/>
        <v>Windows - Class 50 to Class 25 - Heating Zone 1</v>
      </c>
      <c r="I34" s="256">
        <f>SUMPRODUCT(MeasureInputsANDResults!I256:M256,inputWeightings!$B$20:$F$20)</f>
        <v>8.1523771676446053</v>
      </c>
      <c r="J34" s="257">
        <f>SUMPRODUCT(MeasureInputsANDResults!N256:R256,inputWeightings!$B$20:$F$20)</f>
        <v>0.27340818321965021</v>
      </c>
      <c r="K34" s="256">
        <f>MeasureInputsANDResults!I202*inputWeightings!$B$20+MeasureInputsANDResults!L202*inputWeightings!$C$20+MeasureInputsANDResults!O202*inputWeightings!$D$20+MeasureInputsANDResults!R202*inputWeightings!$E$20+MeasureInputsANDResults!U202*inputWeightings!$F$20</f>
        <v>8.1999708964968914</v>
      </c>
      <c r="L34" s="256">
        <f>MeasureInputsANDResults!J202*inputWeightings!$B$20+MeasureInputsANDResults!M202*inputWeightings!$C$20+MeasureInputsANDResults!P202*inputWeightings!$D$20+MeasureInputsANDResults!S202*inputWeightings!$E$20+MeasureInputsANDResults!V202*inputWeightings!$F$20</f>
        <v>8.3839374153661606</v>
      </c>
      <c r="M34" s="332">
        <f>MeasureInputsANDResults!K202*inputWeightings!$B$20+MeasureInputsANDResults!N202*inputWeightings!$C$20+MeasureInputsANDResults!Q202*inputWeightings!$D$20+MeasureInputsANDResults!T202*inputWeightings!$E$20+MeasureInputsANDResults!W202*inputWeightings!$F$20</f>
        <v>4.1206913038758621</v>
      </c>
      <c r="N34" s="333">
        <f>SUMPRODUCT(MeasureInputsANDResults!X202:AB202,inputWeightings!$B$33:$F$33)</f>
        <v>2.2790405484824201</v>
      </c>
    </row>
    <row r="35" spans="1:14" ht="15">
      <c r="A35" s="253" t="str">
        <f>MeasureInputsANDResults!B257</f>
        <v>Windo18</v>
      </c>
      <c r="B35" s="254" t="str">
        <f>MeasureInputsANDResults!C257</f>
        <v>Windows18</v>
      </c>
      <c r="C35" s="254" t="str">
        <f>MeasureInputsANDResults!D257</f>
        <v>Windows</v>
      </c>
      <c r="D35" s="254">
        <f>MeasureInputsANDResults!E257</f>
        <v>18</v>
      </c>
      <c r="E35" s="254" t="str">
        <f>MeasureInputsANDResults!F257</f>
        <v>Class 50</v>
      </c>
      <c r="F35" s="254" t="str">
        <f>MeasureInputsANDResults!G257</f>
        <v>Class 20</v>
      </c>
      <c r="G35" s="255" t="s">
        <v>324</v>
      </c>
      <c r="H35" s="254" t="str">
        <f t="shared" si="2"/>
        <v>Windows - Class 50 to Class 20 - Heating Zone 1</v>
      </c>
      <c r="I35" s="256">
        <f>SUMPRODUCT(MeasureInputsANDResults!I257:M257,inputWeightings!$B$20:$F$20)</f>
        <v>4.7324814333601175</v>
      </c>
      <c r="J35" s="257">
        <f>SUMPRODUCT(MeasureInputsANDResults!N257:R257,inputWeightings!$B$20:$F$20)</f>
        <v>0.17713612773604079</v>
      </c>
      <c r="K35" s="256">
        <f>MeasureInputsANDResults!I203*inputWeightings!$B$20+MeasureInputsANDResults!L203*inputWeightings!$C$20+MeasureInputsANDResults!O203*inputWeightings!$D$20+MeasureInputsANDResults!R203*inputWeightings!$E$20+MeasureInputsANDResults!U203*inputWeightings!$F$20</f>
        <v>4.7598436445182593</v>
      </c>
      <c r="L35" s="256">
        <f>MeasureInputsANDResults!J203*inputWeightings!$B$20+MeasureInputsANDResults!M203*inputWeightings!$C$20+MeasureInputsANDResults!P203*inputWeightings!$D$20+MeasureInputsANDResults!S203*inputWeightings!$E$20+MeasureInputsANDResults!V203*inputWeightings!$F$20</f>
        <v>4.858551560536033</v>
      </c>
      <c r="M35" s="332">
        <f>MeasureInputsANDResults!K203*inputWeightings!$B$20+MeasureInputsANDResults!N203*inputWeightings!$C$20+MeasureInputsANDResults!Q203*inputWeightings!$D$20+MeasureInputsANDResults!T203*inputWeightings!$E$20+MeasureInputsANDResults!W203*inputWeightings!$F$20</f>
        <v>2.4275612602267009</v>
      </c>
      <c r="N35" s="333">
        <f>SUMPRODUCT(MeasureInputsANDResults!X203:AB203,inputWeightings!$B$33:$F$33)</f>
        <v>1.5013023737844793</v>
      </c>
    </row>
    <row r="36" spans="1:14" ht="15">
      <c r="A36" s="244" t="str">
        <f>MeasureInputsANDResults!B258</f>
        <v>Windo19</v>
      </c>
      <c r="B36" s="245" t="str">
        <f>MeasureInputsANDResults!C258</f>
        <v>Windows19</v>
      </c>
      <c r="C36" s="245" t="str">
        <f>MeasureInputsANDResults!D258</f>
        <v>Windows</v>
      </c>
      <c r="D36" s="245">
        <f>MeasureInputsANDResults!E258</f>
        <v>19</v>
      </c>
      <c r="E36" s="245" t="str">
        <f>MeasureInputsANDResults!F258</f>
        <v>Class 35</v>
      </c>
      <c r="F36" s="245" t="str">
        <f>MeasureInputsANDResults!G258</f>
        <v>Class 22</v>
      </c>
      <c r="G36" s="246" t="s">
        <v>324</v>
      </c>
      <c r="H36" s="245" t="str">
        <f t="shared" si="2"/>
        <v>Windows - Class 35 to Class 22 - Heating Zone 1</v>
      </c>
      <c r="I36" s="247">
        <f>SUMPRODUCT(MeasureInputsANDResults!I258:M258,inputWeightings!$B$20:$F$20)</f>
        <v>3.0382567843239148</v>
      </c>
      <c r="J36" s="248">
        <f>SUMPRODUCT(MeasureInputsANDResults!N258:R258,inputWeightings!$B$20:$F$20)</f>
        <v>7.0146565301512035E-3</v>
      </c>
      <c r="K36" s="247">
        <f>MeasureInputsANDResults!I204*inputWeightings!$B$20+MeasureInputsANDResults!L204*inputWeightings!$C$20+MeasureInputsANDResults!O204*inputWeightings!$D$20+MeasureInputsANDResults!R204*inputWeightings!$E$20+MeasureInputsANDResults!U204*inputWeightings!$F$20</f>
        <v>3.0569390322076524</v>
      </c>
      <c r="L36" s="247">
        <f>MeasureInputsANDResults!J204*inputWeightings!$B$20+MeasureInputsANDResults!M204*inputWeightings!$C$20+MeasureInputsANDResults!P204*inputWeightings!$D$20+MeasureInputsANDResults!S204*inputWeightings!$E$20+MeasureInputsANDResults!V204*inputWeightings!$F$20</f>
        <v>3.1273374948945216</v>
      </c>
      <c r="M36" s="330">
        <f>MeasureInputsANDResults!K204*inputWeightings!$B$20+MeasureInputsANDResults!N204*inputWeightings!$C$20+MeasureInputsANDResults!Q204*inputWeightings!$D$20+MeasureInputsANDResults!T204*inputWeightings!$E$20+MeasureInputsANDResults!W204*inputWeightings!$F$20</f>
        <v>1.4590047579871106</v>
      </c>
      <c r="N36" s="331">
        <f>SUMPRODUCT(MeasureInputsANDResults!X204:AB204,inputWeightings!$B$33:$F$33)</f>
        <v>1.9762187760295355E-2</v>
      </c>
    </row>
    <row r="37" spans="1:14" ht="15">
      <c r="A37" s="244" t="str">
        <f>MeasureInputsANDResults!B259</f>
        <v>Windo20</v>
      </c>
      <c r="B37" s="245" t="str">
        <f>MeasureInputsANDResults!C259</f>
        <v>Windows20</v>
      </c>
      <c r="C37" s="245" t="str">
        <f>MeasureInputsANDResults!D259</f>
        <v>Windows</v>
      </c>
      <c r="D37" s="245">
        <f>MeasureInputsANDResults!E259</f>
        <v>20</v>
      </c>
      <c r="E37" s="245" t="str">
        <f>MeasureInputsANDResults!F259</f>
        <v>Single Pane</v>
      </c>
      <c r="F37" s="245" t="str">
        <f>MeasureInputsANDResults!G259</f>
        <v>Class 22</v>
      </c>
      <c r="G37" s="246" t="s">
        <v>324</v>
      </c>
      <c r="H37" s="245" t="str">
        <f t="shared" si="2"/>
        <v>Windows - Single Pane to Class 22 - Heating Zone 1</v>
      </c>
      <c r="I37" s="247">
        <f>SUMPRODUCT(MeasureInputsANDResults!I259:M259,inputWeightings!$B$20:$F$20)</f>
        <v>22.76789263770026</v>
      </c>
      <c r="J37" s="248">
        <f>SUMPRODUCT(MeasureInputsANDResults!N259:R259,inputWeightings!$B$20:$F$20)</f>
        <v>0.1181340338892458</v>
      </c>
      <c r="K37" s="247">
        <f>MeasureInputsANDResults!I205*inputWeightings!$B$20+MeasureInputsANDResults!L205*inputWeightings!$C$20+MeasureInputsANDResults!O205*inputWeightings!$D$20+MeasureInputsANDResults!R205*inputWeightings!$E$20+MeasureInputsANDResults!U205*inputWeightings!$F$20</f>
        <v>22.905370149993779</v>
      </c>
      <c r="L37" s="247">
        <f>MeasureInputsANDResults!J205*inputWeightings!$B$20+MeasureInputsANDResults!M205*inputWeightings!$C$20+MeasureInputsANDResults!P205*inputWeightings!$D$20+MeasureInputsANDResults!S205*inputWeightings!$E$20+MeasureInputsANDResults!V205*inputWeightings!$F$20</f>
        <v>23.366702249546424</v>
      </c>
      <c r="M37" s="330">
        <f>MeasureInputsANDResults!K205*inputWeightings!$B$20+MeasureInputsANDResults!N205*inputWeightings!$C$20+MeasureInputsANDResults!Q205*inputWeightings!$D$20+MeasureInputsANDResults!T205*inputWeightings!$E$20+MeasureInputsANDResults!W205*inputWeightings!$F$20</f>
        <v>11.250643500045708</v>
      </c>
      <c r="N37" s="331">
        <f>SUMPRODUCT(MeasureInputsANDResults!X205:AB205,inputWeightings!$B$33:$F$33)</f>
        <v>0.84777854990734269</v>
      </c>
    </row>
    <row r="38" spans="1:14" ht="15">
      <c r="A38" s="244" t="str">
        <f>MeasureInputsANDResults!B260</f>
        <v>Windo21</v>
      </c>
      <c r="B38" s="245" t="str">
        <f>MeasureInputsANDResults!C260</f>
        <v>Windows21</v>
      </c>
      <c r="C38" s="245" t="str">
        <f>MeasureInputsANDResults!D260</f>
        <v>Windows</v>
      </c>
      <c r="D38" s="245">
        <f>MeasureInputsANDResults!E260</f>
        <v>21</v>
      </c>
      <c r="E38" s="245" t="str">
        <f>MeasureInputsANDResults!F260</f>
        <v>Double Pane</v>
      </c>
      <c r="F38" s="245" t="str">
        <f>MeasureInputsANDResults!G260</f>
        <v>Class 22</v>
      </c>
      <c r="G38" s="246" t="s">
        <v>324</v>
      </c>
      <c r="H38" s="245" t="str">
        <f t="shared" si="2"/>
        <v>Windows - Double Pane to Class 22 - Heating Zone 1</v>
      </c>
      <c r="I38" s="247">
        <f>SUMPRODUCT(MeasureInputsANDResults!I260:M260,inputWeightings!$B$20:$F$20)</f>
        <v>13.317916529208338</v>
      </c>
      <c r="J38" s="248">
        <f>SUMPRODUCT(MeasureInputsANDResults!N260:R260,inputWeightings!$B$20:$F$20)</f>
        <v>0.16465903547126498</v>
      </c>
      <c r="K38" s="247">
        <f>MeasureInputsANDResults!I206*inputWeightings!$B$20+MeasureInputsANDResults!L206*inputWeightings!$C$20+MeasureInputsANDResults!O206*inputWeightings!$D$20+MeasureInputsANDResults!R206*inputWeightings!$E$20+MeasureInputsANDResults!U206*inputWeightings!$F$20</f>
        <v>13.397849857544676</v>
      </c>
      <c r="L38" s="247">
        <f>MeasureInputsANDResults!J206*inputWeightings!$B$20+MeasureInputsANDResults!M206*inputWeightings!$C$20+MeasureInputsANDResults!P206*inputWeightings!$D$20+MeasureInputsANDResults!S206*inputWeightings!$E$20+MeasureInputsANDResults!V206*inputWeightings!$F$20</f>
        <v>13.672746268447941</v>
      </c>
      <c r="M38" s="330">
        <f>MeasureInputsANDResults!K206*inputWeightings!$B$20+MeasureInputsANDResults!N206*inputWeightings!$C$20+MeasureInputsANDResults!Q206*inputWeightings!$D$20+MeasureInputsANDResults!T206*inputWeightings!$E$20+MeasureInputsANDResults!W206*inputWeightings!$F$20</f>
        <v>6.6092348530554412</v>
      </c>
      <c r="N38" s="331">
        <f>SUMPRODUCT(MeasureInputsANDResults!X206:AB206,inputWeightings!$B$33:$F$33)</f>
        <v>1.3172857550165116</v>
      </c>
    </row>
    <row r="39" spans="1:14" ht="15">
      <c r="A39" s="244" t="str">
        <f>MeasureInputsANDResults!B261</f>
        <v>Windo22</v>
      </c>
      <c r="B39" s="245" t="str">
        <f>MeasureInputsANDResults!C261</f>
        <v>Windows22</v>
      </c>
      <c r="C39" s="245" t="str">
        <f>MeasureInputsANDResults!D261</f>
        <v>Windows</v>
      </c>
      <c r="D39" s="245">
        <f>MeasureInputsANDResults!E261</f>
        <v>22</v>
      </c>
      <c r="E39" s="245" t="str">
        <f>MeasureInputsANDResults!F261</f>
        <v>Single Pane</v>
      </c>
      <c r="F39" s="245" t="str">
        <f>MeasureInputsANDResults!G261</f>
        <v>Class 30</v>
      </c>
      <c r="G39" s="246" t="s">
        <v>324</v>
      </c>
      <c r="H39" s="245" t="str">
        <f t="shared" si="2"/>
        <v>Windows - Single Pane to Class 30 - Heating Zone 1</v>
      </c>
      <c r="I39" s="247">
        <f>SUMPRODUCT(MeasureInputsANDResults!I261:M261,inputWeightings!$B$20:$F$20)</f>
        <v>20.969368014088261</v>
      </c>
      <c r="J39" s="248">
        <f>SUMPRODUCT(MeasureInputsANDResults!N261:R261,inputWeightings!$B$20:$F$20)</f>
        <v>0.1121567634210249</v>
      </c>
      <c r="K39" s="247">
        <f>MeasureInputsANDResults!I207*inputWeightings!$B$20+MeasureInputsANDResults!L207*inputWeightings!$C$20+MeasureInputsANDResults!O207*inputWeightings!$D$20+MeasureInputsANDResults!R207*inputWeightings!$E$20+MeasureInputsANDResults!U207*inputWeightings!$F$20</f>
        <v>21.095852285685414</v>
      </c>
      <c r="L39" s="247">
        <f>MeasureInputsANDResults!J207*inputWeightings!$B$20+MeasureInputsANDResults!M207*inputWeightings!$C$20+MeasureInputsANDResults!P207*inputWeightings!$D$20+MeasureInputsANDResults!S207*inputWeightings!$E$20+MeasureInputsANDResults!V207*inputWeightings!$F$20</f>
        <v>21.515051429693667</v>
      </c>
      <c r="M39" s="330">
        <f>MeasureInputsANDResults!K207*inputWeightings!$B$20+MeasureInputsANDResults!N207*inputWeightings!$C$20+MeasureInputsANDResults!Q207*inputWeightings!$D$20+MeasureInputsANDResults!T207*inputWeightings!$E$20+MeasureInputsANDResults!W207*inputWeightings!$F$20</f>
        <v>10.382701162644546</v>
      </c>
      <c r="N39" s="331">
        <f>SUMPRODUCT(MeasureInputsANDResults!X207:AB207,inputWeightings!$B$33:$F$33)</f>
        <v>0.82104616950077669</v>
      </c>
    </row>
    <row r="40" spans="1:14" ht="15">
      <c r="A40" s="244" t="str">
        <f>MeasureInputsANDResults!B262</f>
        <v>Windo23</v>
      </c>
      <c r="B40" s="245" t="str">
        <f>MeasureInputsANDResults!C262</f>
        <v>Windows23</v>
      </c>
      <c r="C40" s="245" t="str">
        <f>MeasureInputsANDResults!D262</f>
        <v>Windows</v>
      </c>
      <c r="D40" s="245">
        <f>MeasureInputsANDResults!E262</f>
        <v>23</v>
      </c>
      <c r="E40" s="245" t="str">
        <f>MeasureInputsANDResults!F262</f>
        <v>Double Pane</v>
      </c>
      <c r="F40" s="245" t="str">
        <f>MeasureInputsANDResults!G262</f>
        <v>Class 30</v>
      </c>
      <c r="G40" s="246" t="s">
        <v>324</v>
      </c>
      <c r="H40" s="245" t="str">
        <f t="shared" si="2"/>
        <v>Windows - Double Pane to Class 30 - Heating Zone 1</v>
      </c>
      <c r="I40" s="247">
        <f>SUMPRODUCT(MeasureInputsANDResults!I262:M262,inputWeightings!$B$20:$F$20)</f>
        <v>11.519391905596343</v>
      </c>
      <c r="J40" s="248">
        <f>SUMPRODUCT(MeasureInputsANDResults!N262:R262,inputWeightings!$B$20:$F$20)</f>
        <v>0.15868176500304404</v>
      </c>
      <c r="K40" s="247">
        <f>MeasureInputsANDResults!I208*inputWeightings!$B$20+MeasureInputsANDResults!L208*inputWeightings!$C$20+MeasureInputsANDResults!O208*inputWeightings!$D$20+MeasureInputsANDResults!R208*inputWeightings!$E$20+MeasureInputsANDResults!U208*inputWeightings!$F$20</f>
        <v>11.588331993236304</v>
      </c>
      <c r="L40" s="247">
        <f>MeasureInputsANDResults!J208*inputWeightings!$B$20+MeasureInputsANDResults!M208*inputWeightings!$C$20+MeasureInputsANDResults!P208*inputWeightings!$D$20+MeasureInputsANDResults!S208*inputWeightings!$E$20+MeasureInputsANDResults!V208*inputWeightings!$F$20</f>
        <v>11.821095448595184</v>
      </c>
      <c r="M40" s="330">
        <f>MeasureInputsANDResults!K208*inputWeightings!$B$20+MeasureInputsANDResults!N208*inputWeightings!$C$20+MeasureInputsANDResults!Q208*inputWeightings!$D$20+MeasureInputsANDResults!T208*inputWeightings!$E$20+MeasureInputsANDResults!W208*inputWeightings!$F$20</f>
        <v>5.7412925156542798</v>
      </c>
      <c r="N40" s="331">
        <f>SUMPRODUCT(MeasureInputsANDResults!X208:AB208,inputWeightings!$B$33:$F$33)</f>
        <v>1.2905533746099456</v>
      </c>
    </row>
    <row r="41" spans="1:14" ht="15">
      <c r="A41" s="244" t="str">
        <f>MeasureInputsANDResults!B263</f>
        <v>Windo24</v>
      </c>
      <c r="B41" s="245" t="str">
        <f>MeasureInputsANDResults!C263</f>
        <v>Windows24</v>
      </c>
      <c r="C41" s="245" t="str">
        <f>MeasureInputsANDResults!D263</f>
        <v>Windows</v>
      </c>
      <c r="D41" s="245">
        <f>MeasureInputsANDResults!E263</f>
        <v>24</v>
      </c>
      <c r="E41" s="245" t="str">
        <f>MeasureInputsANDResults!F263</f>
        <v>Class 35</v>
      </c>
      <c r="F41" s="245" t="str">
        <f>MeasureInputsANDResults!G263</f>
        <v>Class 30</v>
      </c>
      <c r="G41" s="246" t="s">
        <v>324</v>
      </c>
      <c r="H41" s="245" t="str">
        <f t="shared" si="2"/>
        <v>Windows - Class 35 to Class 30 - Heating Zone 1</v>
      </c>
      <c r="I41" s="247">
        <f>SUMPRODUCT(MeasureInputsANDResults!I263:M263,inputWeightings!$B$20:$F$20)</f>
        <v>1.2397321607119192</v>
      </c>
      <c r="J41" s="248">
        <f>SUMPRODUCT(MeasureInputsANDResults!N263:R263,inputWeightings!$B$20:$F$20)</f>
        <v>1.0373860619302931E-3</v>
      </c>
      <c r="K41" s="247">
        <f>MeasureInputsANDResults!I209*inputWeightings!$B$20+MeasureInputsANDResults!L209*inputWeightings!$C$20+MeasureInputsANDResults!O209*inputWeightings!$D$20+MeasureInputsANDResults!R209*inputWeightings!$E$20+MeasureInputsANDResults!U209*inputWeightings!$F$20</f>
        <v>1.247421167899281</v>
      </c>
      <c r="L41" s="247">
        <f>MeasureInputsANDResults!J209*inputWeightings!$B$20+MeasureInputsANDResults!M209*inputWeightings!$C$20+MeasureInputsANDResults!P209*inputWeightings!$D$20+MeasureInputsANDResults!S209*inputWeightings!$E$20+MeasureInputsANDResults!V209*inputWeightings!$F$20</f>
        <v>1.2756866750417644</v>
      </c>
      <c r="M41" s="330">
        <f>MeasureInputsANDResults!K209*inputWeightings!$B$20+MeasureInputsANDResults!N209*inputWeightings!$C$20+MeasureInputsANDResults!Q209*inputWeightings!$D$20+MeasureInputsANDResults!T209*inputWeightings!$E$20+MeasureInputsANDResults!W209*inputWeightings!$F$20</f>
        <v>0.5910624205859496</v>
      </c>
      <c r="N41" s="331">
        <f>SUMPRODUCT(MeasureInputsANDResults!X209:AB209,inputWeightings!$B$33:$F$33)</f>
        <v>-6.9701926462704851E-3</v>
      </c>
    </row>
    <row r="42" spans="1:14" ht="15">
      <c r="A42" s="297" t="str">
        <f>MeasureInputsANDResults!B264</f>
        <v>Infil10</v>
      </c>
      <c r="B42" s="298" t="str">
        <f>MeasureInputsANDResults!C264</f>
        <v>Infiltration10</v>
      </c>
      <c r="C42" s="298" t="str">
        <f>MeasureInputsANDResults!D264</f>
        <v>Infiltration</v>
      </c>
      <c r="D42" s="298">
        <f>MeasureInputsANDResults!E264</f>
        <v>10</v>
      </c>
      <c r="E42" s="298" t="str">
        <f>MeasureInputsANDResults!F264</f>
        <v>0.45 ACHn</v>
      </c>
      <c r="F42" s="298" t="str">
        <f>MeasureInputsANDResults!G264</f>
        <v>0.35 ACHn</v>
      </c>
      <c r="G42" s="530" t="s">
        <v>324</v>
      </c>
      <c r="H42" s="298" t="str">
        <f>C42&amp;" Reduction - "&amp;E42&amp;" to "&amp;F42&amp;" - "&amp;G42</f>
        <v>Infiltration Reduction - 0.45 ACHn to 0.35 ACHn - Heating Zone 1</v>
      </c>
      <c r="I42" s="531">
        <f>SUMPRODUCT(MeasureInputsANDResults!I264:M264,inputWeightings!$B$20:$F$20)</f>
        <v>0</v>
      </c>
      <c r="J42" s="532">
        <f>SUMPRODUCT(MeasureInputsANDResults!N264:R264,inputWeightings!$B$20:$F$20)</f>
        <v>0</v>
      </c>
      <c r="K42" s="531">
        <f>MeasureInputsANDResults!I210*inputWeightings!$B$20+MeasureInputsANDResults!L210*inputWeightings!$C$20+MeasureInputsANDResults!O210*inputWeightings!$D$20+MeasureInputsANDResults!R210*inputWeightings!$E$20+MeasureInputsANDResults!U210*inputWeightings!$F$20</f>
        <v>0</v>
      </c>
      <c r="L42" s="531">
        <f>MeasureInputsANDResults!J210*inputWeightings!$B$20+MeasureInputsANDResults!M210*inputWeightings!$C$20+MeasureInputsANDResults!P210*inputWeightings!$D$20+MeasureInputsANDResults!S210*inputWeightings!$E$20+MeasureInputsANDResults!V210*inputWeightings!$F$20</f>
        <v>0</v>
      </c>
      <c r="M42" s="533">
        <f>MeasureInputsANDResults!K210*inputWeightings!$B$20+MeasureInputsANDResults!N210*inputWeightings!$C$20+MeasureInputsANDResults!Q210*inputWeightings!$D$20+MeasureInputsANDResults!T210*inputWeightings!$E$20+MeasureInputsANDResults!W210*inputWeightings!$F$20</f>
        <v>0</v>
      </c>
      <c r="N42" s="534">
        <f>SUMPRODUCT(MeasureInputsANDResults!X210:AB210,inputWeightings!$B$33:$F$33)</f>
        <v>0</v>
      </c>
    </row>
    <row r="43" spans="1:14" ht="15">
      <c r="A43" s="253" t="str">
        <f>MeasureInputsANDResults!B265</f>
        <v>Infil11</v>
      </c>
      <c r="B43" s="254" t="str">
        <f>MeasureInputsANDResults!C265</f>
        <v>Infiltration11</v>
      </c>
      <c r="C43" s="254" t="str">
        <f>MeasureInputsANDResults!D265</f>
        <v>Infiltration</v>
      </c>
      <c r="D43" s="254">
        <f>MeasureInputsANDResults!E265</f>
        <v>11</v>
      </c>
      <c r="E43" s="254" t="str">
        <f>MeasureInputsANDResults!F265</f>
        <v>0.45 ACHn</v>
      </c>
      <c r="F43" s="254" t="str">
        <f>MeasureInputsANDResults!G265</f>
        <v>0.20 ACHn</v>
      </c>
      <c r="G43" s="255" t="s">
        <v>324</v>
      </c>
      <c r="H43" s="254" t="str">
        <f t="shared" ref="H43:H44" si="3">C43&amp;" Reduction - "&amp;E43&amp;" to "&amp;F43&amp;" - "&amp;G43</f>
        <v>Infiltration Reduction - 0.45 ACHn to 0.20 ACHn - Heating Zone 1</v>
      </c>
      <c r="I43" s="256">
        <f>SUMPRODUCT(MeasureInputsANDResults!I265:M265,inputWeightings!$B$20:$F$20)</f>
        <v>0</v>
      </c>
      <c r="J43" s="257">
        <f>SUMPRODUCT(MeasureInputsANDResults!N265:R265,inputWeightings!$B$20:$F$20)</f>
        <v>0</v>
      </c>
      <c r="K43" s="256">
        <f>MeasureInputsANDResults!I211*inputWeightings!$B$20+MeasureInputsANDResults!L211*inputWeightings!$C$20+MeasureInputsANDResults!O211*inputWeightings!$D$20+MeasureInputsANDResults!R211*inputWeightings!$E$20+MeasureInputsANDResults!U211*inputWeightings!$F$20</f>
        <v>0</v>
      </c>
      <c r="L43" s="256">
        <f>MeasureInputsANDResults!J211*inputWeightings!$B$20+MeasureInputsANDResults!M211*inputWeightings!$C$20+MeasureInputsANDResults!P211*inputWeightings!$D$20+MeasureInputsANDResults!S211*inputWeightings!$E$20+MeasureInputsANDResults!V211*inputWeightings!$F$20</f>
        <v>0</v>
      </c>
      <c r="M43" s="535">
        <f>MeasureInputsANDResults!K211*inputWeightings!$B$20+MeasureInputsANDResults!N211*inputWeightings!$C$20+MeasureInputsANDResults!Q211*inputWeightings!$D$20+MeasureInputsANDResults!T211*inputWeightings!$E$20+MeasureInputsANDResults!W211*inputWeightings!$F$20</f>
        <v>0</v>
      </c>
      <c r="N43" s="333">
        <f>SUMPRODUCT(MeasureInputsANDResults!X211:AB211,inputWeightings!$B$33:$F$33)</f>
        <v>0</v>
      </c>
    </row>
    <row r="44" spans="1:14" ht="15">
      <c r="A44" s="290" t="str">
        <f>MeasureInputsANDResults!B266</f>
        <v>Infil12</v>
      </c>
      <c r="B44" s="291" t="str">
        <f>MeasureInputsANDResults!C266</f>
        <v>Infiltration12</v>
      </c>
      <c r="C44" s="291" t="str">
        <f>MeasureInputsANDResults!D266</f>
        <v>Infiltration</v>
      </c>
      <c r="D44" s="291">
        <f>MeasureInputsANDResults!E266</f>
        <v>12</v>
      </c>
      <c r="E44" s="291" t="str">
        <f>MeasureInputsANDResults!F266</f>
        <v>0.35 ACHn</v>
      </c>
      <c r="F44" s="291" t="str">
        <f>MeasureInputsANDResults!G266</f>
        <v>0.20 ACHn</v>
      </c>
      <c r="G44" s="292" t="s">
        <v>324</v>
      </c>
      <c r="H44" s="291" t="str">
        <f t="shared" si="3"/>
        <v>Infiltration Reduction - 0.35 ACHn to 0.20 ACHn - Heating Zone 1</v>
      </c>
      <c r="I44" s="293">
        <f>SUMPRODUCT(MeasureInputsANDResults!I266:M266,inputWeightings!$B$20:$F$20)</f>
        <v>0</v>
      </c>
      <c r="J44" s="294">
        <f>SUMPRODUCT(MeasureInputsANDResults!N266:R266,inputWeightings!$B$20:$F$20)</f>
        <v>0</v>
      </c>
      <c r="K44" s="293">
        <f>MeasureInputsANDResults!I212*inputWeightings!$B$20+MeasureInputsANDResults!L212*inputWeightings!$C$20+MeasureInputsANDResults!O212*inputWeightings!$D$20+MeasureInputsANDResults!R212*inputWeightings!$E$20+MeasureInputsANDResults!U212*inputWeightings!$F$20</f>
        <v>0</v>
      </c>
      <c r="L44" s="293">
        <f>MeasureInputsANDResults!J212*inputWeightings!$B$20+MeasureInputsANDResults!M212*inputWeightings!$C$20+MeasureInputsANDResults!P212*inputWeightings!$D$20+MeasureInputsANDResults!S212*inputWeightings!$E$20+MeasureInputsANDResults!V212*inputWeightings!$F$20</f>
        <v>0</v>
      </c>
      <c r="M44" s="536">
        <f>MeasureInputsANDResults!K212*inputWeightings!$B$20+MeasureInputsANDResults!N212*inputWeightings!$C$20+MeasureInputsANDResults!Q212*inputWeightings!$D$20+MeasureInputsANDResults!T212*inputWeightings!$E$20+MeasureInputsANDResults!W212*inputWeightings!$F$20</f>
        <v>0</v>
      </c>
      <c r="N44" s="340">
        <f>SUMPRODUCT(MeasureInputsANDResults!X212:AB212,inputWeightings!$B$33:$F$33)</f>
        <v>0</v>
      </c>
    </row>
    <row r="45" spans="1:14" ht="15">
      <c r="A45" s="253" t="str">
        <f>MeasureInputsANDResults!B267</f>
        <v>DuctT10</v>
      </c>
      <c r="B45" s="254" t="str">
        <f>MeasureInputsANDResults!C267</f>
        <v>DuctTightness10</v>
      </c>
      <c r="C45" s="254" t="str">
        <f>MeasureInputsANDResults!D267</f>
        <v>DuctTightness</v>
      </c>
      <c r="D45" s="254">
        <f>MeasureInputsANDResults!E267</f>
        <v>10</v>
      </c>
      <c r="E45" s="254" t="str">
        <f>MeasureInputsANDResults!F267</f>
        <v>Std-crawl</v>
      </c>
      <c r="F45" s="254" t="str">
        <f>MeasureInputsANDResults!G267</f>
        <v>PTCS-crawl</v>
      </c>
      <c r="G45" s="254" t="s">
        <v>324</v>
      </c>
      <c r="H45" s="254" t="str">
        <f>C45&amp;" - "&amp;E45&amp;" to "&amp;F45&amp;" - "&amp;G45</f>
        <v>DuctTightness - Std-crawl to PTCS-crawl - Heating Zone 1</v>
      </c>
      <c r="I45" s="301">
        <f>SUMPRODUCT(MeasureInputsANDResults!I267:M267,inputWeightings!$B$20:$F$20)</f>
        <v>755.99683996331123</v>
      </c>
      <c r="J45" s="302">
        <f>SUMPRODUCT(MeasureInputsANDResults!N267:R267,inputWeightings!$B$20:$F$20)</f>
        <v>32.474121440545531</v>
      </c>
      <c r="K45" s="301">
        <f>MeasureInputsANDResults!I213*inputWeightings!$B$20+MeasureInputsANDResults!L213*inputWeightings!$C$20+MeasureInputsANDResults!O213*inputWeightings!$D$20+MeasureInputsANDResults!R213*inputWeightings!$E$20+MeasureInputsANDResults!U213*inputWeightings!$F$20</f>
        <v>0</v>
      </c>
      <c r="L45" s="301">
        <f>MeasureInputsANDResults!J213*inputWeightings!$B$20+MeasureInputsANDResults!M213*inputWeightings!$C$20+MeasureInputsANDResults!P213*inputWeightings!$D$20+MeasureInputsANDResults!S213*inputWeightings!$E$20+MeasureInputsANDResults!V213*inputWeightings!$F$20</f>
        <v>184.69439358000014</v>
      </c>
      <c r="M45" s="345">
        <f>MeasureInputsANDResults!K213*inputWeightings!$B$20+MeasureInputsANDResults!N213*inputWeightings!$C$20+MeasureInputsANDResults!Q213*inputWeightings!$D$20+MeasureInputsANDResults!T213*inputWeightings!$E$20+MeasureInputsANDResults!W213*inputWeightings!$F$20</f>
        <v>1804.0034705882356</v>
      </c>
      <c r="N45" s="346">
        <f>SUMPRODUCT(MeasureInputsANDResults!X213:AB213,inputWeightings!$B$33:$F$33)</f>
        <v>182.63513873749935</v>
      </c>
    </row>
    <row r="46" spans="1:14" ht="15">
      <c r="A46" s="297" t="str">
        <f>MeasureInputsANDResults!B268</f>
        <v>DuctI10</v>
      </c>
      <c r="B46" s="298" t="str">
        <f>MeasureInputsANDResults!C268</f>
        <v>DuctInsulation10</v>
      </c>
      <c r="C46" s="298" t="str">
        <f>MeasureInputsANDResults!D268</f>
        <v>DuctInsulation</v>
      </c>
      <c r="D46" s="298">
        <f>MeasureInputsANDResults!E268</f>
        <v>10</v>
      </c>
      <c r="E46" s="298" t="str">
        <f>MeasureInputsANDResults!F268</f>
        <v>R-0</v>
      </c>
      <c r="F46" s="298" t="str">
        <f>MeasureInputsANDResults!G268</f>
        <v>R-4.2</v>
      </c>
      <c r="G46" s="298" t="s">
        <v>324</v>
      </c>
      <c r="H46" s="298" t="str">
        <f t="shared" ref="H46:H48" si="4">C46&amp;" - "&amp;E46&amp;" to "&amp;F46&amp;" - "&amp;G46</f>
        <v>DuctInsulation - R-0 to R-4.2 - Heating Zone 1</v>
      </c>
      <c r="I46" s="299">
        <f>SUMPRODUCT(MeasureInputsANDResults!I268:M268,inputWeightings!$B$20:$F$20)</f>
        <v>82.144301963985185</v>
      </c>
      <c r="J46" s="300">
        <f>SUMPRODUCT(MeasureInputsANDResults!N268:R268,inputWeightings!$B$20:$F$20)</f>
        <v>2.112430683642621</v>
      </c>
      <c r="K46" s="299">
        <f>MeasureInputsANDResults!I214*inputWeightings!$B$20+MeasureInputsANDResults!L214*inputWeightings!$C$20+MeasureInputsANDResults!O214*inputWeightings!$D$20+MeasureInputsANDResults!R214*inputWeightings!$E$20+MeasureInputsANDResults!U214*inputWeightings!$F$20</f>
        <v>0</v>
      </c>
      <c r="L46" s="299">
        <f>MeasureInputsANDResults!J214*inputWeightings!$B$20+MeasureInputsANDResults!M214*inputWeightings!$C$20+MeasureInputsANDResults!P214*inputWeightings!$D$20+MeasureInputsANDResults!S214*inputWeightings!$E$20+MeasureInputsANDResults!V214*inputWeightings!$F$20</f>
        <v>68.242642545000038</v>
      </c>
      <c r="M46" s="343">
        <f>MeasureInputsANDResults!K214*inputWeightings!$B$20+MeasureInputsANDResults!N214*inputWeightings!$C$20+MeasureInputsANDResults!Q214*inputWeightings!$D$20+MeasureInputsANDResults!T214*inputWeightings!$E$20+MeasureInputsANDResults!W214*inputWeightings!$F$20</f>
        <v>107.64573529411811</v>
      </c>
      <c r="N46" s="344">
        <f>SUMPRODUCT(MeasureInputsANDResults!X214:AB214,inputWeightings!$B$33:$F$33)</f>
        <v>13.083932319999519</v>
      </c>
    </row>
    <row r="47" spans="1:14" ht="15">
      <c r="A47" s="253" t="str">
        <f>MeasureInputsANDResults!B269</f>
        <v>DuctI11</v>
      </c>
      <c r="B47" s="254" t="str">
        <f>MeasureInputsANDResults!C269</f>
        <v>DuctInsulation11</v>
      </c>
      <c r="C47" s="254" t="str">
        <f>MeasureInputsANDResults!D269</f>
        <v>DuctInsulation</v>
      </c>
      <c r="D47" s="254">
        <f>MeasureInputsANDResults!E269</f>
        <v>11</v>
      </c>
      <c r="E47" s="254" t="str">
        <f>MeasureInputsANDResults!F269</f>
        <v>R-0</v>
      </c>
      <c r="F47" s="254" t="str">
        <f>MeasureInputsANDResults!G269</f>
        <v>R-11</v>
      </c>
      <c r="G47" s="254" t="s">
        <v>324</v>
      </c>
      <c r="H47" s="254" t="str">
        <f t="shared" si="4"/>
        <v>DuctInsulation - R-0 to R-11 - Heating Zone 1</v>
      </c>
      <c r="I47" s="301">
        <f>SUMPRODUCT(MeasureInputsANDResults!I269:M269,inputWeightings!$B$20:$F$20)</f>
        <v>113.6121526793531</v>
      </c>
      <c r="J47" s="302">
        <f>SUMPRODUCT(MeasureInputsANDResults!N269:R269,inputWeightings!$B$20:$F$20)</f>
        <v>2.9292750282794584</v>
      </c>
      <c r="K47" s="301">
        <f>MeasureInputsANDResults!I215*inputWeightings!$B$20+MeasureInputsANDResults!L215*inputWeightings!$C$20+MeasureInputsANDResults!O215*inputWeightings!$D$20+MeasureInputsANDResults!R215*inputWeightings!$E$20+MeasureInputsANDResults!U215*inputWeightings!$F$20</f>
        <v>0</v>
      </c>
      <c r="L47" s="301">
        <f>MeasureInputsANDResults!J215*inputWeightings!$B$20+MeasureInputsANDResults!M215*inputWeightings!$C$20+MeasureInputsANDResults!P215*inputWeightings!$D$20+MeasureInputsANDResults!S215*inputWeightings!$E$20+MeasureInputsANDResults!V215*inputWeightings!$F$20</f>
        <v>93.650358559997841</v>
      </c>
      <c r="M47" s="345">
        <f>MeasureInputsANDResults!K215*inputWeightings!$B$20+MeasureInputsANDResults!N215*inputWeightings!$C$20+MeasureInputsANDResults!Q215*inputWeightings!$D$20+MeasureInputsANDResults!T215*inputWeightings!$E$20+MeasureInputsANDResults!W215*inputWeightings!$F$20</f>
        <v>150.23039705882448</v>
      </c>
      <c r="N47" s="346">
        <f>SUMPRODUCT(MeasureInputsANDResults!X215:AB215,inputWeightings!$B$33:$F$33)</f>
        <v>18.070686239999382</v>
      </c>
    </row>
    <row r="48" spans="1:14" ht="15">
      <c r="A48" s="290" t="str">
        <f>MeasureInputsANDResults!B270</f>
        <v>DuctI12</v>
      </c>
      <c r="B48" s="291" t="str">
        <f>MeasureInputsANDResults!C270</f>
        <v>DuctInsulation12</v>
      </c>
      <c r="C48" s="291" t="str">
        <f>MeasureInputsANDResults!D270</f>
        <v>DuctInsulation</v>
      </c>
      <c r="D48" s="291">
        <f>MeasureInputsANDResults!E270</f>
        <v>12</v>
      </c>
      <c r="E48" s="291" t="str">
        <f>MeasureInputsANDResults!F270</f>
        <v>R-4.2</v>
      </c>
      <c r="F48" s="291" t="str">
        <f>MeasureInputsANDResults!G270</f>
        <v>R-11</v>
      </c>
      <c r="G48" s="291" t="s">
        <v>324</v>
      </c>
      <c r="H48" s="291" t="str">
        <f t="shared" si="4"/>
        <v>DuctInsulation - R-4.2 to R-11 - Heating Zone 1</v>
      </c>
      <c r="I48" s="303">
        <f>SUMPRODUCT(MeasureInputsANDResults!I270:M270,inputWeightings!$B$20:$F$20)</f>
        <v>31.467850715367931</v>
      </c>
      <c r="J48" s="304">
        <f>SUMPRODUCT(MeasureInputsANDResults!N270:R270,inputWeightings!$B$20:$F$20)</f>
        <v>0.81684434463683742</v>
      </c>
      <c r="K48" s="303">
        <f>MeasureInputsANDResults!I216*inputWeightings!$B$20+MeasureInputsANDResults!L216*inputWeightings!$C$20+MeasureInputsANDResults!O216*inputWeightings!$D$20+MeasureInputsANDResults!R216*inputWeightings!$E$20+MeasureInputsANDResults!U216*inputWeightings!$F$20</f>
        <v>0</v>
      </c>
      <c r="L48" s="303">
        <f>MeasureInputsANDResults!J216*inputWeightings!$B$20+MeasureInputsANDResults!M216*inputWeightings!$C$20+MeasureInputsANDResults!P216*inputWeightings!$D$20+MeasureInputsANDResults!S216*inputWeightings!$E$20+MeasureInputsANDResults!V216*inputWeightings!$F$20</f>
        <v>25.407716014997813</v>
      </c>
      <c r="M48" s="347">
        <f>MeasureInputsANDResults!K216*inputWeightings!$B$20+MeasureInputsANDResults!N216*inputWeightings!$C$20+MeasureInputsANDResults!Q216*inputWeightings!$D$20+MeasureInputsANDResults!T216*inputWeightings!$E$20+MeasureInputsANDResults!W216*inputWeightings!$F$20</f>
        <v>42.584661764706347</v>
      </c>
      <c r="N48" s="348">
        <f>SUMPRODUCT(MeasureInputsANDResults!X216:AB216,inputWeightings!$B$33:$F$33)</f>
        <v>4.9867539199998641</v>
      </c>
    </row>
    <row r="49" spans="1:14" ht="15">
      <c r="A49" s="253" t="str">
        <f>MeasureInputsANDResults!B271</f>
        <v>HeatP10</v>
      </c>
      <c r="B49" s="254" t="str">
        <f>MeasureInputsANDResults!C271</f>
        <v>HeatPump10</v>
      </c>
      <c r="C49" s="254" t="str">
        <f>MeasureInputsANDResults!D271</f>
        <v>HeatPump</v>
      </c>
      <c r="D49" s="254">
        <f>MeasureInputsANDResults!E271</f>
        <v>10</v>
      </c>
      <c r="E49" s="254" t="str">
        <f>MeasureInputsANDResults!F271</f>
        <v>7.7/13</v>
      </c>
      <c r="F49" s="254" t="str">
        <f>MeasureInputsANDResults!G271</f>
        <v>8.5/13</v>
      </c>
      <c r="G49" s="254" t="s">
        <v>324</v>
      </c>
      <c r="H49" s="254" t="str">
        <f>C49&amp;" Upgrade - "&amp;E49&amp;" to "&amp;F49&amp;" - "&amp;G49</f>
        <v>HeatPump Upgrade - 7.7/13 to 8.5/13 - Heating Zone 1</v>
      </c>
      <c r="I49" s="301"/>
      <c r="J49" s="302"/>
      <c r="K49" s="301"/>
      <c r="L49" s="301"/>
      <c r="M49" s="345">
        <f>MeasureInputsANDResults!K217*inputWeightings!$B$20+MeasureInputsANDResults!N217*inputWeightings!$C$20+MeasureInputsANDResults!Q217*inputWeightings!$D$20+MeasureInputsANDResults!T217*inputWeightings!$E$20+MeasureInputsANDResults!W217*inputWeightings!$F$20</f>
        <v>432.90699837662322</v>
      </c>
      <c r="N49" s="346">
        <f>SUMPRODUCT(MeasureInputsANDResults!X217:AB217,inputWeightings!$B$33:$F$33)</f>
        <v>0</v>
      </c>
    </row>
    <row r="50" spans="1:14" ht="15">
      <c r="A50" s="253" t="str">
        <f>MeasureInputsANDResults!B272</f>
        <v>HeatP11</v>
      </c>
      <c r="B50" s="254" t="str">
        <f>MeasureInputsANDResults!C272</f>
        <v>HeatPump11</v>
      </c>
      <c r="C50" s="254" t="str">
        <f>MeasureInputsANDResults!D272</f>
        <v>HeatPump</v>
      </c>
      <c r="D50" s="254">
        <f>MeasureInputsANDResults!E272</f>
        <v>11</v>
      </c>
      <c r="E50" s="254" t="str">
        <f>MeasureInputsANDResults!F272</f>
        <v>7.7/13</v>
      </c>
      <c r="F50" s="254" t="str">
        <f>MeasureInputsANDResults!G272</f>
        <v>9.0/14</v>
      </c>
      <c r="G50" s="254" t="s">
        <v>324</v>
      </c>
      <c r="H50" s="254" t="str">
        <f t="shared" ref="H50:H52" si="5">C50&amp;" Upgrade - "&amp;E50&amp;" to "&amp;F50&amp;" - "&amp;G50</f>
        <v>HeatPump Upgrade - 7.7/13 to 9.0/14 - Heating Zone 1</v>
      </c>
      <c r="I50" s="301"/>
      <c r="J50" s="302"/>
      <c r="K50" s="301"/>
      <c r="L50" s="301"/>
      <c r="M50" s="345">
        <f>MeasureInputsANDResults!K218*inputWeightings!$B$20+MeasureInputsANDResults!N218*inputWeightings!$C$20+MeasureInputsANDResults!Q218*inputWeightings!$D$20+MeasureInputsANDResults!T218*inputWeightings!$E$20+MeasureInputsANDResults!W218*inputWeightings!$F$20</f>
        <v>632.84799837662331</v>
      </c>
      <c r="N50" s="346">
        <f>SUMPRODUCT(MeasureInputsANDResults!X218:AB218,inputWeightings!$B$33:$F$33)</f>
        <v>142.48755442794632</v>
      </c>
    </row>
    <row r="51" spans="1:14" ht="15">
      <c r="A51" s="290" t="str">
        <f>MeasureInputsANDResults!B273</f>
        <v>HeatP12</v>
      </c>
      <c r="B51" s="291" t="str">
        <f>MeasureInputsANDResults!C273</f>
        <v>HeatPump12</v>
      </c>
      <c r="C51" s="291" t="str">
        <f>MeasureInputsANDResults!D273</f>
        <v>HeatPump</v>
      </c>
      <c r="D51" s="291">
        <f>MeasureInputsANDResults!E273</f>
        <v>12</v>
      </c>
      <c r="E51" s="291" t="str">
        <f>MeasureInputsANDResults!F273</f>
        <v>7.7/13</v>
      </c>
      <c r="F51" s="291" t="str">
        <f>MeasureInputsANDResults!G273</f>
        <v>8.2/13</v>
      </c>
      <c r="G51" s="291" t="s">
        <v>324</v>
      </c>
      <c r="H51" s="291" t="str">
        <f t="shared" si="5"/>
        <v>HeatPump Upgrade - 7.7/13 to 8.2/13 - Heating Zone 1</v>
      </c>
      <c r="I51" s="303"/>
      <c r="J51" s="304"/>
      <c r="K51" s="303"/>
      <c r="L51" s="303"/>
      <c r="M51" s="347">
        <f>MeasureInputsANDResults!K219*inputWeightings!$B$20+MeasureInputsANDResults!N219*inputWeightings!$C$20+MeasureInputsANDResults!Q219*inputWeightings!$D$20+MeasureInputsANDResults!T219*inputWeightings!$E$20+MeasureInputsANDResults!W219*inputWeightings!$F$20</f>
        <v>301.23853496198876</v>
      </c>
      <c r="N51" s="346">
        <f>SUMPRODUCT(MeasureInputsANDResults!X219:AB219,inputWeightings!$B$33:$F$33)</f>
        <v>0</v>
      </c>
    </row>
    <row r="52" spans="1:14" ht="15.75" thickBot="1">
      <c r="A52" s="305" t="str">
        <f>MeasureInputsANDResults!B274</f>
        <v>HPCnt10</v>
      </c>
      <c r="B52" s="306" t="str">
        <f>MeasureInputsANDResults!C274</f>
        <v>HPCntrls10</v>
      </c>
      <c r="C52" s="306" t="str">
        <f>MeasureInputsANDResults!D274</f>
        <v>HPCntrls</v>
      </c>
      <c r="D52" s="306">
        <f>MeasureInputsANDResults!E274</f>
        <v>10</v>
      </c>
      <c r="E52" s="306" t="str">
        <f>MeasureInputsANDResults!F274</f>
        <v>Standard</v>
      </c>
      <c r="F52" s="306" t="str">
        <f>MeasureInputsANDResults!G274</f>
        <v>PTCS</v>
      </c>
      <c r="G52" s="306" t="s">
        <v>324</v>
      </c>
      <c r="H52" s="306" t="str">
        <f t="shared" si="5"/>
        <v>HPCntrls Upgrade - Standard to PTCS - Heating Zone 1</v>
      </c>
      <c r="I52" s="307"/>
      <c r="J52" s="308"/>
      <c r="K52" s="307"/>
      <c r="L52" s="307"/>
      <c r="M52" s="349">
        <f>MeasureInputsANDResults!K220*inputWeightings!$B$20+MeasureInputsANDResults!N220*inputWeightings!$C$20+MeasureInputsANDResults!Q220*inputWeightings!$D$20+MeasureInputsANDResults!T220*inputWeightings!$E$20+MeasureInputsANDResults!W220*inputWeightings!$F$20</f>
        <v>960.11493382352933</v>
      </c>
      <c r="N52" s="350">
        <f>SUMPRODUCT(MeasureInputsANDResults!X220:AB220,inputWeightings!B20:F20)</f>
        <v>-4.7061317825000382</v>
      </c>
    </row>
    <row r="53" spans="1:14" ht="15">
      <c r="A53" s="232" t="str">
        <f>A7</f>
        <v>Walls10</v>
      </c>
      <c r="B53" s="233" t="str">
        <f t="shared" ref="B53:F53" si="6">B7</f>
        <v>Walls10</v>
      </c>
      <c r="C53" s="233" t="str">
        <f t="shared" si="6"/>
        <v>Walls</v>
      </c>
      <c r="D53" s="233">
        <f t="shared" si="6"/>
        <v>10</v>
      </c>
      <c r="E53" s="233" t="str">
        <f t="shared" si="6"/>
        <v>R-0</v>
      </c>
      <c r="F53" s="233" t="str">
        <f t="shared" si="6"/>
        <v>R-11</v>
      </c>
      <c r="G53" s="234" t="s">
        <v>325</v>
      </c>
      <c r="H53" s="233" t="str">
        <f t="shared" ref="H53:H63" si="7">"Multi Family Weatherization - Insulate "&amp;C53&amp;" - "&amp;E53&amp;" to "&amp;F53&amp;" - "&amp;G53</f>
        <v>Multi Family Weatherization - Insulate Walls - R-0 to R-11 - Heating Zone 2</v>
      </c>
      <c r="I53" s="235">
        <f>SUMPRODUCT(MeasureInputsANDResults!I229:M229,inputWeightings!$B$21:$F$21)</f>
        <v>1.7363106022210568</v>
      </c>
      <c r="J53" s="236">
        <f>SUMPRODUCT(MeasureInputsANDResults!N229:R229,inputWeightings!$B$21:$F$21)</f>
        <v>5.1495971186650211E-4</v>
      </c>
      <c r="K53" s="235">
        <f>MeasureInputsANDResults!I175*inputWeightings!$B$21+MeasureInputsANDResults!L175*inputWeightings!$C$21+MeasureInputsANDResults!O175*inputWeightings!$D$21+MeasureInputsANDResults!R175*inputWeightings!$E$21+MeasureInputsANDResults!U175*inputWeightings!$F$21</f>
        <v>1.7455528503752906</v>
      </c>
      <c r="L53" s="235">
        <f>MeasureInputsANDResults!J175*inputWeightings!$B$21+MeasureInputsANDResults!M175*inputWeightings!$C$21+MeasureInputsANDResults!P175*inputWeightings!$D$21+MeasureInputsANDResults!S175*inputWeightings!$E$21+MeasureInputsANDResults!V175*inputWeightings!$F$21</f>
        <v>1.7844209808021618</v>
      </c>
      <c r="M53" s="326">
        <f>MeasureInputsANDResults!K175*inputWeightings!$B$21+MeasureInputsANDResults!N175*inputWeightings!$C$21+MeasureInputsANDResults!Q175*inputWeightings!$D$21+MeasureInputsANDResults!T175*inputWeightings!$E$21+MeasureInputsANDResults!W175*inputWeightings!$F$21</f>
        <v>0.94762901670299338</v>
      </c>
      <c r="N53" s="327">
        <f>SUMPRODUCT(MeasureInputsANDResults!X175:AB175,inputWeightings!$B$34:$F$34)</f>
        <v>-1.4720891361311062E-3</v>
      </c>
    </row>
    <row r="54" spans="1:14" ht="15">
      <c r="A54" s="239" t="str">
        <f t="shared" ref="A54:F69" si="8">A8</f>
        <v>BGWal10</v>
      </c>
      <c r="B54" s="240" t="str">
        <f t="shared" si="8"/>
        <v>BGWalls10</v>
      </c>
      <c r="C54" s="240" t="str">
        <f t="shared" si="8"/>
        <v>BGWalls</v>
      </c>
      <c r="D54" s="240">
        <f t="shared" si="8"/>
        <v>10</v>
      </c>
      <c r="E54" s="240" t="str">
        <f t="shared" si="8"/>
        <v>R-0</v>
      </c>
      <c r="F54" s="240" t="str">
        <f t="shared" si="8"/>
        <v>R-11</v>
      </c>
      <c r="G54" s="241" t="s">
        <v>325</v>
      </c>
      <c r="H54" s="240" t="str">
        <f t="shared" si="7"/>
        <v>Multi Family Weatherization - Insulate BGWalls - R-0 to R-11 - Heating Zone 2</v>
      </c>
      <c r="I54" s="242">
        <f>SUMPRODUCT(MeasureInputsANDResults!I230:M230,inputWeightings!$B$21:$F$21)</f>
        <v>0</v>
      </c>
      <c r="J54" s="243">
        <f>SUMPRODUCT(MeasureInputsANDResults!N230:R230,inputWeightings!$B$21:$F$21)</f>
        <v>0</v>
      </c>
      <c r="K54" s="242">
        <f>MeasureInputsANDResults!I176*inputWeightings!$B$21+MeasureInputsANDResults!L176*inputWeightings!$C$21+MeasureInputsANDResults!O176*inputWeightings!$D$21+MeasureInputsANDResults!R176*inputWeightings!$E$21+MeasureInputsANDResults!U176*inputWeightings!$F$21</f>
        <v>0</v>
      </c>
      <c r="L54" s="242">
        <f>MeasureInputsANDResults!J176*inputWeightings!$B$21+MeasureInputsANDResults!M176*inputWeightings!$C$21+MeasureInputsANDResults!P176*inputWeightings!$D$21+MeasureInputsANDResults!S176*inputWeightings!$E$21+MeasureInputsANDResults!V176*inputWeightings!$F$21</f>
        <v>0</v>
      </c>
      <c r="M54" s="328">
        <f>MeasureInputsANDResults!K176*inputWeightings!$B$21+MeasureInputsANDResults!N176*inputWeightings!$C$21+MeasureInputsANDResults!Q176*inputWeightings!$D$21+MeasureInputsANDResults!T176*inputWeightings!$E$21+MeasureInputsANDResults!W176*inputWeightings!$F$21</f>
        <v>0</v>
      </c>
      <c r="N54" s="329">
        <f>SUMPRODUCT(MeasureInputsANDResults!X176:AB176,inputWeightings!$B$34:$F$34)</f>
        <v>0</v>
      </c>
    </row>
    <row r="55" spans="1:14" ht="15">
      <c r="A55" s="244" t="str">
        <f t="shared" si="8"/>
        <v>Floor10</v>
      </c>
      <c r="B55" s="245" t="str">
        <f t="shared" si="8"/>
        <v>Floors10</v>
      </c>
      <c r="C55" s="245" t="str">
        <f t="shared" si="8"/>
        <v>Floors</v>
      </c>
      <c r="D55" s="245">
        <f t="shared" si="8"/>
        <v>10</v>
      </c>
      <c r="E55" s="245" t="str">
        <f t="shared" si="8"/>
        <v>R-0</v>
      </c>
      <c r="F55" s="245" t="str">
        <f t="shared" si="8"/>
        <v>R-19</v>
      </c>
      <c r="G55" s="246" t="s">
        <v>325</v>
      </c>
      <c r="H55" s="245" t="str">
        <f t="shared" si="7"/>
        <v>Multi Family Weatherization - Insulate Floors - R-0 to R-19 - Heating Zone 2</v>
      </c>
      <c r="I55" s="247">
        <f>SUMPRODUCT(MeasureInputsANDResults!I231:M231,inputWeightings!$B$21:$F$21)</f>
        <v>0.70330588692933904</v>
      </c>
      <c r="J55" s="248">
        <f>SUMPRODUCT(MeasureInputsANDResults!N231:R231,inputWeightings!$B$21:$F$21)</f>
        <v>-8.3965021580551698E-3</v>
      </c>
      <c r="K55" s="247">
        <f>MeasureInputsANDResults!I177*inputWeightings!$B$21+MeasureInputsANDResults!L177*inputWeightings!$C$21+MeasureInputsANDResults!O177*inputWeightings!$D$21+MeasureInputsANDResults!R177*inputWeightings!$E$21+MeasureInputsANDResults!U177*inputWeightings!$F$21</f>
        <v>0.70850569625695259</v>
      </c>
      <c r="L55" s="247">
        <f>MeasureInputsANDResults!J177*inputWeightings!$B$21+MeasureInputsANDResults!M177*inputWeightings!$C$21+MeasureInputsANDResults!P177*inputWeightings!$D$21+MeasureInputsANDResults!S177*inputWeightings!$E$21+MeasureInputsANDResults!V177*inputWeightings!$F$21</f>
        <v>0.69790597720695102</v>
      </c>
      <c r="M55" s="330">
        <f>MeasureInputsANDResults!K177*inputWeightings!$B$21+MeasureInputsANDResults!N177*inputWeightings!$C$21+MeasureInputsANDResults!Q177*inputWeightings!$D$21+MeasureInputsANDResults!T177*inputWeightings!$E$21+MeasureInputsANDResults!W177*inputWeightings!$F$21</f>
        <v>0.31914214296948717</v>
      </c>
      <c r="N55" s="331">
        <f>SUMPRODUCT(MeasureInputsANDResults!X177:AB177,inputWeightings!$B$34:$F$34)</f>
        <v>-8.7127406679545411E-2</v>
      </c>
    </row>
    <row r="56" spans="1:14" ht="15">
      <c r="A56" s="253" t="str">
        <f t="shared" si="8"/>
        <v>Floor11</v>
      </c>
      <c r="B56" s="254" t="str">
        <f t="shared" si="8"/>
        <v>Floors11</v>
      </c>
      <c r="C56" s="254" t="str">
        <f t="shared" si="8"/>
        <v>Floors</v>
      </c>
      <c r="D56" s="254">
        <f t="shared" si="8"/>
        <v>11</v>
      </c>
      <c r="E56" s="254" t="str">
        <f t="shared" si="8"/>
        <v>R-0</v>
      </c>
      <c r="F56" s="254" t="str">
        <f t="shared" si="8"/>
        <v>R-25</v>
      </c>
      <c r="G56" s="255" t="s">
        <v>325</v>
      </c>
      <c r="H56" s="254" t="str">
        <f t="shared" si="7"/>
        <v>Multi Family Weatherization - Insulate Floors - R-0 to R-25 - Heating Zone 2</v>
      </c>
      <c r="I56" s="256">
        <f>SUMPRODUCT(MeasureInputsANDResults!I232:M232,inputWeightings!$B$21:$F$21)</f>
        <v>0.80723068116241437</v>
      </c>
      <c r="J56" s="257">
        <f>SUMPRODUCT(MeasureInputsANDResults!N232:R232,inputWeightings!$B$21:$F$21)</f>
        <v>-9.7451281056555473E-3</v>
      </c>
      <c r="K56" s="256">
        <f>MeasureInputsANDResults!I178*inputWeightings!$B$21+MeasureInputsANDResults!L178*inputWeightings!$C$21+MeasureInputsANDResults!O178*inputWeightings!$D$21+MeasureInputsANDResults!R178*inputWeightings!$E$21+MeasureInputsANDResults!U178*inputWeightings!$F$21</f>
        <v>0.81318738908850308</v>
      </c>
      <c r="L56" s="256">
        <f>MeasureInputsANDResults!J178*inputWeightings!$B$21+MeasureInputsANDResults!M178*inputWeightings!$C$21+MeasureInputsANDResults!P178*inputWeightings!$D$21+MeasureInputsANDResults!S178*inputWeightings!$E$21+MeasureInputsANDResults!V178*inputWeightings!$F$21</f>
        <v>0.80122201792700509</v>
      </c>
      <c r="M56" s="332">
        <f>MeasureInputsANDResults!K178*inputWeightings!$B$21+MeasureInputsANDResults!N178*inputWeightings!$C$21+MeasureInputsANDResults!Q178*inputWeightings!$D$21+MeasureInputsANDResults!T178*inputWeightings!$E$21+MeasureInputsANDResults!W178*inputWeightings!$F$21</f>
        <v>0.36682181110412093</v>
      </c>
      <c r="N56" s="333">
        <f>SUMPRODUCT(MeasureInputsANDResults!X178:AB178,inputWeightings!$B$34:$F$34)</f>
        <v>-0.10103703914385023</v>
      </c>
    </row>
    <row r="57" spans="1:14" ht="15">
      <c r="A57" s="244" t="str">
        <f t="shared" si="8"/>
        <v>Floor12</v>
      </c>
      <c r="B57" s="245" t="str">
        <f t="shared" si="8"/>
        <v>Floors12</v>
      </c>
      <c r="C57" s="245" t="str">
        <f t="shared" si="8"/>
        <v>Floors</v>
      </c>
      <c r="D57" s="245">
        <f t="shared" si="8"/>
        <v>12</v>
      </c>
      <c r="E57" s="245" t="str">
        <f t="shared" si="8"/>
        <v>R-0</v>
      </c>
      <c r="F57" s="245" t="str">
        <f t="shared" si="8"/>
        <v>R-30</v>
      </c>
      <c r="G57" s="246" t="s">
        <v>325</v>
      </c>
      <c r="H57" s="245" t="str">
        <f t="shared" si="7"/>
        <v>Multi Family Weatherization - Insulate Floors - R-0 to R-30 - Heating Zone 2</v>
      </c>
      <c r="I57" s="247">
        <f>SUMPRODUCT(MeasureInputsANDResults!I233:M233,inputWeightings!$B$21:$F$21)</f>
        <v>0.91705522577031573</v>
      </c>
      <c r="J57" s="248">
        <f>SUMPRODUCT(MeasureInputsANDResults!N233:R233,inputWeightings!$B$21:$F$21)</f>
        <v>-1.1201175382685504E-2</v>
      </c>
      <c r="K57" s="247">
        <f>MeasureInputsANDResults!I179*inputWeightings!$B$21+MeasureInputsANDResults!L179*inputWeightings!$C$21+MeasureInputsANDResults!O179*inputWeightings!$D$21+MeasureInputsANDResults!R179*inputWeightings!$E$21+MeasureInputsANDResults!U179*inputWeightings!$F$21</f>
        <v>0.92380901266016036</v>
      </c>
      <c r="L57" s="247">
        <f>MeasureInputsANDResults!J179*inputWeightings!$B$21+MeasureInputsANDResults!M179*inputWeightings!$C$21+MeasureInputsANDResults!P179*inputWeightings!$D$21+MeasureInputsANDResults!S179*inputWeightings!$E$21+MeasureInputsANDResults!V179*inputWeightings!$F$21</f>
        <v>0.91045361186590912</v>
      </c>
      <c r="M57" s="330">
        <f>MeasureInputsANDResults!K179*inputWeightings!$B$21+MeasureInputsANDResults!N179*inputWeightings!$C$21+MeasureInputsANDResults!Q179*inputWeightings!$D$21+MeasureInputsANDResults!T179*inputWeightings!$E$21+MeasureInputsANDResults!W179*inputWeightings!$F$21</f>
        <v>0.417327157124882</v>
      </c>
      <c r="N57" s="331">
        <f>SUMPRODUCT(MeasureInputsANDResults!X179:AB179,inputWeightings!$B$34:$F$34)</f>
        <v>-0.11603676606430474</v>
      </c>
    </row>
    <row r="58" spans="1:14" ht="15">
      <c r="A58" s="253" t="str">
        <f t="shared" si="8"/>
        <v>Floor13</v>
      </c>
      <c r="B58" s="254" t="str">
        <f t="shared" si="8"/>
        <v>Floors13</v>
      </c>
      <c r="C58" s="254" t="str">
        <f t="shared" si="8"/>
        <v>Floors</v>
      </c>
      <c r="D58" s="254">
        <f t="shared" si="8"/>
        <v>13</v>
      </c>
      <c r="E58" s="254" t="str">
        <f t="shared" si="8"/>
        <v>R-0</v>
      </c>
      <c r="F58" s="254" t="str">
        <f t="shared" si="8"/>
        <v>R-38</v>
      </c>
      <c r="G58" s="255" t="s">
        <v>325</v>
      </c>
      <c r="H58" s="254" t="str">
        <f t="shared" si="7"/>
        <v>Multi Family Weatherization - Insulate Floors - R-0 to R-38 - Heating Zone 2</v>
      </c>
      <c r="I58" s="256">
        <f>SUMPRODUCT(MeasureInputsANDResults!I234:M234,inputWeightings!$B$21:$F$21)</f>
        <v>0.94632193781577401</v>
      </c>
      <c r="J58" s="257">
        <f>SUMPRODUCT(MeasureInputsANDResults!N234:R234,inputWeightings!$B$21:$F$21)</f>
        <v>-1.1595089799543984E-2</v>
      </c>
      <c r="K58" s="256">
        <f>MeasureInputsANDResults!I180*inputWeightings!$B$21+MeasureInputsANDResults!L180*inputWeightings!$C$21+MeasureInputsANDResults!O180*inputWeightings!$D$21+MeasureInputsANDResults!R180*inputWeightings!$E$21+MeasureInputsANDResults!U180*inputWeightings!$F$21</f>
        <v>0.95328931818395768</v>
      </c>
      <c r="L58" s="256">
        <f>MeasureInputsANDResults!J180*inputWeightings!$B$21+MeasureInputsANDResults!M180*inputWeightings!$C$21+MeasureInputsANDResults!P180*inputWeightings!$D$21+MeasureInputsANDResults!S180*inputWeightings!$E$21+MeasureInputsANDResults!V180*inputWeightings!$F$21</f>
        <v>0.93957070427286027</v>
      </c>
      <c r="M58" s="332">
        <f>MeasureInputsANDResults!K180*inputWeightings!$B$21+MeasureInputsANDResults!N180*inputWeightings!$C$21+MeasureInputsANDResults!Q180*inputWeightings!$D$21+MeasureInputsANDResults!T180*inputWeightings!$E$21+MeasureInputsANDResults!W180*inputWeightings!$F$21</f>
        <v>0.43068107502359237</v>
      </c>
      <c r="N58" s="333">
        <f>SUMPRODUCT(MeasureInputsANDResults!X180:AB180,inputWeightings!$B$34:$F$34)</f>
        <v>-0.12008892624893044</v>
      </c>
    </row>
    <row r="59" spans="1:14" ht="15">
      <c r="A59" s="253" t="str">
        <f t="shared" si="8"/>
        <v>Floor14</v>
      </c>
      <c r="B59" s="254" t="str">
        <f t="shared" si="8"/>
        <v>Floors14</v>
      </c>
      <c r="C59" s="254" t="str">
        <f t="shared" si="8"/>
        <v>Floors</v>
      </c>
      <c r="D59" s="254">
        <f t="shared" si="8"/>
        <v>14</v>
      </c>
      <c r="E59" s="254" t="str">
        <f t="shared" si="8"/>
        <v>R-19</v>
      </c>
      <c r="F59" s="254" t="str">
        <f t="shared" si="8"/>
        <v>R-25</v>
      </c>
      <c r="G59" s="255" t="s">
        <v>325</v>
      </c>
      <c r="H59" s="254" t="str">
        <f t="shared" si="7"/>
        <v>Multi Family Weatherization - Insulate Floors - R-19 to R-25 - Heating Zone 2</v>
      </c>
      <c r="I59" s="256">
        <f>SUMPRODUCT(MeasureInputsANDResults!I235:M235,inputWeightings!$B$21:$F$21)</f>
        <v>0.10392479423307531</v>
      </c>
      <c r="J59" s="257">
        <f>SUMPRODUCT(MeasureInputsANDResults!N235:R235,inputWeightings!$B$21:$F$21)</f>
        <v>-1.3486259476003773E-3</v>
      </c>
      <c r="K59" s="256">
        <f>MeasureInputsANDResults!I181*inputWeightings!$B$21+MeasureInputsANDResults!L181*inputWeightings!$C$21+MeasureInputsANDResults!O181*inputWeightings!$D$21+MeasureInputsANDResults!R181*inputWeightings!$E$21+MeasureInputsANDResults!U181*inputWeightings!$F$21</f>
        <v>0.10468169283155054</v>
      </c>
      <c r="L59" s="256">
        <f>MeasureInputsANDResults!J181*inputWeightings!$B$21+MeasureInputsANDResults!M181*inputWeightings!$C$21+MeasureInputsANDResults!P181*inputWeightings!$D$21+MeasureInputsANDResults!S181*inputWeightings!$E$21+MeasureInputsANDResults!V181*inputWeightings!$F$21</f>
        <v>0.10331604072005401</v>
      </c>
      <c r="M59" s="332">
        <f>MeasureInputsANDResults!K181*inputWeightings!$B$21+MeasureInputsANDResults!N181*inputWeightings!$C$21+MeasureInputsANDResults!Q181*inputWeightings!$D$21+MeasureInputsANDResults!T181*inputWeightings!$E$21+MeasureInputsANDResults!W181*inputWeightings!$F$21</f>
        <v>4.7679668134633701E-2</v>
      </c>
      <c r="N59" s="333">
        <f>SUMPRODUCT(MeasureInputsANDResults!X181:AB181,inputWeightings!$B$34:$F$34)</f>
        <v>-1.3909632464304803E-2</v>
      </c>
    </row>
    <row r="60" spans="1:14" ht="15">
      <c r="A60" s="244" t="str">
        <f t="shared" si="8"/>
        <v>Floor15</v>
      </c>
      <c r="B60" s="245" t="str">
        <f t="shared" si="8"/>
        <v>Floors15</v>
      </c>
      <c r="C60" s="245" t="str">
        <f t="shared" si="8"/>
        <v>Floors</v>
      </c>
      <c r="D60" s="245">
        <f t="shared" si="8"/>
        <v>15</v>
      </c>
      <c r="E60" s="245" t="str">
        <f t="shared" si="8"/>
        <v>R-19</v>
      </c>
      <c r="F60" s="245" t="str">
        <f t="shared" si="8"/>
        <v>R-30</v>
      </c>
      <c r="G60" s="246" t="s">
        <v>325</v>
      </c>
      <c r="H60" s="245" t="str">
        <f t="shared" si="7"/>
        <v>Multi Family Weatherization - Insulate Floors - R-19 to R-30 - Heating Zone 2</v>
      </c>
      <c r="I60" s="247">
        <f>SUMPRODUCT(MeasureInputsANDResults!I236:M236,inputWeightings!$B$21:$F$21)</f>
        <v>0.21374933884097663</v>
      </c>
      <c r="J60" s="248">
        <f>SUMPRODUCT(MeasureInputsANDResults!N236:R236,inputWeightings!$B$21:$F$21)</f>
        <v>-2.8046732246303336E-3</v>
      </c>
      <c r="K60" s="247">
        <f>MeasureInputsANDResults!I182*inputWeightings!$B$21+MeasureInputsANDResults!L182*inputWeightings!$C$21+MeasureInputsANDResults!O182*inputWeightings!$D$21+MeasureInputsANDResults!R182*inputWeightings!$E$21+MeasureInputsANDResults!U182*inputWeightings!$F$21</f>
        <v>0.21530331640320782</v>
      </c>
      <c r="L60" s="247">
        <f>MeasureInputsANDResults!J182*inputWeightings!$B$21+MeasureInputsANDResults!M182*inputWeightings!$C$21+MeasureInputsANDResults!P182*inputWeightings!$D$21+MeasureInputsANDResults!S182*inputWeightings!$E$21+MeasureInputsANDResults!V182*inputWeightings!$F$21</f>
        <v>0.21254763465895801</v>
      </c>
      <c r="M60" s="330">
        <f>MeasureInputsANDResults!K182*inputWeightings!$B$21+MeasureInputsANDResults!N182*inputWeightings!$C$21+MeasureInputsANDResults!Q182*inputWeightings!$D$21+MeasureInputsANDResults!T182*inputWeightings!$E$21+MeasureInputsANDResults!W182*inputWeightings!$F$21</f>
        <v>9.8185014155394809E-2</v>
      </c>
      <c r="N60" s="331">
        <f>SUMPRODUCT(MeasureInputsANDResults!X182:AB182,inputWeightings!$B$34:$F$34)</f>
        <v>-2.8909359384759338E-2</v>
      </c>
    </row>
    <row r="61" spans="1:14" ht="15">
      <c r="A61" s="253" t="str">
        <f t="shared" si="8"/>
        <v>Floor16</v>
      </c>
      <c r="B61" s="254" t="str">
        <f t="shared" si="8"/>
        <v>Floors16</v>
      </c>
      <c r="C61" s="254" t="str">
        <f t="shared" si="8"/>
        <v>Floors</v>
      </c>
      <c r="D61" s="254">
        <f t="shared" si="8"/>
        <v>16</v>
      </c>
      <c r="E61" s="254" t="str">
        <f t="shared" si="8"/>
        <v>R-19</v>
      </c>
      <c r="F61" s="254" t="str">
        <f t="shared" si="8"/>
        <v>R-38</v>
      </c>
      <c r="G61" s="255" t="s">
        <v>325</v>
      </c>
      <c r="H61" s="254" t="str">
        <f t="shared" si="7"/>
        <v>Multi Family Weatherization - Insulate Floors - R-19 to R-38 - Heating Zone 2</v>
      </c>
      <c r="I61" s="256">
        <f>SUMPRODUCT(MeasureInputsANDResults!I237:M237,inputWeightings!$B$21:$F$21)</f>
        <v>0.24301605088643469</v>
      </c>
      <c r="J61" s="257">
        <f>SUMPRODUCT(MeasureInputsANDResults!N237:R237,inputWeightings!$B$21:$F$21)</f>
        <v>-3.1985876414888153E-3</v>
      </c>
      <c r="K61" s="256">
        <f>MeasureInputsANDResults!I183*inputWeightings!$B$21+MeasureInputsANDResults!L183*inputWeightings!$C$21+MeasureInputsANDResults!O183*inputWeightings!$D$21+MeasureInputsANDResults!R183*inputWeightings!$E$21+MeasureInputsANDResults!U183*inputWeightings!$F$21</f>
        <v>0.24478362192700506</v>
      </c>
      <c r="L61" s="256">
        <f>MeasureInputsANDResults!J183*inputWeightings!$B$21+MeasureInputsANDResults!M183*inputWeightings!$C$21+MeasureInputsANDResults!P183*inputWeightings!$D$21+MeasureInputsANDResults!S183*inputWeightings!$E$21+MeasureInputsANDResults!V183*inputWeightings!$F$21</f>
        <v>0.24166472706590922</v>
      </c>
      <c r="M61" s="332">
        <f>MeasureInputsANDResults!K183*inputWeightings!$B$21+MeasureInputsANDResults!N183*inputWeightings!$C$21+MeasureInputsANDResults!Q183*inputWeightings!$D$21+MeasureInputsANDResults!T183*inputWeightings!$E$21+MeasureInputsANDResults!W183*inputWeightings!$F$21</f>
        <v>0.11153893205410519</v>
      </c>
      <c r="N61" s="333">
        <f>SUMPRODUCT(MeasureInputsANDResults!X183:AB183,inputWeightings!$B$34:$F$34)</f>
        <v>-3.2961519569385048E-2</v>
      </c>
    </row>
    <row r="62" spans="1:14" ht="15">
      <c r="A62" s="253" t="str">
        <f t="shared" si="8"/>
        <v>Floor17</v>
      </c>
      <c r="B62" s="254" t="str">
        <f t="shared" si="8"/>
        <v>Floors17</v>
      </c>
      <c r="C62" s="254" t="str">
        <f t="shared" si="8"/>
        <v>Floors</v>
      </c>
      <c r="D62" s="254">
        <f t="shared" si="8"/>
        <v>17</v>
      </c>
      <c r="E62" s="254" t="str">
        <f t="shared" si="8"/>
        <v>R-11</v>
      </c>
      <c r="F62" s="254" t="str">
        <f t="shared" si="8"/>
        <v>R-30</v>
      </c>
      <c r="G62" s="255" t="s">
        <v>325</v>
      </c>
      <c r="H62" s="254" t="str">
        <f t="shared" si="7"/>
        <v>Multi Family Weatherization - Insulate Floors - R-11 to R-30 - Heating Zone 2</v>
      </c>
      <c r="I62" s="256">
        <f>SUMPRODUCT(MeasureInputsANDResults!I238:M238,inputWeightings!$B$21:$F$21)</f>
        <v>2.0312985423580558</v>
      </c>
      <c r="J62" s="257">
        <f>SUMPRODUCT(MeasureInputsANDResults!N238:R238,inputWeightings!$B$21:$F$21)</f>
        <v>-2.2193815739167386E-2</v>
      </c>
      <c r="K62" s="256">
        <f>MeasureInputsANDResults!I184*inputWeightings!$B$21+MeasureInputsANDResults!L184*inputWeightings!$C$21+MeasureInputsANDResults!O184*inputWeightings!$D$21+MeasureInputsANDResults!R184*inputWeightings!$E$21+MeasureInputsANDResults!U184*inputWeightings!$F$21</f>
        <v>2.0464716319994647</v>
      </c>
      <c r="L62" s="256">
        <f>MeasureInputsANDResults!J184*inputWeightings!$B$21+MeasureInputsANDResults!M184*inputWeightings!$C$21+MeasureInputsANDResults!P184*inputWeightings!$D$21+MeasureInputsANDResults!S184*inputWeightings!$E$21+MeasureInputsANDResults!V184*inputWeightings!$F$21</f>
        <v>2.0110225126167114</v>
      </c>
      <c r="M62" s="332">
        <f>MeasureInputsANDResults!K184*inputWeightings!$B$21+MeasureInputsANDResults!N184*inputWeightings!$C$21+MeasureInputsANDResults!Q184*inputWeightings!$D$21+MeasureInputsANDResults!T184*inputWeightings!$E$21+MeasureInputsANDResults!W184*inputWeightings!$F$21</f>
        <v>0.91859514863164515</v>
      </c>
      <c r="N62" s="333">
        <f>SUMPRODUCT(MeasureInputsANDResults!X184:AB184,inputWeightings!$B$34:$F$34)</f>
        <v>-0.23228798994852945</v>
      </c>
    </row>
    <row r="63" spans="1:14" ht="15">
      <c r="A63" s="253" t="str">
        <f t="shared" si="8"/>
        <v>Floor18</v>
      </c>
      <c r="B63" s="254" t="str">
        <f t="shared" si="8"/>
        <v>Floors18</v>
      </c>
      <c r="C63" s="254" t="str">
        <f t="shared" si="8"/>
        <v>Floors</v>
      </c>
      <c r="D63" s="254">
        <f t="shared" si="8"/>
        <v>18</v>
      </c>
      <c r="E63" s="254" t="str">
        <f t="shared" si="8"/>
        <v>R-0</v>
      </c>
      <c r="F63" s="254" t="str">
        <f t="shared" si="8"/>
        <v>R-19</v>
      </c>
      <c r="G63" s="255" t="s">
        <v>325</v>
      </c>
      <c r="H63" s="254" t="str">
        <f t="shared" si="7"/>
        <v>Multi Family Weatherization - Insulate Floors - R-0 to R-19 - Heating Zone 2</v>
      </c>
      <c r="I63" s="256">
        <f>SUMPRODUCT(MeasureInputsANDResults!I239:M239,inputWeightings!$B$21:$F$21)</f>
        <v>0.70330588692933904</v>
      </c>
      <c r="J63" s="257">
        <f>SUMPRODUCT(MeasureInputsANDResults!N239:R239,inputWeightings!$B$21:$F$21)</f>
        <v>-8.3965021580551698E-3</v>
      </c>
      <c r="K63" s="256">
        <f>MeasureInputsANDResults!I185*inputWeightings!$B$21+MeasureInputsANDResults!L185*inputWeightings!$C$21+MeasureInputsANDResults!O185*inputWeightings!$D$21+MeasureInputsANDResults!R185*inputWeightings!$E$21+MeasureInputsANDResults!U185*inputWeightings!$F$21</f>
        <v>0.70850569625695259</v>
      </c>
      <c r="L63" s="256">
        <f>MeasureInputsANDResults!J185*inputWeightings!$B$21+MeasureInputsANDResults!M185*inputWeightings!$C$21+MeasureInputsANDResults!P185*inputWeightings!$D$21+MeasureInputsANDResults!S185*inputWeightings!$E$21+MeasureInputsANDResults!V185*inputWeightings!$F$21</f>
        <v>0.69790597720695102</v>
      </c>
      <c r="M63" s="332">
        <f>MeasureInputsANDResults!K185*inputWeightings!$B$21+MeasureInputsANDResults!N185*inputWeightings!$C$21+MeasureInputsANDResults!Q185*inputWeightings!$D$21+MeasureInputsANDResults!T185*inputWeightings!$E$21+MeasureInputsANDResults!W185*inputWeightings!$F$21</f>
        <v>0.31914214296948717</v>
      </c>
      <c r="N63" s="333">
        <f>SUMPRODUCT(MeasureInputsANDResults!X185:AB185,inputWeightings!$B$34:$F$34)</f>
        <v>-8.7127406679545411E-2</v>
      </c>
    </row>
    <row r="64" spans="1:14" ht="15">
      <c r="A64" s="280" t="str">
        <f t="shared" si="8"/>
        <v>Ceili10</v>
      </c>
      <c r="B64" s="281" t="str">
        <f t="shared" si="8"/>
        <v>Ceiling10</v>
      </c>
      <c r="C64" s="281" t="str">
        <f t="shared" si="8"/>
        <v>Ceiling</v>
      </c>
      <c r="D64" s="281">
        <f t="shared" si="8"/>
        <v>10</v>
      </c>
      <c r="E64" s="281" t="str">
        <f t="shared" si="8"/>
        <v>R-0</v>
      </c>
      <c r="F64" s="281" t="str">
        <f t="shared" si="8"/>
        <v>R-19</v>
      </c>
      <c r="G64" s="282" t="s">
        <v>325</v>
      </c>
      <c r="H64" s="281" t="str">
        <f t="shared" ref="H64:H72" si="9">"Multi Family Weatherization - Insulate Attic - "&amp;E64&amp;" to "&amp;F64&amp;" - "&amp;G64</f>
        <v>Multi Family Weatherization - Insulate Attic - R-0 to R-19 - Heating Zone 2</v>
      </c>
      <c r="I64" s="283">
        <f>SUMPRODUCT(MeasureInputsANDResults!I240:M240,inputWeightings!$B$21:$F$21)</f>
        <v>0.46500490389098448</v>
      </c>
      <c r="J64" s="284">
        <f>SUMPRODUCT(MeasureInputsANDResults!N240:R240,inputWeightings!$B$21:$F$21)</f>
        <v>1.0136006227393562E-2</v>
      </c>
      <c r="K64" s="283">
        <f>MeasureInputsANDResults!I186*inputWeightings!$B$21+MeasureInputsANDResults!L186*inputWeightings!$C$21+MeasureInputsANDResults!O186*inputWeightings!$D$21+MeasureInputsANDResults!R186*inputWeightings!$E$21+MeasureInputsANDResults!U186*inputWeightings!$F$21</f>
        <v>0.46821869034522712</v>
      </c>
      <c r="L64" s="283">
        <f>MeasureInputsANDResults!J186*inputWeightings!$B$21+MeasureInputsANDResults!M186*inputWeightings!$C$21+MeasureInputsANDResults!P186*inputWeightings!$D$21+MeasureInputsANDResults!S186*inputWeightings!$E$21+MeasureInputsANDResults!V186*inputWeightings!$F$21</f>
        <v>0.47962025779193168</v>
      </c>
      <c r="M64" s="334">
        <f>MeasureInputsANDResults!K186*inputWeightings!$B$21+MeasureInputsANDResults!N186*inputWeightings!$C$21+MeasureInputsANDResults!Q186*inputWeightings!$D$21+MeasureInputsANDResults!T186*inputWeightings!$E$21+MeasureInputsANDResults!W186*inputWeightings!$F$21</f>
        <v>0.19463629077540107</v>
      </c>
      <c r="N64" s="335">
        <f>SUMPRODUCT(MeasureInputsANDResults!X186:AB186,inputWeightings!$B$34:$F$34)</f>
        <v>9.5535126735454542E-2</v>
      </c>
    </row>
    <row r="65" spans="1:14" ht="15">
      <c r="A65" s="244" t="str">
        <f t="shared" si="8"/>
        <v>Ceili11</v>
      </c>
      <c r="B65" s="245" t="str">
        <f t="shared" si="8"/>
        <v>Ceiling11</v>
      </c>
      <c r="C65" s="245" t="str">
        <f t="shared" si="8"/>
        <v>Ceiling</v>
      </c>
      <c r="D65" s="245">
        <f t="shared" si="8"/>
        <v>11</v>
      </c>
      <c r="E65" s="245" t="str">
        <f t="shared" si="8"/>
        <v>R-0</v>
      </c>
      <c r="F65" s="245" t="str">
        <f t="shared" si="8"/>
        <v>R-38</v>
      </c>
      <c r="G65" s="246" t="s">
        <v>325</v>
      </c>
      <c r="H65" s="245" t="str">
        <f t="shared" si="9"/>
        <v>Multi Family Weatherization - Insulate Attic - R-0 to R-38 - Heating Zone 2</v>
      </c>
      <c r="I65" s="247">
        <f>SUMPRODUCT(MeasureInputsANDResults!I241:M241,inputWeightings!$B$21:$F$21)</f>
        <v>0.63365192841263629</v>
      </c>
      <c r="J65" s="248">
        <f>SUMPRODUCT(MeasureInputsANDResults!N241:R241,inputWeightings!$B$21:$F$21)</f>
        <v>1.3891018949314014E-2</v>
      </c>
      <c r="K65" s="247">
        <f>MeasureInputsANDResults!I187*inputWeightings!$B$21+MeasureInputsANDResults!L187*inputWeightings!$C$21+MeasureInputsANDResults!O187*inputWeightings!$D$21+MeasureInputsANDResults!R187*inputWeightings!$E$21+MeasureInputsANDResults!U187*inputWeightings!$F$21</f>
        <v>0.63802501343193219</v>
      </c>
      <c r="L65" s="247">
        <f>MeasureInputsANDResults!J187*inputWeightings!$B$21+MeasureInputsANDResults!M187*inputWeightings!$C$21+MeasureInputsANDResults!P187*inputWeightings!$D$21+MeasureInputsANDResults!S187*inputWeightings!$E$21+MeasureInputsANDResults!V187*inputWeightings!$F$21</f>
        <v>0.65356088579181815</v>
      </c>
      <c r="M65" s="330">
        <f>MeasureInputsANDResults!K187*inputWeightings!$B$21+MeasureInputsANDResults!N187*inputWeightings!$C$21+MeasureInputsANDResults!Q187*inputWeightings!$D$21+MeasureInputsANDResults!T187*inputWeightings!$E$21+MeasureInputsANDResults!W187*inputWeightings!$F$21</f>
        <v>0.26571478141711252</v>
      </c>
      <c r="N65" s="331">
        <f>SUMPRODUCT(MeasureInputsANDResults!X187:AB187,inputWeightings!$B$34:$F$34)</f>
        <v>0.13086418023556817</v>
      </c>
    </row>
    <row r="66" spans="1:14" ht="15">
      <c r="A66" s="244" t="str">
        <f t="shared" si="8"/>
        <v>Ceili12</v>
      </c>
      <c r="B66" s="245" t="str">
        <f t="shared" si="8"/>
        <v>Ceiling12</v>
      </c>
      <c r="C66" s="245" t="str">
        <f t="shared" si="8"/>
        <v>Ceiling</v>
      </c>
      <c r="D66" s="245">
        <f t="shared" si="8"/>
        <v>12</v>
      </c>
      <c r="E66" s="245" t="str">
        <f t="shared" si="8"/>
        <v>R-0</v>
      </c>
      <c r="F66" s="245" t="str">
        <f t="shared" si="8"/>
        <v>R-49</v>
      </c>
      <c r="G66" s="246" t="s">
        <v>325</v>
      </c>
      <c r="H66" s="245" t="str">
        <f t="shared" si="9"/>
        <v>Multi Family Weatherization - Insulate Attic - R-0 to R-49 - Heating Zone 2</v>
      </c>
      <c r="I66" s="247">
        <f>SUMPRODUCT(MeasureInputsANDResults!I242:M242,inputWeightings!$B$21:$F$21)</f>
        <v>0.67281293420371135</v>
      </c>
      <c r="J66" s="248">
        <f>SUMPRODUCT(MeasureInputsANDResults!N242:R242,inputWeightings!$B$21:$F$21)</f>
        <v>1.4771007281371771E-2</v>
      </c>
      <c r="K66" s="247">
        <f>MeasureInputsANDResults!I188*inputWeightings!$B$21+MeasureInputsANDResults!L188*inputWeightings!$C$21+MeasureInputsANDResults!O188*inputWeightings!$D$21+MeasureInputsANDResults!R188*inputWeightings!$E$21+MeasureInputsANDResults!U188*inputWeightings!$F$21</f>
        <v>0.67745633057068222</v>
      </c>
      <c r="L66" s="247">
        <f>MeasureInputsANDResults!J188*inputWeightings!$B$21+MeasureInputsANDResults!M188*inputWeightings!$C$21+MeasureInputsANDResults!P188*inputWeightings!$D$21+MeasureInputsANDResults!S188*inputWeightings!$E$21+MeasureInputsANDResults!V188*inputWeightings!$F$21</f>
        <v>0.69395328484238672</v>
      </c>
      <c r="M66" s="330">
        <f>MeasureInputsANDResults!K188*inputWeightings!$B$21+MeasureInputsANDResults!N188*inputWeightings!$C$21+MeasureInputsANDResults!Q188*inputWeightings!$D$21+MeasureInputsANDResults!T188*inputWeightings!$E$21+MeasureInputsANDResults!W188*inputWeightings!$F$21</f>
        <v>0.28213125601604239</v>
      </c>
      <c r="N66" s="331">
        <f>SUMPRODUCT(MeasureInputsANDResults!X188:AB188,inputWeightings!$B$34:$F$34)</f>
        <v>0.13913348517806817</v>
      </c>
    </row>
    <row r="67" spans="1:14" ht="15">
      <c r="A67" s="244" t="str">
        <f t="shared" si="8"/>
        <v>Ceili13</v>
      </c>
      <c r="B67" s="245" t="str">
        <f t="shared" si="8"/>
        <v>Ceiling13</v>
      </c>
      <c r="C67" s="245" t="str">
        <f t="shared" si="8"/>
        <v>Ceiling</v>
      </c>
      <c r="D67" s="245">
        <f t="shared" si="8"/>
        <v>13</v>
      </c>
      <c r="E67" s="245" t="str">
        <f t="shared" si="8"/>
        <v>R-30</v>
      </c>
      <c r="F67" s="245" t="str">
        <f t="shared" si="8"/>
        <v>R-38</v>
      </c>
      <c r="G67" s="246" t="s">
        <v>325</v>
      </c>
      <c r="H67" s="245" t="str">
        <f t="shared" si="9"/>
        <v>Multi Family Weatherization - Insulate Attic - R-30 to R-38 - Heating Zone 2</v>
      </c>
      <c r="I67" s="247">
        <f>SUMPRODUCT(MeasureInputsANDResults!I243:M243,inputWeightings!$B$21:$F$21)</f>
        <v>4.647209944269276E-2</v>
      </c>
      <c r="J67" s="248">
        <f>SUMPRODUCT(MeasureInputsANDResults!N243:R243,inputWeightings!$B$21:$F$21)</f>
        <v>1.039745226226792E-3</v>
      </c>
      <c r="K67" s="247">
        <f>MeasureInputsANDResults!I189*inputWeightings!$B$21+MeasureInputsANDResults!L189*inputWeightings!$C$21+MeasureInputsANDResults!O189*inputWeightings!$D$21+MeasureInputsANDResults!R189*inputWeightings!$E$21+MeasureInputsANDResults!U189*inputWeightings!$F$21</f>
        <v>4.6789568398409503E-2</v>
      </c>
      <c r="L67" s="247">
        <f>MeasureInputsANDResults!J189*inputWeightings!$B$21+MeasureInputsANDResults!M189*inputWeightings!$C$21+MeasureInputsANDResults!P189*inputWeightings!$D$21+MeasureInputsANDResults!S189*inputWeightings!$E$21+MeasureInputsANDResults!V189*inputWeightings!$F$21</f>
        <v>4.7929143657044954E-2</v>
      </c>
      <c r="M67" s="330">
        <f>MeasureInputsANDResults!K189*inputWeightings!$B$21+MeasureInputsANDResults!N189*inputWeightings!$C$21+MeasureInputsANDResults!Q189*inputWeightings!$D$21+MeasureInputsANDResults!T189*inputWeightings!$E$21+MeasureInputsANDResults!W189*inputWeightings!$F$21</f>
        <v>1.9739774064171808E-2</v>
      </c>
      <c r="N67" s="331">
        <f>SUMPRODUCT(MeasureInputsANDResults!X189:AB189,inputWeightings!$B$34:$F$34)</f>
        <v>9.7755986565908996E-3</v>
      </c>
    </row>
    <row r="68" spans="1:14" ht="15">
      <c r="A68" s="244" t="str">
        <f t="shared" si="8"/>
        <v>Ceili14</v>
      </c>
      <c r="B68" s="245" t="str">
        <f t="shared" si="8"/>
        <v>Ceiling14</v>
      </c>
      <c r="C68" s="245" t="str">
        <f t="shared" si="8"/>
        <v>Ceiling</v>
      </c>
      <c r="D68" s="245">
        <f t="shared" si="8"/>
        <v>14</v>
      </c>
      <c r="E68" s="245" t="str">
        <f t="shared" si="8"/>
        <v>R-30</v>
      </c>
      <c r="F68" s="245" t="str">
        <f t="shared" si="8"/>
        <v>R-49</v>
      </c>
      <c r="G68" s="246" t="s">
        <v>325</v>
      </c>
      <c r="H68" s="245" t="str">
        <f t="shared" si="9"/>
        <v>Multi Family Weatherization - Insulate Attic - R-30 to R-49 - Heating Zone 2</v>
      </c>
      <c r="I68" s="247">
        <f>SUMPRODUCT(MeasureInputsANDResults!I244:M244,inputWeightings!$B$21:$F$21)</f>
        <v>8.5633105233767881E-2</v>
      </c>
      <c r="J68" s="248">
        <f>SUMPRODUCT(MeasureInputsANDResults!N244:R244,inputWeightings!$B$21:$F$21)</f>
        <v>1.9197335582845506E-3</v>
      </c>
      <c r="K68" s="247">
        <f>MeasureInputsANDResults!I190*inputWeightings!$B$21+MeasureInputsANDResults!L190*inputWeightings!$C$21+MeasureInputsANDResults!O190*inputWeightings!$D$21+MeasureInputsANDResults!R190*inputWeightings!$E$21+MeasureInputsANDResults!U190*inputWeightings!$F$21</f>
        <v>8.6220885537159647E-2</v>
      </c>
      <c r="L68" s="247">
        <f>MeasureInputsANDResults!J190*inputWeightings!$B$21+MeasureInputsANDResults!M190*inputWeightings!$C$21+MeasureInputsANDResults!P190*inputWeightings!$D$21+MeasureInputsANDResults!S190*inputWeightings!$E$21+MeasureInputsANDResults!V190*inputWeightings!$F$21</f>
        <v>8.8321542707613526E-2</v>
      </c>
      <c r="M68" s="330">
        <f>MeasureInputsANDResults!K190*inputWeightings!$B$21+MeasureInputsANDResults!N190*inputWeightings!$C$21+MeasureInputsANDResults!Q190*inputWeightings!$D$21+MeasureInputsANDResults!T190*inputWeightings!$E$21+MeasureInputsANDResults!W190*inputWeightings!$F$21</f>
        <v>3.6156248663101728E-2</v>
      </c>
      <c r="N68" s="331">
        <f>SUMPRODUCT(MeasureInputsANDResults!X190:AB190,inputWeightings!$B$34:$F$34)</f>
        <v>1.804490359909091E-2</v>
      </c>
    </row>
    <row r="69" spans="1:14" ht="15">
      <c r="A69" s="253" t="str">
        <f t="shared" si="8"/>
        <v>Ceili15</v>
      </c>
      <c r="B69" s="254" t="str">
        <f t="shared" si="8"/>
        <v>Ceiling15</v>
      </c>
      <c r="C69" s="254" t="str">
        <f t="shared" si="8"/>
        <v>Ceiling</v>
      </c>
      <c r="D69" s="254">
        <f t="shared" si="8"/>
        <v>15</v>
      </c>
      <c r="E69" s="254" t="str">
        <f t="shared" si="8"/>
        <v>R-19</v>
      </c>
      <c r="F69" s="254" t="str">
        <f t="shared" si="8"/>
        <v>R-30</v>
      </c>
      <c r="G69" s="255" t="s">
        <v>325</v>
      </c>
      <c r="H69" s="254" t="str">
        <f t="shared" si="9"/>
        <v>Multi Family Weatherization - Insulate Attic - R-19 to R-30 - Heating Zone 2</v>
      </c>
      <c r="I69" s="256">
        <f>SUMPRODUCT(MeasureInputsANDResults!I245:M245,inputWeightings!$B$21:$F$21)</f>
        <v>0.12217492507895891</v>
      </c>
      <c r="J69" s="257">
        <f>SUMPRODUCT(MeasureInputsANDResults!N245:R245,inputWeightings!$B$21:$F$21)</f>
        <v>2.7152674956936618E-3</v>
      </c>
      <c r="K69" s="256">
        <f>MeasureInputsANDResults!I191*inputWeightings!$B$21+MeasureInputsANDResults!L191*inputWeightings!$C$21+MeasureInputsANDResults!O191*inputWeightings!$D$21+MeasureInputsANDResults!R191*inputWeightings!$E$21+MeasureInputsANDResults!U191*inputWeightings!$F$21</f>
        <v>0.12301675468829548</v>
      </c>
      <c r="L69" s="256">
        <f>MeasureInputsANDResults!J191*inputWeightings!$B$21+MeasureInputsANDResults!M191*inputWeightings!$C$21+MeasureInputsANDResults!P191*inputWeightings!$D$21+MeasureInputsANDResults!S191*inputWeightings!$E$21+MeasureInputsANDResults!V191*inputWeightings!$F$21</f>
        <v>0.12601148434284148</v>
      </c>
      <c r="M69" s="332">
        <f>MeasureInputsANDResults!K191*inputWeightings!$B$21+MeasureInputsANDResults!N191*inputWeightings!$C$21+MeasureInputsANDResults!Q191*inputWeightings!$D$21+MeasureInputsANDResults!T191*inputWeightings!$E$21+MeasureInputsANDResults!W191*inputWeightings!$F$21</f>
        <v>5.1338716577539675E-2</v>
      </c>
      <c r="N69" s="333">
        <f>SUMPRODUCT(MeasureInputsANDResults!X191:AB191,inputWeightings!$B$34:$F$34)</f>
        <v>2.5553454843522738E-2</v>
      </c>
    </row>
    <row r="70" spans="1:14" ht="15">
      <c r="A70" s="244" t="str">
        <f t="shared" ref="A70:F85" si="10">A24</f>
        <v>Ceili16</v>
      </c>
      <c r="B70" s="245" t="str">
        <f t="shared" si="10"/>
        <v>Ceiling16</v>
      </c>
      <c r="C70" s="245" t="str">
        <f t="shared" si="10"/>
        <v>Ceiling</v>
      </c>
      <c r="D70" s="245">
        <f t="shared" si="10"/>
        <v>16</v>
      </c>
      <c r="E70" s="245" t="str">
        <f t="shared" si="10"/>
        <v>R-19</v>
      </c>
      <c r="F70" s="245" t="str">
        <f t="shared" si="10"/>
        <v>R-38</v>
      </c>
      <c r="G70" s="246" t="s">
        <v>325</v>
      </c>
      <c r="H70" s="245" t="str">
        <f t="shared" si="9"/>
        <v>Multi Family Weatherization - Insulate Attic - R-19 to R-38 - Heating Zone 2</v>
      </c>
      <c r="I70" s="247">
        <f>SUMPRODUCT(MeasureInputsANDResults!I246:M246,inputWeightings!$B$21:$F$21)</f>
        <v>0.16864702452165167</v>
      </c>
      <c r="J70" s="248">
        <f>SUMPRODUCT(MeasureInputsANDResults!N246:R246,inputWeightings!$B$21:$F$21)</f>
        <v>3.7550127219204543E-3</v>
      </c>
      <c r="K70" s="247">
        <f>MeasureInputsANDResults!I192*inputWeightings!$B$21+MeasureInputsANDResults!L192*inputWeightings!$C$21+MeasureInputsANDResults!O192*inputWeightings!$D$21+MeasureInputsANDResults!R192*inputWeightings!$E$21+MeasureInputsANDResults!U192*inputWeightings!$F$21</f>
        <v>0.16980632308670501</v>
      </c>
      <c r="L70" s="247">
        <f>MeasureInputsANDResults!J192*inputWeightings!$B$21+MeasureInputsANDResults!M192*inputWeightings!$C$21+MeasureInputsANDResults!P192*inputWeightings!$D$21+MeasureInputsANDResults!S192*inputWeightings!$E$21+MeasureInputsANDResults!V192*inputWeightings!$F$21</f>
        <v>0.17394062799988647</v>
      </c>
      <c r="M70" s="330">
        <f>MeasureInputsANDResults!K192*inputWeightings!$B$21+MeasureInputsANDResults!N192*inputWeightings!$C$21+MeasureInputsANDResults!Q192*inputWeightings!$D$21+MeasureInputsANDResults!T192*inputWeightings!$E$21+MeasureInputsANDResults!W192*inputWeightings!$F$21</f>
        <v>7.107849064171147E-2</v>
      </c>
      <c r="N70" s="331">
        <f>SUMPRODUCT(MeasureInputsANDResults!X192:AB192,inputWeightings!$B$34:$F$34)</f>
        <v>3.5329053500113637E-2</v>
      </c>
    </row>
    <row r="71" spans="1:14" ht="15">
      <c r="A71" s="244" t="str">
        <f t="shared" si="10"/>
        <v>Ceili17</v>
      </c>
      <c r="B71" s="245" t="str">
        <f t="shared" si="10"/>
        <v>Ceiling17</v>
      </c>
      <c r="C71" s="245" t="str">
        <f t="shared" si="10"/>
        <v>Ceiling</v>
      </c>
      <c r="D71" s="245">
        <f t="shared" si="10"/>
        <v>17</v>
      </c>
      <c r="E71" s="245" t="str">
        <f t="shared" si="10"/>
        <v>R-19</v>
      </c>
      <c r="F71" s="245" t="str">
        <f t="shared" si="10"/>
        <v>R-49</v>
      </c>
      <c r="G71" s="246" t="s">
        <v>325</v>
      </c>
      <c r="H71" s="245" t="str">
        <f t="shared" si="9"/>
        <v>Multi Family Weatherization - Insulate Attic - R-19 to R-49 - Heating Zone 2</v>
      </c>
      <c r="I71" s="247">
        <f>SUMPRODUCT(MeasureInputsANDResults!I247:M247,inputWeightings!$B$21:$F$21)</f>
        <v>0.20780803031272682</v>
      </c>
      <c r="J71" s="248">
        <f>SUMPRODUCT(MeasureInputsANDResults!N247:R247,inputWeightings!$B$21:$F$21)</f>
        <v>4.635001053978214E-3</v>
      </c>
      <c r="K71" s="247">
        <f>MeasureInputsANDResults!I193*inputWeightings!$B$21+MeasureInputsANDResults!L193*inputWeightings!$C$21+MeasureInputsANDResults!O193*inputWeightings!$D$21+MeasureInputsANDResults!R193*inputWeightings!$E$21+MeasureInputsANDResults!U193*inputWeightings!$F$21</f>
        <v>0.20923764022545513</v>
      </c>
      <c r="L71" s="247">
        <f>MeasureInputsANDResults!J193*inputWeightings!$B$21+MeasureInputsANDResults!M193*inputWeightings!$C$21+MeasureInputsANDResults!P193*inputWeightings!$D$21+MeasureInputsANDResults!S193*inputWeightings!$E$21+MeasureInputsANDResults!V193*inputWeightings!$F$21</f>
        <v>0.21433302705045501</v>
      </c>
      <c r="M71" s="330">
        <f>MeasureInputsANDResults!K193*inputWeightings!$B$21+MeasureInputsANDResults!N193*inputWeightings!$C$21+MeasureInputsANDResults!Q193*inputWeightings!$D$21+MeasureInputsANDResults!T193*inputWeightings!$E$21+MeasureInputsANDResults!W193*inputWeightings!$F$21</f>
        <v>8.749496524064139E-2</v>
      </c>
      <c r="N71" s="331">
        <f>SUMPRODUCT(MeasureInputsANDResults!X193:AB193,inputWeightings!$B$34:$F$34)</f>
        <v>4.3598358442613644E-2</v>
      </c>
    </row>
    <row r="72" spans="1:14" ht="15">
      <c r="A72" s="285" t="str">
        <f t="shared" si="10"/>
        <v>Ceili18</v>
      </c>
      <c r="B72" s="286" t="str">
        <f t="shared" si="10"/>
        <v>Ceiling18</v>
      </c>
      <c r="C72" s="286" t="str">
        <f t="shared" si="10"/>
        <v>Ceiling</v>
      </c>
      <c r="D72" s="286">
        <f t="shared" si="10"/>
        <v>18</v>
      </c>
      <c r="E72" s="286" t="str">
        <f t="shared" si="10"/>
        <v>R-38</v>
      </c>
      <c r="F72" s="286" t="str">
        <f t="shared" si="10"/>
        <v>R-49</v>
      </c>
      <c r="G72" s="287" t="s">
        <v>325</v>
      </c>
      <c r="H72" s="286" t="str">
        <f t="shared" si="9"/>
        <v>Multi Family Weatherization - Insulate Attic - R-38 to R-49 - Heating Zone 2</v>
      </c>
      <c r="I72" s="288">
        <f>SUMPRODUCT(MeasureInputsANDResults!I248:M248,inputWeightings!$B$21:$F$21)</f>
        <v>3.9161005791075142E-2</v>
      </c>
      <c r="J72" s="289">
        <f>SUMPRODUCT(MeasureInputsANDResults!N248:R248,inputWeightings!$B$21:$F$21)</f>
        <v>8.799883320577583E-4</v>
      </c>
      <c r="K72" s="288">
        <f>MeasureInputsANDResults!I194*inputWeightings!$B$21+MeasureInputsANDResults!L194*inputWeightings!$C$21+MeasureInputsANDResults!O194*inputWeightings!$D$21+MeasureInputsANDResults!R194*inputWeightings!$E$21+MeasureInputsANDResults!U194*inputWeightings!$F$21</f>
        <v>3.9431317138750137E-2</v>
      </c>
      <c r="L72" s="288">
        <f>MeasureInputsANDResults!J194*inputWeightings!$B$21+MeasureInputsANDResults!M194*inputWeightings!$C$21+MeasureInputsANDResults!P194*inputWeightings!$D$21+MeasureInputsANDResults!S194*inputWeightings!$E$21+MeasureInputsANDResults!V194*inputWeightings!$F$21</f>
        <v>4.0392399050568566E-2</v>
      </c>
      <c r="M72" s="337">
        <f>MeasureInputsANDResults!K194*inputWeightings!$B$21+MeasureInputsANDResults!N194*inputWeightings!$C$21+MeasureInputsANDResults!Q194*inputWeightings!$D$21+MeasureInputsANDResults!T194*inputWeightings!$E$21+MeasureInputsANDResults!W194*inputWeightings!$F$21</f>
        <v>1.641647459892992E-2</v>
      </c>
      <c r="N72" s="338">
        <f>SUMPRODUCT(MeasureInputsANDResults!X194:AB194,inputWeightings!$B$34:$F$34)</f>
        <v>8.2693049425000102E-3</v>
      </c>
    </row>
    <row r="73" spans="1:14" ht="15">
      <c r="A73" s="253" t="str">
        <f t="shared" si="10"/>
        <v>Windo10</v>
      </c>
      <c r="B73" s="254" t="str">
        <f t="shared" si="10"/>
        <v>Windows10</v>
      </c>
      <c r="C73" s="254" t="str">
        <f t="shared" si="10"/>
        <v>Windows</v>
      </c>
      <c r="D73" s="254">
        <f t="shared" si="10"/>
        <v>10</v>
      </c>
      <c r="E73" s="254" t="str">
        <f t="shared" si="10"/>
        <v>Class 85</v>
      </c>
      <c r="F73" s="254" t="str">
        <f t="shared" si="10"/>
        <v>Class 35</v>
      </c>
      <c r="G73" s="255" t="s">
        <v>325</v>
      </c>
      <c r="H73" s="254" t="str">
        <f>C73&amp;" - "&amp;E73&amp;" to "&amp;F73&amp;" - "&amp;G73</f>
        <v>Windows - Class 85 to Class 35 - Heating Zone 2</v>
      </c>
      <c r="I73" s="256">
        <f>SUMPRODUCT(MeasureInputsANDResults!I249:M249,inputWeightings!$B$21:$F$21)</f>
        <v>-10.164112413433486</v>
      </c>
      <c r="J73" s="257">
        <f>SUMPRODUCT(MeasureInputsANDResults!N249:R249,inputWeightings!$B$21:$F$21)</f>
        <v>-0.12810684711541731</v>
      </c>
      <c r="K73" s="256">
        <f>MeasureInputsANDResults!I195*inputWeightings!$B$21+MeasureInputsANDResults!L195*inputWeightings!$C$21+MeasureInputsANDResults!O195*inputWeightings!$D$21+MeasureInputsANDResults!R195*inputWeightings!$E$21+MeasureInputsANDResults!U195*inputWeightings!$F$21</f>
        <v>-10.219096376847707</v>
      </c>
      <c r="L73" s="256">
        <f>MeasureInputsANDResults!J195*inputWeightings!$B$21+MeasureInputsANDResults!M195*inputWeightings!$C$21+MeasureInputsANDResults!P195*inputWeightings!$D$21+MeasureInputsANDResults!S195*inputWeightings!$E$21+MeasureInputsANDResults!V195*inputWeightings!$F$21</f>
        <v>-10.421842109966784</v>
      </c>
      <c r="M73" s="332">
        <f>MeasureInputsANDResults!K195*inputWeightings!$B$21+MeasureInputsANDResults!N195*inputWeightings!$C$21+MeasureInputsANDResults!Q195*inputWeightings!$D$21+MeasureInputsANDResults!T195*inputWeightings!$E$21+MeasureInputsANDResults!W195*inputWeightings!$F$21</f>
        <v>-5.5243492864161974</v>
      </c>
      <c r="N73" s="333">
        <f>SUMPRODUCT(MeasureInputsANDResults!X195:AB195,inputWeightings!$B$34:$F$34)</f>
        <v>-1.237835213191822</v>
      </c>
    </row>
    <row r="74" spans="1:14" ht="15">
      <c r="A74" s="253" t="str">
        <f t="shared" si="10"/>
        <v>Windo11</v>
      </c>
      <c r="B74" s="254" t="str">
        <f t="shared" si="10"/>
        <v>Windows11</v>
      </c>
      <c r="C74" s="254" t="str">
        <f t="shared" si="10"/>
        <v>Windows</v>
      </c>
      <c r="D74" s="254">
        <f t="shared" si="10"/>
        <v>11</v>
      </c>
      <c r="E74" s="254" t="str">
        <f t="shared" si="10"/>
        <v>Class 85</v>
      </c>
      <c r="F74" s="254" t="str">
        <f t="shared" si="10"/>
        <v>Class 30</v>
      </c>
      <c r="G74" s="255" t="s">
        <v>325</v>
      </c>
      <c r="H74" s="254" t="str">
        <f t="shared" ref="H74:H87" si="11">C74&amp;" - "&amp;E74&amp;" to "&amp;F74&amp;" - "&amp;G74</f>
        <v>Windows - Class 85 to Class 30 - Heating Zone 2</v>
      </c>
      <c r="I74" s="256">
        <f>SUMPRODUCT(MeasureInputsANDResults!I250:M250,inputWeightings!$B$21:$F$21)</f>
        <v>-8.4071036594548083</v>
      </c>
      <c r="J74" s="257">
        <f>SUMPRODUCT(MeasureInputsANDResults!N250:R250,inputWeightings!$B$21:$F$21)</f>
        <v>-0.12467110678079606</v>
      </c>
      <c r="K74" s="256">
        <f>MeasureInputsANDResults!I196*inputWeightings!$B$21+MeasureInputsANDResults!L196*inputWeightings!$C$21+MeasureInputsANDResults!O196*inputWeightings!$D$21+MeasureInputsANDResults!R196*inputWeightings!$E$21+MeasureInputsANDResults!U196*inputWeightings!$F$21</f>
        <v>-8.4523950756239294</v>
      </c>
      <c r="L74" s="256">
        <f>MeasureInputsANDResults!J196*inputWeightings!$B$21+MeasureInputsANDResults!M196*inputWeightings!$C$21+MeasureInputsANDResults!P196*inputWeightings!$D$21+MeasureInputsANDResults!S196*inputWeightings!$E$21+MeasureInputsANDResults!V196*inputWeightings!$F$21</f>
        <v>-8.6217026427145491</v>
      </c>
      <c r="M74" s="332">
        <f>MeasureInputsANDResults!K196*inputWeightings!$B$21+MeasureInputsANDResults!N196*inputWeightings!$C$21+MeasureInputsANDResults!Q196*inputWeightings!$D$21+MeasureInputsANDResults!T196*inputWeightings!$E$21+MeasureInputsANDResults!W196*inputWeightings!$F$21</f>
        <v>-4.5810134169751802</v>
      </c>
      <c r="N74" s="333">
        <f>SUMPRODUCT(MeasureInputsANDResults!X196:AB196,inputWeightings!$B$34:$F$34)</f>
        <v>-1.2107189025952794</v>
      </c>
    </row>
    <row r="75" spans="1:14" ht="15">
      <c r="A75" s="253" t="str">
        <f t="shared" si="10"/>
        <v>Windo12</v>
      </c>
      <c r="B75" s="254" t="str">
        <f t="shared" si="10"/>
        <v>Windows12</v>
      </c>
      <c r="C75" s="254" t="str">
        <f t="shared" si="10"/>
        <v>Windows</v>
      </c>
      <c r="D75" s="254">
        <f t="shared" si="10"/>
        <v>12</v>
      </c>
      <c r="E75" s="254" t="str">
        <f t="shared" si="10"/>
        <v>Class 85</v>
      </c>
      <c r="F75" s="254" t="str">
        <f t="shared" si="10"/>
        <v>Class 25</v>
      </c>
      <c r="G75" s="255" t="s">
        <v>325</v>
      </c>
      <c r="H75" s="254" t="str">
        <f t="shared" si="11"/>
        <v>Windows - Class 85 to Class 25 - Heating Zone 2</v>
      </c>
      <c r="I75" s="256">
        <f>SUMPRODUCT(MeasureInputsANDResults!I251:M251,inputWeightings!$B$21:$F$21)</f>
        <v>0</v>
      </c>
      <c r="J75" s="257">
        <f>SUMPRODUCT(MeasureInputsANDResults!N251:R251,inputWeightings!$B$21:$F$21)</f>
        <v>0</v>
      </c>
      <c r="K75" s="256">
        <f>MeasureInputsANDResults!I197*inputWeightings!$B$21+MeasureInputsANDResults!L197*inputWeightings!$C$21+MeasureInputsANDResults!O197*inputWeightings!$D$21+MeasureInputsANDResults!R197*inputWeightings!$E$21+MeasureInputsANDResults!U197*inputWeightings!$F$21</f>
        <v>0</v>
      </c>
      <c r="L75" s="256">
        <f>MeasureInputsANDResults!J197*inputWeightings!$B$21+MeasureInputsANDResults!M197*inputWeightings!$C$21+MeasureInputsANDResults!P197*inputWeightings!$D$21+MeasureInputsANDResults!S197*inputWeightings!$E$21+MeasureInputsANDResults!V197*inputWeightings!$F$21</f>
        <v>0</v>
      </c>
      <c r="M75" s="332">
        <f>MeasureInputsANDResults!K197*inputWeightings!$B$21+MeasureInputsANDResults!N197*inputWeightings!$C$21+MeasureInputsANDResults!Q197*inputWeightings!$D$21+MeasureInputsANDResults!T197*inputWeightings!$E$21+MeasureInputsANDResults!W197*inputWeightings!$F$21</f>
        <v>0</v>
      </c>
      <c r="N75" s="333">
        <f>SUMPRODUCT(MeasureInputsANDResults!X197:AB197,inputWeightings!$B$34:$F$34)</f>
        <v>0</v>
      </c>
    </row>
    <row r="76" spans="1:14" ht="15">
      <c r="A76" s="253" t="str">
        <f t="shared" si="10"/>
        <v>Windo13</v>
      </c>
      <c r="B76" s="254" t="str">
        <f t="shared" si="10"/>
        <v>Windows13</v>
      </c>
      <c r="C76" s="254" t="str">
        <f t="shared" si="10"/>
        <v>Windows</v>
      </c>
      <c r="D76" s="254">
        <f t="shared" si="10"/>
        <v>13</v>
      </c>
      <c r="E76" s="254" t="str">
        <f t="shared" si="10"/>
        <v>Class 85</v>
      </c>
      <c r="F76" s="254" t="str">
        <f t="shared" si="10"/>
        <v>Class 20</v>
      </c>
      <c r="G76" s="255" t="s">
        <v>325</v>
      </c>
      <c r="H76" s="254" t="str">
        <f t="shared" si="11"/>
        <v>Windows - Class 85 to Class 20 - Heating Zone 2</v>
      </c>
      <c r="I76" s="256">
        <f>SUMPRODUCT(MeasureInputsANDResults!I252:M252,inputWeightings!$B$21:$F$21)</f>
        <v>-5.1116874800863625</v>
      </c>
      <c r="J76" s="257">
        <f>SUMPRODUCT(MeasureInputsANDResults!N252:R252,inputWeightings!$B$21:$F$21)</f>
        <v>-0.11235388886359282</v>
      </c>
      <c r="K76" s="256">
        <f>MeasureInputsANDResults!I198*inputWeightings!$B$21+MeasureInputsANDResults!L198*inputWeightings!$C$21+MeasureInputsANDResults!O198*inputWeightings!$D$21+MeasureInputsANDResults!R198*inputWeightings!$E$21+MeasureInputsANDResults!U198*inputWeightings!$F$21</f>
        <v>-5.1388141524183171</v>
      </c>
      <c r="L76" s="256">
        <f>MeasureInputsANDResults!J198*inputWeightings!$B$21+MeasureInputsANDResults!M198*inputWeightings!$C$21+MeasureInputsANDResults!P198*inputWeightings!$D$21+MeasureInputsANDResults!S198*inputWeightings!$E$21+MeasureInputsANDResults!V198*inputWeightings!$F$21</f>
        <v>-5.2440588269013189</v>
      </c>
      <c r="M76" s="332">
        <f>MeasureInputsANDResults!K198*inputWeightings!$B$21+MeasureInputsANDResults!N198*inputWeightings!$C$21+MeasureInputsANDResults!Q198*inputWeightings!$D$21+MeasureInputsANDResults!T198*inputWeightings!$E$21+MeasureInputsANDResults!W198*inputWeightings!$F$21</f>
        <v>-2.813058640705699</v>
      </c>
      <c r="N76" s="333">
        <f>SUMPRODUCT(MeasureInputsANDResults!X198:AB198,inputWeightings!$B$34:$F$34)</f>
        <v>-1.1034021001364607</v>
      </c>
    </row>
    <row r="77" spans="1:14" ht="15">
      <c r="A77" s="253" t="str">
        <f t="shared" si="10"/>
        <v>Windo14</v>
      </c>
      <c r="B77" s="254" t="str">
        <f t="shared" si="10"/>
        <v>Windows14</v>
      </c>
      <c r="C77" s="254" t="str">
        <f t="shared" si="10"/>
        <v>Windows</v>
      </c>
      <c r="D77" s="254">
        <f t="shared" si="10"/>
        <v>14</v>
      </c>
      <c r="E77" s="254" t="str">
        <f t="shared" si="10"/>
        <v>Class 85</v>
      </c>
      <c r="F77" s="254" t="str">
        <f t="shared" si="10"/>
        <v>Class 15</v>
      </c>
      <c r="G77" s="255" t="s">
        <v>325</v>
      </c>
      <c r="H77" s="254" t="str">
        <f t="shared" si="11"/>
        <v>Windows - Class 85 to Class 15 - Heating Zone 2</v>
      </c>
      <c r="I77" s="256">
        <f>SUMPRODUCT(MeasureInputsANDResults!I253:M253,inputWeightings!$B$21:$F$21)</f>
        <v>-3.1468169080025445</v>
      </c>
      <c r="J77" s="257">
        <f>SUMPRODUCT(MeasureInputsANDResults!N253:R253,inputWeightings!$B$21:$F$21)</f>
        <v>-0.1171755709624388</v>
      </c>
      <c r="K77" s="256">
        <f>MeasureInputsANDResults!I199*inputWeightings!$B$21+MeasureInputsANDResults!L199*inputWeightings!$C$21+MeasureInputsANDResults!O199*inputWeightings!$D$21+MeasureInputsANDResults!R199*inputWeightings!$E$21+MeasureInputsANDResults!U199*inputWeightings!$F$21</f>
        <v>-3.1628867928755824</v>
      </c>
      <c r="L77" s="256">
        <f>MeasureInputsANDResults!J199*inputWeightings!$B$21+MeasureInputsANDResults!M199*inputWeightings!$C$21+MeasureInputsANDResults!P199*inputWeightings!$D$21+MeasureInputsANDResults!S199*inputWeightings!$E$21+MeasureInputsANDResults!V199*inputWeightings!$F$21</f>
        <v>-3.2275761132131895</v>
      </c>
      <c r="M77" s="332">
        <f>MeasureInputsANDResults!K199*inputWeightings!$B$21+MeasureInputsANDResults!N199*inputWeightings!$C$21+MeasureInputsANDResults!Q199*inputWeightings!$D$21+MeasureInputsANDResults!T199*inputWeightings!$E$21+MeasureInputsANDResults!W199*inputWeightings!$F$21</f>
        <v>-1.7808088623794498</v>
      </c>
      <c r="N77" s="333">
        <f>SUMPRODUCT(MeasureInputsANDResults!X199:AB199,inputWeightings!$B$34:$F$34)</f>
        <v>-1.1626654306222803</v>
      </c>
    </row>
    <row r="78" spans="1:14" ht="15">
      <c r="A78" s="253" t="str">
        <f t="shared" si="10"/>
        <v>Windo15</v>
      </c>
      <c r="B78" s="254" t="str">
        <f t="shared" si="10"/>
        <v>Windows15</v>
      </c>
      <c r="C78" s="254" t="str">
        <f t="shared" si="10"/>
        <v>Windows</v>
      </c>
      <c r="D78" s="254">
        <f t="shared" si="10"/>
        <v>15</v>
      </c>
      <c r="E78" s="254" t="str">
        <f t="shared" si="10"/>
        <v>Class 50</v>
      </c>
      <c r="F78" s="254" t="str">
        <f t="shared" si="10"/>
        <v>Class 35</v>
      </c>
      <c r="G78" s="255" t="s">
        <v>325</v>
      </c>
      <c r="H78" s="254" t="str">
        <f t="shared" si="11"/>
        <v>Windows - Class 50 to Class 35 - Heating Zone 2</v>
      </c>
      <c r="I78" s="256">
        <f>SUMPRODUCT(MeasureInputsANDResults!I254:M254,inputWeightings!$B$21:$F$21)</f>
        <v>1.8316044323039837</v>
      </c>
      <c r="J78" s="257">
        <f>SUMPRODUCT(MeasureInputsANDResults!N254:R254,inputWeightings!$B$21:$F$21)</f>
        <v>0.18481839245502826</v>
      </c>
      <c r="K78" s="256">
        <f>MeasureInputsANDResults!I200*inputWeightings!$B$21+MeasureInputsANDResults!L200*inputWeightings!$C$21+MeasureInputsANDResults!O200*inputWeightings!$D$21+MeasureInputsANDResults!R200*inputWeightings!$E$21+MeasureInputsANDResults!U200*inputWeightings!$F$21</f>
        <v>1.8371264908447924</v>
      </c>
      <c r="L78" s="256">
        <f>MeasureInputsANDResults!J200*inputWeightings!$B$21+MeasureInputsANDResults!M200*inputWeightings!$C$21+MeasureInputsANDResults!P200*inputWeightings!$D$21+MeasureInputsANDResults!S200*inputWeightings!$E$21+MeasureInputsANDResults!V200*inputWeightings!$F$21</f>
        <v>1.8566285822813695</v>
      </c>
      <c r="M78" s="332">
        <f>MeasureInputsANDResults!K200*inputWeightings!$B$21+MeasureInputsANDResults!N200*inputWeightings!$C$21+MeasureInputsANDResults!Q200*inputWeightings!$D$21+MeasureInputsANDResults!T200*inputWeightings!$E$21+MeasureInputsANDResults!W200*inputWeightings!$F$21</f>
        <v>1.3672085184423419</v>
      </c>
      <c r="N78" s="333">
        <f>SUMPRODUCT(MeasureInputsANDResults!X200:AB200,inputWeightings!$B$34:$F$34)</f>
        <v>1.836476514281177</v>
      </c>
    </row>
    <row r="79" spans="1:14" ht="15">
      <c r="A79" s="253" t="str">
        <f t="shared" si="10"/>
        <v>Windo16</v>
      </c>
      <c r="B79" s="254" t="str">
        <f t="shared" si="10"/>
        <v>Windows16</v>
      </c>
      <c r="C79" s="254" t="str">
        <f t="shared" si="10"/>
        <v>Windows</v>
      </c>
      <c r="D79" s="254">
        <f t="shared" si="10"/>
        <v>16</v>
      </c>
      <c r="E79" s="254" t="str">
        <f t="shared" si="10"/>
        <v>Class 50</v>
      </c>
      <c r="F79" s="254" t="str">
        <f t="shared" si="10"/>
        <v>Class 30</v>
      </c>
      <c r="G79" s="255" t="s">
        <v>325</v>
      </c>
      <c r="H79" s="254" t="str">
        <f t="shared" si="11"/>
        <v>Windows - Class 50 to Class 30 - Heating Zone 2</v>
      </c>
      <c r="I79" s="256">
        <f>SUMPRODUCT(MeasureInputsANDResults!I255:M255,inputWeightings!$B$21:$F$21)</f>
        <v>3.5886131862826591</v>
      </c>
      <c r="J79" s="257">
        <f>SUMPRODUCT(MeasureInputsANDResults!N255:R255,inputWeightings!$B$21:$F$21)</f>
        <v>0.18825413278964948</v>
      </c>
      <c r="K79" s="256">
        <f>MeasureInputsANDResults!I201*inputWeightings!$B$21+MeasureInputsANDResults!L201*inputWeightings!$C$21+MeasureInputsANDResults!O201*inputWeightings!$D$21+MeasureInputsANDResults!R201*inputWeightings!$E$21+MeasureInputsANDResults!U201*inputWeightings!$F$21</f>
        <v>3.6038277920685697</v>
      </c>
      <c r="L79" s="256">
        <f>MeasureInputsANDResults!J201*inputWeightings!$B$21+MeasureInputsANDResults!M201*inputWeightings!$C$21+MeasureInputsANDResults!P201*inputWeightings!$D$21+MeasureInputsANDResults!S201*inputWeightings!$E$21+MeasureInputsANDResults!V201*inputWeightings!$F$21</f>
        <v>3.656768049533603</v>
      </c>
      <c r="M79" s="332">
        <f>MeasureInputsANDResults!K201*inputWeightings!$B$21+MeasureInputsANDResults!N201*inputWeightings!$C$21+MeasureInputsANDResults!Q201*inputWeightings!$D$21+MeasureInputsANDResults!T201*inputWeightings!$E$21+MeasureInputsANDResults!W201*inputWeightings!$F$21</f>
        <v>2.3105443878833589</v>
      </c>
      <c r="N79" s="333">
        <f>SUMPRODUCT(MeasureInputsANDResults!X201:AB201,inputWeightings!$B$34:$F$34)</f>
        <v>1.8635928248777196</v>
      </c>
    </row>
    <row r="80" spans="1:14" ht="15">
      <c r="A80" s="253" t="str">
        <f t="shared" si="10"/>
        <v>Windo17</v>
      </c>
      <c r="B80" s="254" t="str">
        <f t="shared" si="10"/>
        <v>Windows17</v>
      </c>
      <c r="C80" s="254" t="str">
        <f t="shared" si="10"/>
        <v>Windows</v>
      </c>
      <c r="D80" s="254">
        <f t="shared" si="10"/>
        <v>17</v>
      </c>
      <c r="E80" s="254" t="str">
        <f t="shared" si="10"/>
        <v>Class 50</v>
      </c>
      <c r="F80" s="254" t="str">
        <f t="shared" si="10"/>
        <v>Class 25</v>
      </c>
      <c r="G80" s="255" t="s">
        <v>325</v>
      </c>
      <c r="H80" s="254" t="str">
        <f t="shared" si="11"/>
        <v>Windows - Class 50 to Class 25 - Heating Zone 2</v>
      </c>
      <c r="I80" s="256">
        <f>SUMPRODUCT(MeasureInputsANDResults!I256:M256,inputWeightings!$B$21:$F$21)</f>
        <v>11.995716845737469</v>
      </c>
      <c r="J80" s="257">
        <f>SUMPRODUCT(MeasureInputsANDResults!N256:R256,inputWeightings!$B$21:$F$21)</f>
        <v>0.31292523957044555</v>
      </c>
      <c r="K80" s="256">
        <f>MeasureInputsANDResults!I202*inputWeightings!$B$21+MeasureInputsANDResults!L202*inputWeightings!$C$21+MeasureInputsANDResults!O202*inputWeightings!$D$21+MeasureInputsANDResults!R202*inputWeightings!$E$21+MeasureInputsANDResults!U202*inputWeightings!$F$21</f>
        <v>12.056222867692501</v>
      </c>
      <c r="L80" s="256">
        <f>MeasureInputsANDResults!J202*inputWeightings!$B$21+MeasureInputsANDResults!M202*inputWeightings!$C$21+MeasureInputsANDResults!P202*inputWeightings!$D$21+MeasureInputsANDResults!S202*inputWeightings!$E$21+MeasureInputsANDResults!V202*inputWeightings!$F$21</f>
        <v>12.278470692248153</v>
      </c>
      <c r="M80" s="332">
        <f>MeasureInputsANDResults!K202*inputWeightings!$B$21+MeasureInputsANDResults!N202*inputWeightings!$C$21+MeasureInputsANDResults!Q202*inputWeightings!$D$21+MeasureInputsANDResults!T202*inputWeightings!$E$21+MeasureInputsANDResults!W202*inputWeightings!$F$21</f>
        <v>6.8915578048585404</v>
      </c>
      <c r="N80" s="333">
        <f>SUMPRODUCT(MeasureInputsANDResults!X202:AB202,inputWeightings!$B$34:$F$34)</f>
        <v>3.074311727472999</v>
      </c>
    </row>
    <row r="81" spans="1:14" ht="15">
      <c r="A81" s="253" t="str">
        <f t="shared" si="10"/>
        <v>Windo18</v>
      </c>
      <c r="B81" s="254" t="str">
        <f t="shared" si="10"/>
        <v>Windows18</v>
      </c>
      <c r="C81" s="254" t="str">
        <f t="shared" si="10"/>
        <v>Windows</v>
      </c>
      <c r="D81" s="254">
        <f t="shared" si="10"/>
        <v>18</v>
      </c>
      <c r="E81" s="254" t="str">
        <f t="shared" si="10"/>
        <v>Class 50</v>
      </c>
      <c r="F81" s="254" t="str">
        <f t="shared" si="10"/>
        <v>Class 20</v>
      </c>
      <c r="G81" s="255" t="s">
        <v>325</v>
      </c>
      <c r="H81" s="254" t="str">
        <f t="shared" si="11"/>
        <v>Windows - Class 50 to Class 20 - Heating Zone 2</v>
      </c>
      <c r="I81" s="256">
        <f>SUMPRODUCT(MeasureInputsANDResults!I257:M257,inputWeightings!$B$21:$F$21)</f>
        <v>6.8840293656511058</v>
      </c>
      <c r="J81" s="257">
        <f>SUMPRODUCT(MeasureInputsANDResults!N257:R257,inputWeightings!$B$21:$F$21)</f>
        <v>0.2005713507068527</v>
      </c>
      <c r="K81" s="256">
        <f>MeasureInputsANDResults!I203*inputWeightings!$B$21+MeasureInputsANDResults!L203*inputWeightings!$C$21+MeasureInputsANDResults!O203*inputWeightings!$D$21+MeasureInputsANDResults!R203*inputWeightings!$E$21+MeasureInputsANDResults!U203*inputWeightings!$F$21</f>
        <v>6.9174087152741812</v>
      </c>
      <c r="L81" s="256">
        <f>MeasureInputsANDResults!J203*inputWeightings!$B$21+MeasureInputsANDResults!M203*inputWeightings!$C$21+MeasureInputsANDResults!P203*inputWeightings!$D$21+MeasureInputsANDResults!S203*inputWeightings!$E$21+MeasureInputsANDResults!V203*inputWeightings!$F$21</f>
        <v>7.0344118653468337</v>
      </c>
      <c r="M81" s="332">
        <f>MeasureInputsANDResults!K203*inputWeightings!$B$21+MeasureInputsANDResults!N203*inputWeightings!$C$21+MeasureInputsANDResults!Q203*inputWeightings!$D$21+MeasureInputsANDResults!T203*inputWeightings!$E$21+MeasureInputsANDResults!W203*inputWeightings!$F$21</f>
        <v>4.0784991641528414</v>
      </c>
      <c r="N81" s="333">
        <f>SUMPRODUCT(MeasureInputsANDResults!X203:AB203,inputWeightings!$B$34:$F$34)</f>
        <v>1.9709096273365385</v>
      </c>
    </row>
    <row r="82" spans="1:14" ht="15">
      <c r="A82" s="244" t="str">
        <f t="shared" si="10"/>
        <v>Windo19</v>
      </c>
      <c r="B82" s="245" t="str">
        <f t="shared" si="10"/>
        <v>Windows19</v>
      </c>
      <c r="C82" s="245" t="str">
        <f t="shared" si="10"/>
        <v>Windows</v>
      </c>
      <c r="D82" s="245">
        <f t="shared" si="10"/>
        <v>19</v>
      </c>
      <c r="E82" s="245" t="str">
        <f t="shared" si="10"/>
        <v>Class 35</v>
      </c>
      <c r="F82" s="245" t="str">
        <f t="shared" si="10"/>
        <v>Class 22</v>
      </c>
      <c r="G82" s="246" t="s">
        <v>325</v>
      </c>
      <c r="H82" s="245" t="str">
        <f t="shared" si="11"/>
        <v>Windows - Class 35 to Class 22 - Heating Zone 2</v>
      </c>
      <c r="I82" s="247">
        <f>SUMPRODUCT(MeasureInputsANDResults!I258:M258,inputWeightings!$B$21:$F$21)</f>
        <v>4.3380964006549396</v>
      </c>
      <c r="J82" s="248">
        <f>SUMPRODUCT(MeasureInputsANDResults!N258:R258,inputWeightings!$B$21:$F$21)</f>
        <v>1.3679124970930993E-2</v>
      </c>
      <c r="K82" s="247">
        <f>MeasureInputsANDResults!I204*inputWeightings!$B$21+MeasureInputsANDResults!L204*inputWeightings!$C$21+MeasureInputsANDResults!O204*inputWeightings!$D$21+MeasureInputsANDResults!R204*inputWeightings!$E$21+MeasureInputsANDResults!U204*inputWeightings!$F$21</f>
        <v>4.3619989873004066</v>
      </c>
      <c r="L82" s="247">
        <f>MeasureInputsANDResults!J204*inputWeightings!$B$21+MeasureInputsANDResults!M204*inputWeightings!$C$21+MeasureInputsANDResults!P204*inputWeightings!$D$21+MeasureInputsANDResults!S204*inputWeightings!$E$21+MeasureInputsANDResults!V204*inputWeightings!$F$21</f>
        <v>4.4453051400193271</v>
      </c>
      <c r="M82" s="330">
        <f>MeasureInputsANDResults!K204*inputWeightings!$B$21+MeasureInputsANDResults!N204*inputWeightings!$C$21+MeasureInputsANDResults!Q204*inputWeightings!$D$21+MeasureInputsANDResults!T204*inputWeightings!$E$21+MeasureInputsANDResults!W204*inputWeightings!$F$21</f>
        <v>2.3299647613007903</v>
      </c>
      <c r="N82" s="331">
        <f>SUMPRODUCT(MeasureInputsANDResults!X204:AB204,inputWeightings!$B$34:$F$34)</f>
        <v>0.11739721238976294</v>
      </c>
    </row>
    <row r="83" spans="1:14" ht="15">
      <c r="A83" s="244" t="str">
        <f t="shared" si="10"/>
        <v>Windo20</v>
      </c>
      <c r="B83" s="245" t="str">
        <f t="shared" si="10"/>
        <v>Windows20</v>
      </c>
      <c r="C83" s="245" t="str">
        <f t="shared" si="10"/>
        <v>Windows</v>
      </c>
      <c r="D83" s="245">
        <f t="shared" si="10"/>
        <v>20</v>
      </c>
      <c r="E83" s="245" t="str">
        <f t="shared" si="10"/>
        <v>Single Pane</v>
      </c>
      <c r="F83" s="245" t="str">
        <f t="shared" si="10"/>
        <v>Class 22</v>
      </c>
      <c r="G83" s="246" t="s">
        <v>325</v>
      </c>
      <c r="H83" s="245" t="str">
        <f t="shared" si="11"/>
        <v>Windows - Single Pane to Class 22 - Heating Zone 2</v>
      </c>
      <c r="I83" s="247">
        <f>SUMPRODUCT(MeasureInputsANDResults!I259:M259,inputWeightings!$B$21:$F$21)</f>
        <v>31.584191708553824</v>
      </c>
      <c r="J83" s="248">
        <f>SUMPRODUCT(MeasureInputsANDResults!N259:R259,inputWeightings!$B$21:$F$21)</f>
        <v>0.1578811421380252</v>
      </c>
      <c r="K83" s="247">
        <f>MeasureInputsANDResults!I205*inputWeightings!$B$21+MeasureInputsANDResults!L205*inputWeightings!$C$21+MeasureInputsANDResults!O205*inputWeightings!$D$21+MeasureInputsANDResults!R205*inputWeightings!$E$21+MeasureInputsANDResults!U205*inputWeightings!$F$21</f>
        <v>31.736895128284569</v>
      </c>
      <c r="L83" s="247">
        <f>MeasureInputsANDResults!J205*inputWeightings!$B$21+MeasureInputsANDResults!M205*inputWeightings!$C$21+MeasureInputsANDResults!P205*inputWeightings!$D$21+MeasureInputsANDResults!S205*inputWeightings!$E$21+MeasureInputsANDResults!V205*inputWeightings!$F$21</f>
        <v>32.30351481749824</v>
      </c>
      <c r="M83" s="330">
        <f>MeasureInputsANDResults!K205*inputWeightings!$B$21+MeasureInputsANDResults!N205*inputWeightings!$C$21+MeasureInputsANDResults!Q205*inputWeightings!$D$21+MeasureInputsANDResults!T205*inputWeightings!$E$21+MeasureInputsANDResults!W205*inputWeightings!$F$21</f>
        <v>18.691969731249145</v>
      </c>
      <c r="N83" s="331">
        <f>SUMPRODUCT(MeasureInputsANDResults!X205:AB205,inputWeightings!$B$34:$F$34)</f>
        <v>1.4797537748173075</v>
      </c>
    </row>
    <row r="84" spans="1:14" ht="15">
      <c r="A84" s="244" t="str">
        <f t="shared" si="10"/>
        <v>Windo21</v>
      </c>
      <c r="B84" s="245" t="str">
        <f t="shared" si="10"/>
        <v>Windows21</v>
      </c>
      <c r="C84" s="245" t="str">
        <f t="shared" si="10"/>
        <v>Windows</v>
      </c>
      <c r="D84" s="245">
        <f t="shared" si="10"/>
        <v>21</v>
      </c>
      <c r="E84" s="245" t="str">
        <f t="shared" si="10"/>
        <v>Double Pane</v>
      </c>
      <c r="F84" s="245" t="str">
        <f t="shared" si="10"/>
        <v>Class 22</v>
      </c>
      <c r="G84" s="246" t="s">
        <v>325</v>
      </c>
      <c r="H84" s="245" t="str">
        <f t="shared" si="11"/>
        <v>Windows - Double Pane to Class 22 - Heating Zone 2</v>
      </c>
      <c r="I84" s="247">
        <f>SUMPRODUCT(MeasureInputsANDResults!I260:M260,inputWeightings!$B$21:$F$21)</f>
        <v>18.803869294571719</v>
      </c>
      <c r="J84" s="248">
        <f>SUMPRODUCT(MeasureInputsANDResults!N260:R260,inputWeightings!$B$21:$F$21)</f>
        <v>0.19875859984394831</v>
      </c>
      <c r="K84" s="247">
        <f>MeasureInputsANDResults!I206*inputWeightings!$B$21+MeasureInputsANDResults!L206*inputWeightings!$C$21+MeasureInputsANDResults!O206*inputWeightings!$D$21+MeasureInputsANDResults!R206*inputWeightings!$E$21+MeasureInputsANDResults!U206*inputWeightings!$F$21</f>
        <v>18.897395849439391</v>
      </c>
      <c r="L84" s="247">
        <f>MeasureInputsANDResults!J206*inputWeightings!$B$21+MeasureInputsANDResults!M206*inputWeightings!$C$21+MeasureInputsANDResults!P206*inputWeightings!$D$21+MeasureInputsANDResults!S206*inputWeightings!$E$21+MeasureInputsANDResults!V206*inputWeightings!$F$21</f>
        <v>19.232443265234554</v>
      </c>
      <c r="M84" s="330">
        <f>MeasureInputsANDResults!K206*inputWeightings!$B$21+MeasureInputsANDResults!N206*inputWeightings!$C$21+MeasureInputsANDResults!Q206*inputWeightings!$D$21+MeasureInputsANDResults!T206*inputWeightings!$E$21+MeasureInputsANDResults!W206*inputWeightings!$F$21</f>
        <v>10.929742403103431</v>
      </c>
      <c r="N84" s="331">
        <f>SUMPRODUCT(MeasureInputsANDResults!X206:AB206,inputWeightings!$B$34:$F$34)</f>
        <v>1.9176960100483682</v>
      </c>
    </row>
    <row r="85" spans="1:14" ht="15">
      <c r="A85" s="244" t="str">
        <f t="shared" si="10"/>
        <v>Windo22</v>
      </c>
      <c r="B85" s="245" t="str">
        <f t="shared" si="10"/>
        <v>Windows22</v>
      </c>
      <c r="C85" s="245" t="str">
        <f t="shared" si="10"/>
        <v>Windows</v>
      </c>
      <c r="D85" s="245">
        <f t="shared" si="10"/>
        <v>22</v>
      </c>
      <c r="E85" s="245" t="str">
        <f t="shared" si="10"/>
        <v>Single Pane</v>
      </c>
      <c r="F85" s="245" t="str">
        <f t="shared" si="10"/>
        <v>Class 30</v>
      </c>
      <c r="G85" s="246" t="s">
        <v>325</v>
      </c>
      <c r="H85" s="245" t="str">
        <f t="shared" si="11"/>
        <v>Windows - Single Pane to Class 30 - Heating Zone 2</v>
      </c>
      <c r="I85" s="247">
        <f>SUMPRODUCT(MeasureInputsANDResults!I261:M261,inputWeightings!$B$21:$F$21)</f>
        <v>29.003104061877561</v>
      </c>
      <c r="J85" s="248">
        <f>SUMPRODUCT(MeasureInputsANDResults!N261:R261,inputWeightings!$B$21:$F$21)</f>
        <v>0.14763775750171543</v>
      </c>
      <c r="K85" s="247">
        <f>MeasureInputsANDResults!I207*inputWeightings!$B$21+MeasureInputsANDResults!L207*inputWeightings!$C$21+MeasureInputsANDResults!O207*inputWeightings!$D$21+MeasureInputsANDResults!R207*inputWeightings!$E$21+MeasureInputsANDResults!U207*inputWeightings!$F$21</f>
        <v>29.141597442207942</v>
      </c>
      <c r="L85" s="247">
        <f>MeasureInputsANDResults!J207*inputWeightings!$B$21+MeasureInputsANDResults!M207*inputWeightings!$C$21+MeasureInputsANDResults!P207*inputWeightings!$D$21+MeasureInputsANDResults!S207*inputWeightings!$E$21+MeasureInputsANDResults!V207*inputWeightings!$F$21</f>
        <v>29.658349144731158</v>
      </c>
      <c r="M85" s="330">
        <f>MeasureInputsANDResults!K207*inputWeightings!$B$21+MeasureInputsANDResults!N207*inputWeightings!$C$21+MeasureInputsANDResults!Q207*inputWeightings!$D$21+MeasureInputsANDResults!T207*inputWeightings!$E$21+MeasureInputsANDResults!W207*inputWeightings!$F$21</f>
        <v>17.30534083938937</v>
      </c>
      <c r="N85" s="331">
        <f>SUMPRODUCT(MeasureInputsANDResults!X207:AB207,inputWeightings!$B$34:$F$34)</f>
        <v>1.3894728730240868</v>
      </c>
    </row>
    <row r="86" spans="1:14" ht="15">
      <c r="A86" s="244" t="str">
        <f t="shared" ref="A86:F101" si="12">A40</f>
        <v>Windo23</v>
      </c>
      <c r="B86" s="245" t="str">
        <f t="shared" si="12"/>
        <v>Windows23</v>
      </c>
      <c r="C86" s="245" t="str">
        <f t="shared" si="12"/>
        <v>Windows</v>
      </c>
      <c r="D86" s="245">
        <f t="shared" si="12"/>
        <v>23</v>
      </c>
      <c r="E86" s="245" t="str">
        <f t="shared" si="12"/>
        <v>Double Pane</v>
      </c>
      <c r="F86" s="245" t="str">
        <f t="shared" si="12"/>
        <v>Class 30</v>
      </c>
      <c r="G86" s="246" t="s">
        <v>325</v>
      </c>
      <c r="H86" s="245" t="str">
        <f t="shared" si="11"/>
        <v>Windows - Double Pane to Class 30 - Heating Zone 2</v>
      </c>
      <c r="I86" s="247">
        <f>SUMPRODUCT(MeasureInputsANDResults!I262:M262,inputWeightings!$B$21:$F$21)</f>
        <v>16.222781647895456</v>
      </c>
      <c r="J86" s="248">
        <f>SUMPRODUCT(MeasureInputsANDResults!N262:R262,inputWeightings!$B$21:$F$21)</f>
        <v>0.18851521520763859</v>
      </c>
      <c r="K86" s="247">
        <f>MeasureInputsANDResults!I208*inputWeightings!$B$21+MeasureInputsANDResults!L208*inputWeightings!$C$21+MeasureInputsANDResults!O208*inputWeightings!$D$21+MeasureInputsANDResults!R208*inputWeightings!$E$21+MeasureInputsANDResults!U208*inputWeightings!$F$21</f>
        <v>16.302098163362761</v>
      </c>
      <c r="L86" s="247">
        <f>MeasureInputsANDResults!J208*inputWeightings!$B$21+MeasureInputsANDResults!M208*inputWeightings!$C$21+MeasureInputsANDResults!P208*inputWeightings!$D$21+MeasureInputsANDResults!S208*inputWeightings!$E$21+MeasureInputsANDResults!V208*inputWeightings!$F$21</f>
        <v>16.587277592467462</v>
      </c>
      <c r="M86" s="330">
        <f>MeasureInputsANDResults!K208*inputWeightings!$B$21+MeasureInputsANDResults!N208*inputWeightings!$C$21+MeasureInputsANDResults!Q208*inputWeightings!$D$21+MeasureInputsANDResults!T208*inputWeightings!$E$21+MeasureInputsANDResults!W208*inputWeightings!$F$21</f>
        <v>9.5431135112436589</v>
      </c>
      <c r="N86" s="331">
        <f>SUMPRODUCT(MeasureInputsANDResults!X208:AB208,inputWeightings!$B$34:$F$34)</f>
        <v>1.8274151082551477</v>
      </c>
    </row>
    <row r="87" spans="1:14" ht="15">
      <c r="A87" s="244" t="str">
        <f t="shared" si="12"/>
        <v>Windo24</v>
      </c>
      <c r="B87" s="245" t="str">
        <f t="shared" si="12"/>
        <v>Windows24</v>
      </c>
      <c r="C87" s="245" t="str">
        <f t="shared" si="12"/>
        <v>Windows</v>
      </c>
      <c r="D87" s="245">
        <f t="shared" si="12"/>
        <v>24</v>
      </c>
      <c r="E87" s="245" t="str">
        <f t="shared" si="12"/>
        <v>Class 35</v>
      </c>
      <c r="F87" s="245" t="str">
        <f t="shared" si="12"/>
        <v>Class 30</v>
      </c>
      <c r="G87" s="246" t="s">
        <v>325</v>
      </c>
      <c r="H87" s="245" t="str">
        <f t="shared" si="11"/>
        <v>Windows - Class 35 to Class 30 - Heating Zone 2</v>
      </c>
      <c r="I87" s="247">
        <f>SUMPRODUCT(MeasureInputsANDResults!I263:M263,inputWeightings!$B$21:$F$21)</f>
        <v>1.7570087539786754</v>
      </c>
      <c r="J87" s="248">
        <f>SUMPRODUCT(MeasureInputsANDResults!N263:R263,inputWeightings!$B$21:$F$21)</f>
        <v>3.4357403346212409E-3</v>
      </c>
      <c r="K87" s="247">
        <f>MeasureInputsANDResults!I209*inputWeightings!$B$21+MeasureInputsANDResults!L209*inputWeightings!$C$21+MeasureInputsANDResults!O209*inputWeightings!$D$21+MeasureInputsANDResults!R209*inputWeightings!$E$21+MeasureInputsANDResults!U209*inputWeightings!$F$21</f>
        <v>1.7667013012237769</v>
      </c>
      <c r="L87" s="247">
        <f>MeasureInputsANDResults!J209*inputWeightings!$B$21+MeasureInputsANDResults!M209*inputWeightings!$C$21+MeasureInputsANDResults!P209*inputWeightings!$D$21+MeasureInputsANDResults!S209*inputWeightings!$E$21+MeasureInputsANDResults!V209*inputWeightings!$F$21</f>
        <v>1.8001394672522337</v>
      </c>
      <c r="M87" s="330">
        <f>MeasureInputsANDResults!K209*inputWeightings!$B$21+MeasureInputsANDResults!N209*inputWeightings!$C$21+MeasureInputsANDResults!Q209*inputWeightings!$D$21+MeasureInputsANDResults!T209*inputWeightings!$E$21+MeasureInputsANDResults!W209*inputWeightings!$F$21</f>
        <v>0.94333586944101733</v>
      </c>
      <c r="N87" s="331">
        <f>SUMPRODUCT(MeasureInputsANDResults!X209:AB209,inputWeightings!$B$34:$F$34)</f>
        <v>2.7116310596542306E-2</v>
      </c>
    </row>
    <row r="88" spans="1:14" ht="15">
      <c r="A88" s="297" t="str">
        <f t="shared" si="12"/>
        <v>Infil10</v>
      </c>
      <c r="B88" s="298" t="str">
        <f t="shared" si="12"/>
        <v>Infiltration10</v>
      </c>
      <c r="C88" s="298" t="str">
        <f t="shared" si="12"/>
        <v>Infiltration</v>
      </c>
      <c r="D88" s="298">
        <f t="shared" si="12"/>
        <v>10</v>
      </c>
      <c r="E88" s="298" t="str">
        <f t="shared" si="12"/>
        <v>0.45 ACHn</v>
      </c>
      <c r="F88" s="298" t="str">
        <f t="shared" si="12"/>
        <v>0.35 ACHn</v>
      </c>
      <c r="G88" s="530" t="s">
        <v>325</v>
      </c>
      <c r="H88" s="298" t="str">
        <f>C88&amp;" Reduction - "&amp;E88&amp;" to "&amp;F88&amp;" - "&amp;G88</f>
        <v>Infiltration Reduction - 0.45 ACHn to 0.35 ACHn - Heating Zone 2</v>
      </c>
      <c r="I88" s="531">
        <f>SUMPRODUCT(MeasureInputsANDResults!I264:M264,inputWeightings!$B$21:$F$21)</f>
        <v>0</v>
      </c>
      <c r="J88" s="532">
        <f>SUMPRODUCT(MeasureInputsANDResults!N264:R264,inputWeightings!$B$21:$F$21)</f>
        <v>0</v>
      </c>
      <c r="K88" s="531">
        <f>MeasureInputsANDResults!I210*inputWeightings!$B$21+MeasureInputsANDResults!L210*inputWeightings!$C$21+MeasureInputsANDResults!O210*inputWeightings!$D$21+MeasureInputsANDResults!R210*inputWeightings!$E$21+MeasureInputsANDResults!U210*inputWeightings!$F$21</f>
        <v>0</v>
      </c>
      <c r="L88" s="531">
        <f>MeasureInputsANDResults!J210*inputWeightings!$B$21+MeasureInputsANDResults!M210*inputWeightings!$C$21+MeasureInputsANDResults!P210*inputWeightings!$D$21+MeasureInputsANDResults!S210*inputWeightings!$E$21+MeasureInputsANDResults!V210*inputWeightings!$F$21</f>
        <v>0</v>
      </c>
      <c r="M88" s="533">
        <f>MeasureInputsANDResults!K210*inputWeightings!$B$21+MeasureInputsANDResults!N210*inputWeightings!$C$21+MeasureInputsANDResults!Q210*inputWeightings!$D$21+MeasureInputsANDResults!T210*inputWeightings!$E$21+MeasureInputsANDResults!W210*inputWeightings!$F$21</f>
        <v>0</v>
      </c>
      <c r="N88" s="534">
        <f>SUMPRODUCT(MeasureInputsANDResults!X210:AB210,inputWeightings!$B$34:$F$34)</f>
        <v>0</v>
      </c>
    </row>
    <row r="89" spans="1:14" ht="15">
      <c r="A89" s="253" t="str">
        <f t="shared" si="12"/>
        <v>Infil11</v>
      </c>
      <c r="B89" s="254" t="str">
        <f t="shared" si="12"/>
        <v>Infiltration11</v>
      </c>
      <c r="C89" s="254" t="str">
        <f t="shared" si="12"/>
        <v>Infiltration</v>
      </c>
      <c r="D89" s="254">
        <f t="shared" si="12"/>
        <v>11</v>
      </c>
      <c r="E89" s="254" t="str">
        <f t="shared" si="12"/>
        <v>0.45 ACHn</v>
      </c>
      <c r="F89" s="254" t="str">
        <f t="shared" si="12"/>
        <v>0.20 ACHn</v>
      </c>
      <c r="G89" s="255" t="s">
        <v>325</v>
      </c>
      <c r="H89" s="254" t="str">
        <f t="shared" ref="H89:H90" si="13">C89&amp;" Reduction - "&amp;E89&amp;" to "&amp;F89&amp;" - "&amp;G89</f>
        <v>Infiltration Reduction - 0.45 ACHn to 0.20 ACHn - Heating Zone 2</v>
      </c>
      <c r="I89" s="256">
        <f>SUMPRODUCT(MeasureInputsANDResults!I265:M265,inputWeightings!$B$21:$F$21)</f>
        <v>0</v>
      </c>
      <c r="J89" s="257">
        <f>SUMPRODUCT(MeasureInputsANDResults!N265:R265,inputWeightings!$B$21:$F$21)</f>
        <v>0</v>
      </c>
      <c r="K89" s="256">
        <f>MeasureInputsANDResults!I211*inputWeightings!$B$21+MeasureInputsANDResults!L211*inputWeightings!$C$21+MeasureInputsANDResults!O211*inputWeightings!$D$21+MeasureInputsANDResults!R211*inputWeightings!$E$21+MeasureInputsANDResults!U211*inputWeightings!$F$21</f>
        <v>0</v>
      </c>
      <c r="L89" s="256">
        <f>MeasureInputsANDResults!J211*inputWeightings!$B$21+MeasureInputsANDResults!M211*inputWeightings!$C$21+MeasureInputsANDResults!P211*inputWeightings!$D$21+MeasureInputsANDResults!S211*inputWeightings!$E$21+MeasureInputsANDResults!V211*inputWeightings!$F$21</f>
        <v>0</v>
      </c>
      <c r="M89" s="535">
        <f>MeasureInputsANDResults!K211*inputWeightings!$B$21+MeasureInputsANDResults!N211*inputWeightings!$C$21+MeasureInputsANDResults!Q211*inputWeightings!$D$21+MeasureInputsANDResults!T211*inputWeightings!$E$21+MeasureInputsANDResults!W211*inputWeightings!$F$21</f>
        <v>0</v>
      </c>
      <c r="N89" s="333">
        <f>SUMPRODUCT(MeasureInputsANDResults!X211:AB211,inputWeightings!$B$34:$F$34)</f>
        <v>0</v>
      </c>
    </row>
    <row r="90" spans="1:14" ht="15">
      <c r="A90" s="290" t="str">
        <f t="shared" si="12"/>
        <v>Infil12</v>
      </c>
      <c r="B90" s="291" t="str">
        <f t="shared" si="12"/>
        <v>Infiltration12</v>
      </c>
      <c r="C90" s="291" t="str">
        <f t="shared" si="12"/>
        <v>Infiltration</v>
      </c>
      <c r="D90" s="291">
        <f t="shared" si="12"/>
        <v>12</v>
      </c>
      <c r="E90" s="291" t="str">
        <f t="shared" si="12"/>
        <v>0.35 ACHn</v>
      </c>
      <c r="F90" s="291" t="str">
        <f t="shared" si="12"/>
        <v>0.20 ACHn</v>
      </c>
      <c r="G90" s="292" t="s">
        <v>325</v>
      </c>
      <c r="H90" s="291" t="str">
        <f t="shared" si="13"/>
        <v>Infiltration Reduction - 0.35 ACHn to 0.20 ACHn - Heating Zone 2</v>
      </c>
      <c r="I90" s="293">
        <f>SUMPRODUCT(MeasureInputsANDResults!I266:M266,inputWeightings!$B$21:$F$21)</f>
        <v>0</v>
      </c>
      <c r="J90" s="294">
        <f>SUMPRODUCT(MeasureInputsANDResults!N266:R266,inputWeightings!$B$21:$F$21)</f>
        <v>0</v>
      </c>
      <c r="K90" s="293">
        <f>MeasureInputsANDResults!I212*inputWeightings!$B$21+MeasureInputsANDResults!L212*inputWeightings!$C$21+MeasureInputsANDResults!O212*inputWeightings!$D$21+MeasureInputsANDResults!R212*inputWeightings!$E$21+MeasureInputsANDResults!U212*inputWeightings!$F$21</f>
        <v>0</v>
      </c>
      <c r="L90" s="293">
        <f>MeasureInputsANDResults!J212*inputWeightings!$B$21+MeasureInputsANDResults!M212*inputWeightings!$C$21+MeasureInputsANDResults!P212*inputWeightings!$D$21+MeasureInputsANDResults!S212*inputWeightings!$E$21+MeasureInputsANDResults!V212*inputWeightings!$F$21</f>
        <v>0</v>
      </c>
      <c r="M90" s="536">
        <f>MeasureInputsANDResults!K212*inputWeightings!$B$21+MeasureInputsANDResults!N212*inputWeightings!$C$21+MeasureInputsANDResults!Q212*inputWeightings!$D$21+MeasureInputsANDResults!T212*inputWeightings!$E$21+MeasureInputsANDResults!W212*inputWeightings!$F$21</f>
        <v>0</v>
      </c>
      <c r="N90" s="340">
        <f>SUMPRODUCT(MeasureInputsANDResults!X212:AB212,inputWeightings!$B$34:$F$34)</f>
        <v>0</v>
      </c>
    </row>
    <row r="91" spans="1:14" ht="15">
      <c r="A91" s="253" t="str">
        <f t="shared" si="12"/>
        <v>DuctT10</v>
      </c>
      <c r="B91" s="254" t="str">
        <f t="shared" si="12"/>
        <v>DuctTightness10</v>
      </c>
      <c r="C91" s="254" t="str">
        <f t="shared" si="12"/>
        <v>DuctTightness</v>
      </c>
      <c r="D91" s="254">
        <f t="shared" si="12"/>
        <v>10</v>
      </c>
      <c r="E91" s="254" t="str">
        <f t="shared" si="12"/>
        <v>Std-crawl</v>
      </c>
      <c r="F91" s="254" t="str">
        <f t="shared" si="12"/>
        <v>PTCS-crawl</v>
      </c>
      <c r="G91" s="254" t="s">
        <v>325</v>
      </c>
      <c r="H91" s="254" t="str">
        <f>C91&amp;" - "&amp;E91&amp;" to "&amp;F91&amp;" - "&amp;G91</f>
        <v>DuctTightness - Std-crawl to PTCS-crawl - Heating Zone 2</v>
      </c>
      <c r="I91" s="301">
        <f>SUMPRODUCT(MeasureInputsANDResults!I267:M267,inputWeightings!$B$21:$F$21)</f>
        <v>1635.3257064612476</v>
      </c>
      <c r="J91" s="302">
        <f>SUMPRODUCT(MeasureInputsANDResults!N267:R267,inputWeightings!$B$21:$F$21)</f>
        <v>42.725298402003084</v>
      </c>
      <c r="K91" s="301">
        <f>MeasureInputsANDResults!I213*inputWeightings!$B$21+MeasureInputsANDResults!L213*inputWeightings!$C$21+MeasureInputsANDResults!O213*inputWeightings!$D$21+MeasureInputsANDResults!R213*inputWeightings!$E$21+MeasureInputsANDResults!U213*inputWeightings!$F$21</f>
        <v>0</v>
      </c>
      <c r="L91" s="301">
        <f>MeasureInputsANDResults!J213*inputWeightings!$B$21+MeasureInputsANDResults!M213*inputWeightings!$C$21+MeasureInputsANDResults!P213*inputWeightings!$D$21+MeasureInputsANDResults!S213*inputWeightings!$E$21+MeasureInputsANDResults!V213*inputWeightings!$F$21</f>
        <v>348.80462069499646</v>
      </c>
      <c r="M91" s="345">
        <f>MeasureInputsANDResults!K213*inputWeightings!$B$21+MeasureInputsANDResults!N213*inputWeightings!$C$21+MeasureInputsANDResults!Q213*inputWeightings!$D$21+MeasureInputsANDResults!T213*inputWeightings!$E$21+MeasureInputsANDResults!W213*inputWeightings!$F$21</f>
        <v>3995.3412058823515</v>
      </c>
      <c r="N91" s="346">
        <f>SUMPRODUCT(MeasureInputsANDResults!X213:AB213,inputWeightings!$B$34:$F$34)</f>
        <v>413.47297771499973</v>
      </c>
    </row>
    <row r="92" spans="1:14" ht="15">
      <c r="A92" s="297" t="str">
        <f t="shared" si="12"/>
        <v>DuctI10</v>
      </c>
      <c r="B92" s="298" t="str">
        <f t="shared" si="12"/>
        <v>DuctInsulation10</v>
      </c>
      <c r="C92" s="298" t="str">
        <f t="shared" si="12"/>
        <v>DuctInsulation</v>
      </c>
      <c r="D92" s="298">
        <f t="shared" si="12"/>
        <v>10</v>
      </c>
      <c r="E92" s="298" t="str">
        <f t="shared" si="12"/>
        <v>R-0</v>
      </c>
      <c r="F92" s="298" t="str">
        <f t="shared" si="12"/>
        <v>R-4.2</v>
      </c>
      <c r="G92" s="298" t="s">
        <v>325</v>
      </c>
      <c r="H92" s="298" t="str">
        <f t="shared" ref="H92:H94" si="14">C92&amp;" - "&amp;E92&amp;" to "&amp;F92&amp;" - "&amp;G92</f>
        <v>DuctInsulation - R-0 to R-4.2 - Heating Zone 2</v>
      </c>
      <c r="I92" s="299">
        <f>SUMPRODUCT(MeasureInputsANDResults!I268:M268,inputWeightings!$B$21:$F$21)</f>
        <v>135.03324674563294</v>
      </c>
      <c r="J92" s="300">
        <f>SUMPRODUCT(MeasureInputsANDResults!N268:R268,inputWeightings!$B$21:$F$21)</f>
        <v>2.7914565299401692</v>
      </c>
      <c r="K92" s="299">
        <f>MeasureInputsANDResults!I214*inputWeightings!$B$21+MeasureInputsANDResults!L214*inputWeightings!$C$21+MeasureInputsANDResults!O214*inputWeightings!$D$21+MeasureInputsANDResults!R214*inputWeightings!$E$21+MeasureInputsANDResults!U214*inputWeightings!$F$21</f>
        <v>0</v>
      </c>
      <c r="L92" s="299">
        <f>MeasureInputsANDResults!J214*inputWeightings!$B$21+MeasureInputsANDResults!M214*inputWeightings!$C$21+MeasureInputsANDResults!P214*inputWeightings!$D$21+MeasureInputsANDResults!S214*inputWeightings!$E$21+MeasureInputsANDResults!V214*inputWeightings!$F$21</f>
        <v>100.25957319499742</v>
      </c>
      <c r="M92" s="343">
        <f>MeasureInputsANDResults!K214*inputWeightings!$B$21+MeasureInputsANDResults!N214*inputWeightings!$C$21+MeasureInputsANDResults!Q214*inputWeightings!$D$21+MeasureInputsANDResults!T214*inputWeightings!$E$21+MeasureInputsANDResults!W214*inputWeightings!$F$21</f>
        <v>198.82264705882773</v>
      </c>
      <c r="N92" s="344">
        <f>SUMPRODUCT(MeasureInputsANDResults!X214:AB214,inputWeightings!$B$34:$F$34)</f>
        <v>26.859237802500388</v>
      </c>
    </row>
    <row r="93" spans="1:14" ht="15">
      <c r="A93" s="253" t="str">
        <f t="shared" si="12"/>
        <v>DuctI11</v>
      </c>
      <c r="B93" s="254" t="str">
        <f t="shared" si="12"/>
        <v>DuctInsulation11</v>
      </c>
      <c r="C93" s="254" t="str">
        <f t="shared" si="12"/>
        <v>DuctInsulation</v>
      </c>
      <c r="D93" s="254">
        <f t="shared" si="12"/>
        <v>11</v>
      </c>
      <c r="E93" s="254" t="str">
        <f t="shared" si="12"/>
        <v>R-0</v>
      </c>
      <c r="F93" s="254" t="str">
        <f t="shared" si="12"/>
        <v>R-11</v>
      </c>
      <c r="G93" s="254" t="s">
        <v>325</v>
      </c>
      <c r="H93" s="254" t="str">
        <f t="shared" si="14"/>
        <v>DuctInsulation - R-0 to R-11 - Heating Zone 2</v>
      </c>
      <c r="I93" s="301">
        <f>SUMPRODUCT(MeasureInputsANDResults!I269:M269,inputWeightings!$B$21:$F$21)</f>
        <v>187.27976808104444</v>
      </c>
      <c r="J93" s="302">
        <f>SUMPRODUCT(MeasureInputsANDResults!N269:R269,inputWeightings!$B$21:$F$21)</f>
        <v>3.8600643940086621</v>
      </c>
      <c r="K93" s="301">
        <f>MeasureInputsANDResults!I215*inputWeightings!$B$21+MeasureInputsANDResults!L215*inputWeightings!$C$21+MeasureInputsANDResults!O215*inputWeightings!$D$21+MeasureInputsANDResults!R215*inputWeightings!$E$21+MeasureInputsANDResults!U215*inputWeightings!$F$21</f>
        <v>0</v>
      </c>
      <c r="L93" s="301">
        <f>MeasureInputsANDResults!J215*inputWeightings!$B$21+MeasureInputsANDResults!M215*inputWeightings!$C$21+MeasureInputsANDResults!P215*inputWeightings!$D$21+MeasureInputsANDResults!S215*inputWeightings!$E$21+MeasureInputsANDResults!V215*inputWeightings!$F$21</f>
        <v>137.93784164999633</v>
      </c>
      <c r="M93" s="345">
        <f>MeasureInputsANDResults!K215*inputWeightings!$B$21+MeasureInputsANDResults!N215*inputWeightings!$C$21+MeasureInputsANDResults!Q215*inputWeightings!$D$21+MeasureInputsANDResults!T215*inputWeightings!$E$21+MeasureInputsANDResults!W215*inputWeightings!$F$21</f>
        <v>277.7934117647103</v>
      </c>
      <c r="N93" s="346">
        <f>SUMPRODUCT(MeasureInputsANDResults!X215:AB215,inputWeightings!$B$34:$F$34)</f>
        <v>37.190448495000624</v>
      </c>
    </row>
    <row r="94" spans="1:14" ht="15">
      <c r="A94" s="290" t="str">
        <f t="shared" si="12"/>
        <v>DuctI12</v>
      </c>
      <c r="B94" s="291" t="str">
        <f t="shared" si="12"/>
        <v>DuctInsulation12</v>
      </c>
      <c r="C94" s="291" t="str">
        <f t="shared" si="12"/>
        <v>DuctInsulation</v>
      </c>
      <c r="D94" s="291">
        <f t="shared" si="12"/>
        <v>12</v>
      </c>
      <c r="E94" s="291" t="str">
        <f t="shared" si="12"/>
        <v>R-4.2</v>
      </c>
      <c r="F94" s="291" t="str">
        <f t="shared" si="12"/>
        <v>R-11</v>
      </c>
      <c r="G94" s="291" t="s">
        <v>325</v>
      </c>
      <c r="H94" s="291" t="str">
        <f t="shared" si="14"/>
        <v>DuctInsulation - R-4.2 to R-11 - Heating Zone 2</v>
      </c>
      <c r="I94" s="303">
        <f>SUMPRODUCT(MeasureInputsANDResults!I270:M270,inputWeightings!$B$21:$F$21)</f>
        <v>52.246521335411536</v>
      </c>
      <c r="J94" s="304">
        <f>SUMPRODUCT(MeasureInputsANDResults!N270:R270,inputWeightings!$B$21:$F$21)</f>
        <v>1.0686078640684933</v>
      </c>
      <c r="K94" s="303">
        <f>MeasureInputsANDResults!I216*inputWeightings!$B$21+MeasureInputsANDResults!L216*inputWeightings!$C$21+MeasureInputsANDResults!O216*inputWeightings!$D$21+MeasureInputsANDResults!R216*inputWeightings!$E$21+MeasureInputsANDResults!U216*inputWeightings!$F$21</f>
        <v>0</v>
      </c>
      <c r="L94" s="303">
        <f>MeasureInputsANDResults!J216*inputWeightings!$B$21+MeasureInputsANDResults!M216*inputWeightings!$C$21+MeasureInputsANDResults!P216*inputWeightings!$D$21+MeasureInputsANDResults!S216*inputWeightings!$E$21+MeasureInputsANDResults!V216*inputWeightings!$F$21</f>
        <v>37.678268454998914</v>
      </c>
      <c r="M94" s="347">
        <f>MeasureInputsANDResults!K216*inputWeightings!$B$21+MeasureInputsANDResults!N216*inputWeightings!$C$21+MeasureInputsANDResults!Q216*inputWeightings!$D$21+MeasureInputsANDResults!T216*inputWeightings!$E$21+MeasureInputsANDResults!W216*inputWeightings!$F$21</f>
        <v>78.970764705882544</v>
      </c>
      <c r="N94" s="348">
        <f>SUMPRODUCT(MeasureInputsANDResults!X216:AB216,inputWeightings!$B$34:$F$34)</f>
        <v>10.331210692500232</v>
      </c>
    </row>
    <row r="95" spans="1:14" ht="15">
      <c r="A95" s="253" t="str">
        <f t="shared" si="12"/>
        <v>HeatP10</v>
      </c>
      <c r="B95" s="254" t="str">
        <f t="shared" si="12"/>
        <v>HeatPump10</v>
      </c>
      <c r="C95" s="254" t="str">
        <f t="shared" si="12"/>
        <v>HeatPump</v>
      </c>
      <c r="D95" s="254">
        <f t="shared" si="12"/>
        <v>10</v>
      </c>
      <c r="E95" s="254" t="str">
        <f t="shared" si="12"/>
        <v>7.7/13</v>
      </c>
      <c r="F95" s="254" t="str">
        <f t="shared" si="12"/>
        <v>8.5/13</v>
      </c>
      <c r="G95" s="254" t="s">
        <v>325</v>
      </c>
      <c r="H95" s="254" t="str">
        <f>C95&amp;" Upgrade - "&amp;E95&amp;" to "&amp;F95&amp;" - "&amp;G95</f>
        <v>HeatPump Upgrade - 7.7/13 to 8.5/13 - Heating Zone 2</v>
      </c>
      <c r="I95" s="301"/>
      <c r="J95" s="302"/>
      <c r="K95" s="301"/>
      <c r="L95" s="301"/>
      <c r="M95" s="345">
        <f>MeasureInputsANDResults!K217*inputWeightings!$B$21+MeasureInputsANDResults!N217*inputWeightings!$C$21+MeasureInputsANDResults!Q217*inputWeightings!$D$21+MeasureInputsANDResults!T217*inputWeightings!$E$21+MeasureInputsANDResults!W217*inputWeightings!$F$21</f>
        <v>562.08535026737877</v>
      </c>
      <c r="N95" s="346">
        <f>SUMPRODUCT(MeasureInputsANDResults!X217:AB217,inputWeightings!$B$34:$F$34)</f>
        <v>0</v>
      </c>
    </row>
    <row r="96" spans="1:14" ht="15">
      <c r="A96" s="253" t="str">
        <f t="shared" si="12"/>
        <v>HeatP11</v>
      </c>
      <c r="B96" s="254" t="str">
        <f t="shared" si="12"/>
        <v>HeatPump11</v>
      </c>
      <c r="C96" s="254" t="str">
        <f t="shared" si="12"/>
        <v>HeatPump</v>
      </c>
      <c r="D96" s="254">
        <f t="shared" si="12"/>
        <v>11</v>
      </c>
      <c r="E96" s="254" t="str">
        <f t="shared" si="12"/>
        <v>7.7/13</v>
      </c>
      <c r="F96" s="254" t="str">
        <f t="shared" si="12"/>
        <v>9.0/14</v>
      </c>
      <c r="G96" s="254" t="s">
        <v>325</v>
      </c>
      <c r="H96" s="254" t="str">
        <f t="shared" ref="H96:H98" si="15">C96&amp;" Upgrade - "&amp;E96&amp;" to "&amp;F96&amp;" - "&amp;G96</f>
        <v>HeatPump Upgrade - 7.7/13 to 9.0/14 - Heating Zone 2</v>
      </c>
      <c r="I96" s="301"/>
      <c r="J96" s="302"/>
      <c r="K96" s="301"/>
      <c r="L96" s="301"/>
      <c r="M96" s="345">
        <f>MeasureInputsANDResults!K218*inputWeightings!$B$21+MeasureInputsANDResults!N218*inputWeightings!$C$21+MeasureInputsANDResults!Q218*inputWeightings!$D$21+MeasureInputsANDResults!T218*inputWeightings!$E$21+MeasureInputsANDResults!W218*inputWeightings!$F$21</f>
        <v>822.62740909090837</v>
      </c>
      <c r="N96" s="346">
        <f>SUMPRODUCT(MeasureInputsANDResults!X218:AB218,inputWeightings!$B$34:$F$34)</f>
        <v>216.62932766008913</v>
      </c>
    </row>
    <row r="97" spans="1:14" ht="15">
      <c r="A97" s="290" t="str">
        <f t="shared" si="12"/>
        <v>HeatP12</v>
      </c>
      <c r="B97" s="291" t="str">
        <f t="shared" si="12"/>
        <v>HeatPump12</v>
      </c>
      <c r="C97" s="291" t="str">
        <f t="shared" si="12"/>
        <v>HeatPump</v>
      </c>
      <c r="D97" s="291">
        <f t="shared" si="12"/>
        <v>12</v>
      </c>
      <c r="E97" s="291" t="str">
        <f t="shared" si="12"/>
        <v>7.7/13</v>
      </c>
      <c r="F97" s="291" t="str">
        <f t="shared" si="12"/>
        <v>8.2/13</v>
      </c>
      <c r="G97" s="291" t="s">
        <v>325</v>
      </c>
      <c r="H97" s="291" t="str">
        <f t="shared" si="15"/>
        <v>HeatPump Upgrade - 7.7/13 to 8.2/13 - Heating Zone 2</v>
      </c>
      <c r="I97" s="303"/>
      <c r="J97" s="304"/>
      <c r="K97" s="303"/>
      <c r="L97" s="303"/>
      <c r="M97" s="347">
        <f>MeasureInputsANDResults!K219*inputWeightings!$B$21+MeasureInputsANDResults!N219*inputWeightings!$C$21+MeasureInputsANDResults!Q219*inputWeightings!$D$21+MeasureInputsANDResults!T219*inputWeightings!$E$21+MeasureInputsANDResults!W219*inputWeightings!$F$21</f>
        <v>390.5088725055416</v>
      </c>
      <c r="N97" s="346">
        <f>SUMPRODUCT(MeasureInputsANDResults!X219:AB219,inputWeightings!$B$34:$F$34)</f>
        <v>0</v>
      </c>
    </row>
    <row r="98" spans="1:14" ht="15.75" thickBot="1">
      <c r="A98" s="305" t="str">
        <f t="shared" si="12"/>
        <v>HPCnt10</v>
      </c>
      <c r="B98" s="306" t="str">
        <f t="shared" si="12"/>
        <v>HPCntrls10</v>
      </c>
      <c r="C98" s="306" t="str">
        <f t="shared" si="12"/>
        <v>HPCntrls</v>
      </c>
      <c r="D98" s="306">
        <f t="shared" si="12"/>
        <v>10</v>
      </c>
      <c r="E98" s="306" t="str">
        <f t="shared" si="12"/>
        <v>Standard</v>
      </c>
      <c r="F98" s="306" t="str">
        <f t="shared" si="12"/>
        <v>PTCS</v>
      </c>
      <c r="G98" s="306" t="s">
        <v>325</v>
      </c>
      <c r="H98" s="306" t="str">
        <f t="shared" si="15"/>
        <v>HPCntrls Upgrade - Standard to PTCS - Heating Zone 2</v>
      </c>
      <c r="I98" s="307"/>
      <c r="J98" s="308"/>
      <c r="K98" s="307"/>
      <c r="L98" s="307"/>
      <c r="M98" s="349">
        <f>MeasureInputsANDResults!K220*inputWeightings!$B$21+MeasureInputsANDResults!N220*inputWeightings!$C$21+MeasureInputsANDResults!Q220*inputWeightings!$D$21+MeasureInputsANDResults!T220*inputWeightings!$E$21+MeasureInputsANDResults!W220*inputWeightings!$F$21</f>
        <v>2044.7653602941182</v>
      </c>
      <c r="N98" s="350">
        <f>SUMPRODUCT(MeasureInputsANDResults!X220:AB220,inputWeightings!B34:F34)</f>
        <v>-3.696052695000037</v>
      </c>
    </row>
    <row r="99" spans="1:14" ht="15">
      <c r="A99" s="232" t="str">
        <f t="shared" si="12"/>
        <v>Walls10</v>
      </c>
      <c r="B99" s="233" t="str">
        <f t="shared" si="12"/>
        <v>Walls10</v>
      </c>
      <c r="C99" s="233" t="str">
        <f t="shared" si="12"/>
        <v>Walls</v>
      </c>
      <c r="D99" s="233">
        <f t="shared" si="12"/>
        <v>10</v>
      </c>
      <c r="E99" s="233" t="str">
        <f t="shared" si="12"/>
        <v>R-0</v>
      </c>
      <c r="F99" s="233" t="str">
        <f t="shared" si="12"/>
        <v>R-11</v>
      </c>
      <c r="G99" s="234" t="s">
        <v>326</v>
      </c>
      <c r="H99" s="233" t="str">
        <f t="shared" ref="H99:H109" si="16">"Multi Family Weatherization - Insulate "&amp;C99&amp;" - "&amp;E99&amp;" to "&amp;F99&amp;" - "&amp;G99</f>
        <v>Multi Family Weatherization - Insulate Walls - R-0 to R-11 - Heating Zone 3</v>
      </c>
      <c r="I99" s="235">
        <f>SUMPRODUCT(MeasureInputsANDResults!I229:M229,inputWeightings!$B$22:$F$22)</f>
        <v>2.109214600777702</v>
      </c>
      <c r="J99" s="236">
        <f>SUMPRODUCT(MeasureInputsANDResults!N229:R229,inputWeightings!$B$22:$F$22)</f>
        <v>-5.2164753425606352E-4</v>
      </c>
      <c r="K99" s="235">
        <f>MeasureInputsANDResults!I175*inputWeightings!$B$22+MeasureInputsANDResults!L175*inputWeightings!$C$22+MeasureInputsANDResults!O175*inputWeightings!$D$22+MeasureInputsANDResults!R175*inputWeightings!$E$22+MeasureInputsANDResults!U175*inputWeightings!$F$22</f>
        <v>2.1186632912856931</v>
      </c>
      <c r="L99" s="235">
        <f>MeasureInputsANDResults!J175*inputWeightings!$B$22+MeasureInputsANDResults!M175*inputWeightings!$C$22+MeasureInputsANDResults!P175*inputWeightings!$D$22+MeasureInputsANDResults!S175*inputWeightings!$E$22+MeasureInputsANDResults!V175*inputWeightings!$F$22</f>
        <v>2.1631987251147935</v>
      </c>
      <c r="M99" s="326">
        <f>MeasureInputsANDResults!K175*inputWeightings!$B$22+MeasureInputsANDResults!N175*inputWeightings!$C$22+MeasureInputsANDResults!Q175*inputWeightings!$D$22+MeasureInputsANDResults!T175*inputWeightings!$E$22+MeasureInputsANDResults!W175*inputWeightings!$F$22</f>
        <v>1.2941128108432651</v>
      </c>
      <c r="N99" s="327">
        <f>SUMPRODUCT(MeasureInputsANDResults!X175:AB175,inputWeightings!$B$35:$F$35)</f>
        <v>2.718977531756606E-2</v>
      </c>
    </row>
    <row r="100" spans="1:14" ht="15">
      <c r="A100" s="239" t="str">
        <f t="shared" si="12"/>
        <v>BGWal10</v>
      </c>
      <c r="B100" s="240" t="str">
        <f t="shared" si="12"/>
        <v>BGWalls10</v>
      </c>
      <c r="C100" s="240" t="str">
        <f t="shared" si="12"/>
        <v>BGWalls</v>
      </c>
      <c r="D100" s="240">
        <f t="shared" si="12"/>
        <v>10</v>
      </c>
      <c r="E100" s="240" t="str">
        <f t="shared" si="12"/>
        <v>R-0</v>
      </c>
      <c r="F100" s="240" t="str">
        <f t="shared" si="12"/>
        <v>R-11</v>
      </c>
      <c r="G100" s="241" t="s">
        <v>326</v>
      </c>
      <c r="H100" s="240" t="str">
        <f t="shared" si="16"/>
        <v>Multi Family Weatherization - Insulate BGWalls - R-0 to R-11 - Heating Zone 3</v>
      </c>
      <c r="I100" s="242">
        <f>SUMPRODUCT(MeasureInputsANDResults!I230:M230,inputWeightings!$B$22:$F$22)</f>
        <v>0</v>
      </c>
      <c r="J100" s="243">
        <f>SUMPRODUCT(MeasureInputsANDResults!N230:R230,inputWeightings!$B$22:$F$22)</f>
        <v>0</v>
      </c>
      <c r="K100" s="242">
        <f>MeasureInputsANDResults!I176*inputWeightings!$B$22+MeasureInputsANDResults!L176*inputWeightings!$C$22+MeasureInputsANDResults!O176*inputWeightings!$D$22+MeasureInputsANDResults!R176*inputWeightings!$E$22+MeasureInputsANDResults!U176*inputWeightings!$F$22</f>
        <v>0</v>
      </c>
      <c r="L100" s="242">
        <f>MeasureInputsANDResults!J176*inputWeightings!$B$22+MeasureInputsANDResults!M176*inputWeightings!$C$22+MeasureInputsANDResults!P176*inputWeightings!$D$22+MeasureInputsANDResults!S176*inputWeightings!$E$22+MeasureInputsANDResults!V176*inputWeightings!$F$22</f>
        <v>0</v>
      </c>
      <c r="M100" s="328">
        <f>MeasureInputsANDResults!K176*inputWeightings!$B$22+MeasureInputsANDResults!N176*inputWeightings!$C$22+MeasureInputsANDResults!Q176*inputWeightings!$D$22+MeasureInputsANDResults!T176*inputWeightings!$E$22+MeasureInputsANDResults!W176*inputWeightings!$F$22</f>
        <v>0</v>
      </c>
      <c r="N100" s="329">
        <f>SUMPRODUCT(MeasureInputsANDResults!X176:AB176,inputWeightings!$B$35:$F$35)</f>
        <v>0</v>
      </c>
    </row>
    <row r="101" spans="1:14" ht="15">
      <c r="A101" s="244" t="str">
        <f t="shared" si="12"/>
        <v>Floor10</v>
      </c>
      <c r="B101" s="245" t="str">
        <f t="shared" si="12"/>
        <v>Floors10</v>
      </c>
      <c r="C101" s="245" t="str">
        <f t="shared" si="12"/>
        <v>Floors</v>
      </c>
      <c r="D101" s="245">
        <f t="shared" si="12"/>
        <v>10</v>
      </c>
      <c r="E101" s="245" t="str">
        <f t="shared" si="12"/>
        <v>R-0</v>
      </c>
      <c r="F101" s="245" t="str">
        <f t="shared" si="12"/>
        <v>R-19</v>
      </c>
      <c r="G101" s="246" t="s">
        <v>326</v>
      </c>
      <c r="H101" s="245" t="str">
        <f t="shared" si="16"/>
        <v>Multi Family Weatherization - Insulate Floors - R-0 to R-19 - Heating Zone 3</v>
      </c>
      <c r="I101" s="247">
        <f>SUMPRODUCT(MeasureInputsANDResults!I231:M231,inputWeightings!$B$22:$F$22)</f>
        <v>0.83339424545466378</v>
      </c>
      <c r="J101" s="248">
        <f>SUMPRODUCT(MeasureInputsANDResults!N231:R231,inputWeightings!$B$22:$F$22)</f>
        <v>-8.3178112628727579E-3</v>
      </c>
      <c r="K101" s="247">
        <f>MeasureInputsANDResults!I177*inputWeightings!$B$22+MeasureInputsANDResults!L177*inputWeightings!$C$22+MeasureInputsANDResults!O177*inputWeightings!$D$22+MeasureInputsANDResults!R177*inputWeightings!$E$22+MeasureInputsANDResults!U177*inputWeightings!$F$22</f>
        <v>0.83933543743850392</v>
      </c>
      <c r="L101" s="247">
        <f>MeasureInputsANDResults!J177*inputWeightings!$B$22+MeasureInputsANDResults!M177*inputWeightings!$C$22+MeasureInputsANDResults!P177*inputWeightings!$D$22+MeasureInputsANDResults!S177*inputWeightings!$E$22+MeasureInputsANDResults!V177*inputWeightings!$F$22</f>
        <v>0.82437550182887731</v>
      </c>
      <c r="M101" s="330">
        <f>MeasureInputsANDResults!K177*inputWeightings!$B$22+MeasureInputsANDResults!N177*inputWeightings!$C$22+MeasureInputsANDResults!Q177*inputWeightings!$D$22+MeasureInputsANDResults!T177*inputWeightings!$E$22+MeasureInputsANDResults!W177*inputWeightings!$F$22</f>
        <v>0.39968299779804961</v>
      </c>
      <c r="N101" s="331">
        <f>SUMPRODUCT(MeasureInputsANDResults!X177:AB177,inputWeightings!$B$35:$F$35)</f>
        <v>-8.9672965962566548E-2</v>
      </c>
    </row>
    <row r="102" spans="1:14" ht="15">
      <c r="A102" s="253" t="str">
        <f t="shared" ref="A102:F117" si="17">A56</f>
        <v>Floor11</v>
      </c>
      <c r="B102" s="254" t="str">
        <f t="shared" si="17"/>
        <v>Floors11</v>
      </c>
      <c r="C102" s="254" t="str">
        <f t="shared" si="17"/>
        <v>Floors</v>
      </c>
      <c r="D102" s="254">
        <f t="shared" si="17"/>
        <v>11</v>
      </c>
      <c r="E102" s="254" t="str">
        <f t="shared" si="17"/>
        <v>R-0</v>
      </c>
      <c r="F102" s="254" t="str">
        <f t="shared" si="17"/>
        <v>R-25</v>
      </c>
      <c r="G102" s="255" t="s">
        <v>326</v>
      </c>
      <c r="H102" s="254" t="str">
        <f t="shared" si="16"/>
        <v>Multi Family Weatherization - Insulate Floors - R-0 to R-25 - Heating Zone 3</v>
      </c>
      <c r="I102" s="256">
        <f>SUMPRODUCT(MeasureInputsANDResults!I232:M232,inputWeightings!$B$22:$F$22)</f>
        <v>0.95701776251211657</v>
      </c>
      <c r="J102" s="257">
        <f>SUMPRODUCT(MeasureInputsANDResults!N232:R232,inputWeightings!$B$22:$F$22)</f>
        <v>-9.6697481388045483E-3</v>
      </c>
      <c r="K102" s="256">
        <f>MeasureInputsANDResults!I178*inputWeightings!$B$22+MeasureInputsANDResults!L178*inputWeightings!$C$22+MeasureInputsANDResults!O178*inputWeightings!$D$22+MeasureInputsANDResults!R178*inputWeightings!$E$22+MeasureInputsANDResults!U178*inputWeightings!$F$22</f>
        <v>0.96383913254010711</v>
      </c>
      <c r="L102" s="256">
        <f>MeasureInputsANDResults!J178*inputWeightings!$B$22+MeasureInputsANDResults!M178*inputWeightings!$C$22+MeasureInputsANDResults!P178*inputWeightings!$D$22+MeasureInputsANDResults!S178*inputWeightings!$E$22+MeasureInputsANDResults!V178*inputWeightings!$F$22</f>
        <v>0.94690606218181939</v>
      </c>
      <c r="M102" s="332">
        <f>MeasureInputsANDResults!K178*inputWeightings!$B$22+MeasureInputsANDResults!N178*inputWeightings!$C$22+MeasureInputsANDResults!Q178*inputWeightings!$D$22+MeasureInputsANDResults!T178*inputWeightings!$E$22+MeasureInputsANDResults!W178*inputWeightings!$F$22</f>
        <v>0.45860684177414163</v>
      </c>
      <c r="N102" s="333">
        <f>SUMPRODUCT(MeasureInputsANDResults!X178:AB178,inputWeightings!$B$35:$F$35)</f>
        <v>-0.10411173149197864</v>
      </c>
    </row>
    <row r="103" spans="1:14" ht="15">
      <c r="A103" s="244" t="str">
        <f t="shared" si="17"/>
        <v>Floor12</v>
      </c>
      <c r="B103" s="245" t="str">
        <f t="shared" si="17"/>
        <v>Floors12</v>
      </c>
      <c r="C103" s="245" t="str">
        <f t="shared" si="17"/>
        <v>Floors</v>
      </c>
      <c r="D103" s="245">
        <f t="shared" si="17"/>
        <v>12</v>
      </c>
      <c r="E103" s="245" t="str">
        <f t="shared" si="17"/>
        <v>R-0</v>
      </c>
      <c r="F103" s="245" t="str">
        <f t="shared" si="17"/>
        <v>R-30</v>
      </c>
      <c r="G103" s="246" t="s">
        <v>326</v>
      </c>
      <c r="H103" s="245" t="str">
        <f t="shared" si="16"/>
        <v>Multi Family Weatherization - Insulate Floors - R-0 to R-30 - Heating Zone 3</v>
      </c>
      <c r="I103" s="247">
        <f>SUMPRODUCT(MeasureInputsANDResults!I233:M233,inputWeightings!$B$22:$F$22)</f>
        <v>1.0877530453343773</v>
      </c>
      <c r="J103" s="248">
        <f>SUMPRODUCT(MeasureInputsANDResults!N233:R233,inputWeightings!$B$22:$F$22)</f>
        <v>-1.1135899772149399E-2</v>
      </c>
      <c r="K103" s="247">
        <f>MeasureInputsANDResults!I179*inputWeightings!$B$22+MeasureInputsANDResults!L179*inputWeightings!$C$22+MeasureInputsANDResults!O179*inputWeightings!$D$22+MeasureInputsANDResults!R179*inputWeightings!$E$22+MeasureInputsANDResults!U179*inputWeightings!$F$22</f>
        <v>1.0954997954090917</v>
      </c>
      <c r="L103" s="247">
        <f>MeasureInputsANDResults!J179*inputWeightings!$B$22+MeasureInputsANDResults!M179*inputWeightings!$C$22+MeasureInputsANDResults!P179*inputWeightings!$D$22+MeasureInputsANDResults!S179*inputWeightings!$E$22+MeasureInputsANDResults!V179*inputWeightings!$F$22</f>
        <v>1.0765310108930493</v>
      </c>
      <c r="M103" s="330">
        <f>MeasureInputsANDResults!K179*inputWeightings!$B$22+MeasureInputsANDResults!N179*inputWeightings!$C$22+MeasureInputsANDResults!Q179*inputWeightings!$D$22+MeasureInputsANDResults!T179*inputWeightings!$E$22+MeasureInputsANDResults!W179*inputWeightings!$F$22</f>
        <v>0.52124867882982007</v>
      </c>
      <c r="N103" s="331">
        <f>SUMPRODUCT(MeasureInputsANDResults!X179:AB179,inputWeightings!$B$35:$F$35)</f>
        <v>-0.1197336760508019</v>
      </c>
    </row>
    <row r="104" spans="1:14" ht="15">
      <c r="A104" s="253" t="str">
        <f t="shared" si="17"/>
        <v>Floor13</v>
      </c>
      <c r="B104" s="254" t="str">
        <f t="shared" si="17"/>
        <v>Floors13</v>
      </c>
      <c r="C104" s="254" t="str">
        <f t="shared" si="17"/>
        <v>Floors</v>
      </c>
      <c r="D104" s="254">
        <f t="shared" si="17"/>
        <v>13</v>
      </c>
      <c r="E104" s="254" t="str">
        <f t="shared" si="17"/>
        <v>R-0</v>
      </c>
      <c r="F104" s="254" t="str">
        <f t="shared" si="17"/>
        <v>R-38</v>
      </c>
      <c r="G104" s="255" t="s">
        <v>326</v>
      </c>
      <c r="H104" s="254" t="str">
        <f t="shared" si="16"/>
        <v>Multi Family Weatherization - Insulate Floors - R-0 to R-38 - Heating Zone 3</v>
      </c>
      <c r="I104" s="256">
        <f>SUMPRODUCT(MeasureInputsANDResults!I234:M234,inputWeightings!$B$22:$F$22)</f>
        <v>1.1226093869339542</v>
      </c>
      <c r="J104" s="257">
        <f>SUMPRODUCT(MeasureInputsANDResults!N234:R234,inputWeightings!$B$22:$F$22)</f>
        <v>-1.1532365517854224E-2</v>
      </c>
      <c r="K104" s="256">
        <f>MeasureInputsANDResults!I180*inputWeightings!$B$22+MeasureInputsANDResults!L180*inputWeightings!$C$22+MeasureInputsANDResults!O180*inputWeightings!$D$22+MeasureInputsANDResults!R180*inputWeightings!$E$22+MeasureInputsANDResults!U180*inputWeightings!$F$22</f>
        <v>1.1306003745133688</v>
      </c>
      <c r="L104" s="256">
        <f>MeasureInputsANDResults!J180*inputWeightings!$B$22+MeasureInputsANDResults!M180*inputWeightings!$C$22+MeasureInputsANDResults!P180*inputWeightings!$D$22+MeasureInputsANDResults!S180*inputWeightings!$E$22+MeasureInputsANDResults!V180*inputWeightings!$F$22</f>
        <v>1.1110958556657757</v>
      </c>
      <c r="M104" s="332">
        <f>MeasureInputsANDResults!K180*inputWeightings!$B$22+MeasureInputsANDResults!N180*inputWeightings!$C$22+MeasureInputsANDResults!Q180*inputWeightings!$D$22+MeasureInputsANDResults!T180*inputWeightings!$E$22+MeasureInputsANDResults!W180*inputWeightings!$F$22</f>
        <v>0.53813011953444434</v>
      </c>
      <c r="N104" s="333">
        <f>SUMPRODUCT(MeasureInputsANDResults!X180:AB180,inputWeightings!$B$35:$F$35)</f>
        <v>-0.12395791410962562</v>
      </c>
    </row>
    <row r="105" spans="1:14" ht="15">
      <c r="A105" s="253" t="str">
        <f t="shared" si="17"/>
        <v>Floor14</v>
      </c>
      <c r="B105" s="254" t="str">
        <f t="shared" si="17"/>
        <v>Floors14</v>
      </c>
      <c r="C105" s="254" t="str">
        <f t="shared" si="17"/>
        <v>Floors</v>
      </c>
      <c r="D105" s="254">
        <f t="shared" si="17"/>
        <v>14</v>
      </c>
      <c r="E105" s="254" t="str">
        <f t="shared" si="17"/>
        <v>R-19</v>
      </c>
      <c r="F105" s="254" t="str">
        <f t="shared" si="17"/>
        <v>R-25</v>
      </c>
      <c r="G105" s="255" t="s">
        <v>326</v>
      </c>
      <c r="H105" s="254" t="str">
        <f t="shared" si="16"/>
        <v>Multi Family Weatherization - Insulate Floors - R-19 to R-25 - Heating Zone 3</v>
      </c>
      <c r="I105" s="256">
        <f>SUMPRODUCT(MeasureInputsANDResults!I235:M235,inputWeightings!$B$22:$F$22)</f>
        <v>0.12362351705745264</v>
      </c>
      <c r="J105" s="257">
        <f>SUMPRODUCT(MeasureInputsANDResults!N235:R235,inputWeightings!$B$22:$F$22)</f>
        <v>-1.3519368759317917E-3</v>
      </c>
      <c r="K105" s="256">
        <f>MeasureInputsANDResults!I181*inputWeightings!$B$22+MeasureInputsANDResults!L181*inputWeightings!$C$22+MeasureInputsANDResults!O181*inputWeightings!$D$22+MeasureInputsANDResults!R181*inputWeightings!$E$22+MeasureInputsANDResults!U181*inputWeightings!$F$22</f>
        <v>0.12450369510160321</v>
      </c>
      <c r="L105" s="256">
        <f>MeasureInputsANDResults!J181*inputWeightings!$B$22+MeasureInputsANDResults!M181*inputWeightings!$C$22+MeasureInputsANDResults!P181*inputWeightings!$D$22+MeasureInputsANDResults!S181*inputWeightings!$E$22+MeasureInputsANDResults!V181*inputWeightings!$F$22</f>
        <v>0.12253056035294209</v>
      </c>
      <c r="M105" s="332">
        <f>MeasureInputsANDResults!K181*inputWeightings!$B$22+MeasureInputsANDResults!N181*inputWeightings!$C$22+MeasureInputsANDResults!Q181*inputWeightings!$D$22+MeasureInputsANDResults!T181*inputWeightings!$E$22+MeasureInputsANDResults!W181*inputWeightings!$F$22</f>
        <v>5.8923843976091989E-2</v>
      </c>
      <c r="N105" s="333">
        <f>SUMPRODUCT(MeasureInputsANDResults!X181:AB181,inputWeightings!$B$35:$F$35)</f>
        <v>-1.4438765529412086E-2</v>
      </c>
    </row>
    <row r="106" spans="1:14" ht="15">
      <c r="A106" s="244" t="str">
        <f t="shared" si="17"/>
        <v>Floor15</v>
      </c>
      <c r="B106" s="245" t="str">
        <f t="shared" si="17"/>
        <v>Floors15</v>
      </c>
      <c r="C106" s="245" t="str">
        <f t="shared" si="17"/>
        <v>Floors</v>
      </c>
      <c r="D106" s="245">
        <f t="shared" si="17"/>
        <v>15</v>
      </c>
      <c r="E106" s="245" t="str">
        <f t="shared" si="17"/>
        <v>R-19</v>
      </c>
      <c r="F106" s="245" t="str">
        <f t="shared" si="17"/>
        <v>R-30</v>
      </c>
      <c r="G106" s="246" t="s">
        <v>326</v>
      </c>
      <c r="H106" s="245" t="str">
        <f t="shared" si="16"/>
        <v>Multi Family Weatherization - Insulate Floors - R-19 to R-30 - Heating Zone 3</v>
      </c>
      <c r="I106" s="247">
        <f>SUMPRODUCT(MeasureInputsANDResults!I236:M236,inputWeightings!$B$22:$F$22)</f>
        <v>0.25435879987971372</v>
      </c>
      <c r="J106" s="248">
        <f>SUMPRODUCT(MeasureInputsANDResults!N236:R236,inputWeightings!$B$22:$F$22)</f>
        <v>-2.8180885092766411E-3</v>
      </c>
      <c r="K106" s="247">
        <f>MeasureInputsANDResults!I182*inputWeightings!$B$22+MeasureInputsANDResults!L182*inputWeightings!$C$22+MeasureInputsANDResults!O182*inputWeightings!$D$22+MeasureInputsANDResults!R182*inputWeightings!$E$22+MeasureInputsANDResults!U182*inputWeightings!$F$22</f>
        <v>0.25616435797058795</v>
      </c>
      <c r="L106" s="247">
        <f>MeasureInputsANDResults!J182*inputWeightings!$B$22+MeasureInputsANDResults!M182*inputWeightings!$C$22+MeasureInputsANDResults!P182*inputWeightings!$D$22+MeasureInputsANDResults!S182*inputWeightings!$E$22+MeasureInputsANDResults!V182*inputWeightings!$F$22</f>
        <v>0.25215550906417195</v>
      </c>
      <c r="M106" s="330">
        <f>MeasureInputsANDResults!K182*inputWeightings!$B$22+MeasureInputsANDResults!N182*inputWeightings!$C$22+MeasureInputsANDResults!Q182*inputWeightings!$D$22+MeasureInputsANDResults!T182*inputWeightings!$E$22+MeasureInputsANDResults!W182*inputWeightings!$F$22</f>
        <v>0.12156568103177048</v>
      </c>
      <c r="N106" s="331">
        <f>SUMPRODUCT(MeasureInputsANDResults!X182:AB182,inputWeightings!$B$35:$F$35)</f>
        <v>-3.0060710088235364E-2</v>
      </c>
    </row>
    <row r="107" spans="1:14" ht="15">
      <c r="A107" s="253" t="str">
        <f t="shared" si="17"/>
        <v>Floor16</v>
      </c>
      <c r="B107" s="254" t="str">
        <f t="shared" si="17"/>
        <v>Floors16</v>
      </c>
      <c r="C107" s="254" t="str">
        <f t="shared" si="17"/>
        <v>Floors</v>
      </c>
      <c r="D107" s="254">
        <f t="shared" si="17"/>
        <v>16</v>
      </c>
      <c r="E107" s="254" t="str">
        <f t="shared" si="17"/>
        <v>R-19</v>
      </c>
      <c r="F107" s="254" t="str">
        <f t="shared" si="17"/>
        <v>R-38</v>
      </c>
      <c r="G107" s="255" t="s">
        <v>326</v>
      </c>
      <c r="H107" s="254" t="str">
        <f t="shared" si="16"/>
        <v>Multi Family Weatherization - Insulate Floors - R-19 to R-38 - Heating Zone 3</v>
      </c>
      <c r="I107" s="256">
        <f>SUMPRODUCT(MeasureInputsANDResults!I237:M237,inputWeightings!$B$22:$F$22)</f>
        <v>0.28921514147929034</v>
      </c>
      <c r="J107" s="257">
        <f>SUMPRODUCT(MeasureInputsANDResults!N237:R237,inputWeightings!$B$22:$F$22)</f>
        <v>-3.214554254981467E-3</v>
      </c>
      <c r="K107" s="256">
        <f>MeasureInputsANDResults!I183*inputWeightings!$B$22+MeasureInputsANDResults!L183*inputWeightings!$C$22+MeasureInputsANDResults!O183*inputWeightings!$D$22+MeasureInputsANDResults!R183*inputWeightings!$E$22+MeasureInputsANDResults!U183*inputWeightings!$F$22</f>
        <v>0.29126493707486489</v>
      </c>
      <c r="L107" s="256">
        <f>MeasureInputsANDResults!J183*inputWeightings!$B$22+MeasureInputsANDResults!M183*inputWeightings!$C$22+MeasureInputsANDResults!P183*inputWeightings!$D$22+MeasureInputsANDResults!S183*inputWeightings!$E$22+MeasureInputsANDResults!V183*inputWeightings!$F$22</f>
        <v>0.28672035383689848</v>
      </c>
      <c r="M107" s="332">
        <f>MeasureInputsANDResults!K183*inputWeightings!$B$22+MeasureInputsANDResults!N183*inputWeightings!$C$22+MeasureInputsANDResults!Q183*inputWeightings!$D$22+MeasureInputsANDResults!T183*inputWeightings!$E$22+MeasureInputsANDResults!W183*inputWeightings!$F$22</f>
        <v>0.13844712173639465</v>
      </c>
      <c r="N107" s="333">
        <f>SUMPRODUCT(MeasureInputsANDResults!X183:AB183,inputWeightings!$B$35:$F$35)</f>
        <v>-3.4284948147059083E-2</v>
      </c>
    </row>
    <row r="108" spans="1:14" ht="15">
      <c r="A108" s="253" t="str">
        <f t="shared" si="17"/>
        <v>Floor17</v>
      </c>
      <c r="B108" s="254" t="str">
        <f t="shared" si="17"/>
        <v>Floors17</v>
      </c>
      <c r="C108" s="254" t="str">
        <f t="shared" si="17"/>
        <v>Floors</v>
      </c>
      <c r="D108" s="254">
        <f t="shared" si="17"/>
        <v>17</v>
      </c>
      <c r="E108" s="254" t="str">
        <f t="shared" si="17"/>
        <v>R-11</v>
      </c>
      <c r="F108" s="254" t="str">
        <f t="shared" si="17"/>
        <v>R-30</v>
      </c>
      <c r="G108" s="255" t="s">
        <v>326</v>
      </c>
      <c r="H108" s="254" t="str">
        <f t="shared" si="16"/>
        <v>Multi Family Weatherization - Insulate Floors - R-11 to R-30 - Heating Zone 3</v>
      </c>
      <c r="I108" s="256">
        <f>SUMPRODUCT(MeasureInputsANDResults!I238:M238,inputWeightings!$B$22:$F$22)</f>
        <v>2.3944215861466112</v>
      </c>
      <c r="J108" s="257">
        <f>SUMPRODUCT(MeasureInputsANDResults!N238:R238,inputWeightings!$B$22:$F$22)</f>
        <v>-2.1637779457166946E-2</v>
      </c>
      <c r="K108" s="256">
        <f>MeasureInputsANDResults!I184*inputWeightings!$B$22+MeasureInputsANDResults!L184*inputWeightings!$C$22+MeasureInputsANDResults!O184*inputWeightings!$D$22+MeasureInputsANDResults!R184*inputWeightings!$E$22+MeasureInputsANDResults!U184*inputWeightings!$F$22</f>
        <v>2.4116216873262033</v>
      </c>
      <c r="L108" s="256">
        <f>MeasureInputsANDResults!J184*inputWeightings!$B$22+MeasureInputsANDResults!M184*inputWeightings!$C$22+MeasureInputsANDResults!P184*inputWeightings!$D$22+MeasureInputsANDResults!S184*inputWeightings!$E$22+MeasureInputsANDResults!V184*inputWeightings!$F$22</f>
        <v>2.3629964043983964</v>
      </c>
      <c r="M108" s="332">
        <f>MeasureInputsANDResults!K184*inputWeightings!$B$22+MeasureInputsANDResults!N184*inputWeightings!$C$22+MeasureInputsANDResults!Q184*inputWeightings!$D$22+MeasureInputsANDResults!T184*inputWeightings!$E$22+MeasureInputsANDResults!W184*inputWeightings!$F$22</f>
        <v>1.1485525794274944</v>
      </c>
      <c r="N108" s="333">
        <f>SUMPRODUCT(MeasureInputsANDResults!X184:AB184,inputWeightings!$B$35:$F$35)</f>
        <v>-0.23747853707754002</v>
      </c>
    </row>
    <row r="109" spans="1:14" ht="15">
      <c r="A109" s="253" t="str">
        <f t="shared" si="17"/>
        <v>Floor18</v>
      </c>
      <c r="B109" s="254" t="str">
        <f t="shared" si="17"/>
        <v>Floors18</v>
      </c>
      <c r="C109" s="254" t="str">
        <f t="shared" si="17"/>
        <v>Floors</v>
      </c>
      <c r="D109" s="254">
        <f t="shared" si="17"/>
        <v>18</v>
      </c>
      <c r="E109" s="254" t="str">
        <f t="shared" si="17"/>
        <v>R-0</v>
      </c>
      <c r="F109" s="254" t="str">
        <f t="shared" si="17"/>
        <v>R-19</v>
      </c>
      <c r="G109" s="255" t="s">
        <v>326</v>
      </c>
      <c r="H109" s="254" t="str">
        <f t="shared" si="16"/>
        <v>Multi Family Weatherization - Insulate Floors - R-0 to R-19 - Heating Zone 3</v>
      </c>
      <c r="I109" s="256">
        <f>SUMPRODUCT(MeasureInputsANDResults!I239:M239,inputWeightings!$B$22:$F$22)</f>
        <v>0.83339424545466378</v>
      </c>
      <c r="J109" s="257">
        <f>SUMPRODUCT(MeasureInputsANDResults!N239:R239,inputWeightings!$B$22:$F$22)</f>
        <v>-8.3178112628727579E-3</v>
      </c>
      <c r="K109" s="256">
        <f>MeasureInputsANDResults!I185*inputWeightings!$B$22+MeasureInputsANDResults!L185*inputWeightings!$C$22+MeasureInputsANDResults!O185*inputWeightings!$D$22+MeasureInputsANDResults!R185*inputWeightings!$E$22+MeasureInputsANDResults!U185*inputWeightings!$F$22</f>
        <v>0.83933543743850392</v>
      </c>
      <c r="L109" s="256">
        <f>MeasureInputsANDResults!J185*inputWeightings!$B$22+MeasureInputsANDResults!M185*inputWeightings!$C$22+MeasureInputsANDResults!P185*inputWeightings!$D$22+MeasureInputsANDResults!S185*inputWeightings!$E$22+MeasureInputsANDResults!V185*inputWeightings!$F$22</f>
        <v>0.82437550182887731</v>
      </c>
      <c r="M109" s="332">
        <f>MeasureInputsANDResults!K185*inputWeightings!$B$22+MeasureInputsANDResults!N185*inputWeightings!$C$22+MeasureInputsANDResults!Q185*inputWeightings!$D$22+MeasureInputsANDResults!T185*inputWeightings!$E$22+MeasureInputsANDResults!W185*inputWeightings!$F$22</f>
        <v>0.39968299779804961</v>
      </c>
      <c r="N109" s="333">
        <f>SUMPRODUCT(MeasureInputsANDResults!X185:AB185,inputWeightings!$B$35:$F$35)</f>
        <v>-8.9672965962566548E-2</v>
      </c>
    </row>
    <row r="110" spans="1:14" ht="15">
      <c r="A110" s="280" t="str">
        <f t="shared" si="17"/>
        <v>Ceili10</v>
      </c>
      <c r="B110" s="281" t="str">
        <f t="shared" si="17"/>
        <v>Ceiling10</v>
      </c>
      <c r="C110" s="281" t="str">
        <f t="shared" si="17"/>
        <v>Ceiling</v>
      </c>
      <c r="D110" s="281">
        <f t="shared" si="17"/>
        <v>10</v>
      </c>
      <c r="E110" s="281" t="str">
        <f t="shared" si="17"/>
        <v>R-0</v>
      </c>
      <c r="F110" s="281" t="str">
        <f t="shared" si="17"/>
        <v>R-19</v>
      </c>
      <c r="G110" s="282" t="s">
        <v>326</v>
      </c>
      <c r="H110" s="281" t="str">
        <f t="shared" ref="H110:H118" si="18">"Multi Family Weatherization - Insulate Attic - "&amp;E110&amp;" to "&amp;F110&amp;" - "&amp;G110</f>
        <v>Multi Family Weatherization - Insulate Attic - R-0 to R-19 - Heating Zone 3</v>
      </c>
      <c r="I110" s="283">
        <f>SUMPRODUCT(MeasureInputsANDResults!I240:M240,inputWeightings!$B$22:$F$22)</f>
        <v>0.42394528705302925</v>
      </c>
      <c r="J110" s="284">
        <f>SUMPRODUCT(MeasureInputsANDResults!N240:R240,inputWeightings!$B$22:$F$22)</f>
        <v>8.6244233288951099E-3</v>
      </c>
      <c r="K110" s="283">
        <f>MeasureInputsANDResults!I186*inputWeightings!$B$22+MeasureInputsANDResults!L186*inputWeightings!$C$22+MeasureInputsANDResults!O186*inputWeightings!$D$22+MeasureInputsANDResults!R186*inputWeightings!$E$22+MeasureInputsANDResults!U186*inputWeightings!$F$22</f>
        <v>0.42681917023409172</v>
      </c>
      <c r="L110" s="283">
        <f>MeasureInputsANDResults!J186*inputWeightings!$B$22+MeasureInputsANDResults!M186*inputWeightings!$C$22+MeasureInputsANDResults!P186*inputWeightings!$D$22+MeasureInputsANDResults!S186*inputWeightings!$E$22+MeasureInputsANDResults!V186*inputWeightings!$F$22</f>
        <v>0.43941515209318205</v>
      </c>
      <c r="M110" s="334">
        <f>MeasureInputsANDResults!K186*inputWeightings!$B$22+MeasureInputsANDResults!N186*inputWeightings!$C$22+MeasureInputsANDResults!Q186*inputWeightings!$D$22+MeasureInputsANDResults!T186*inputWeightings!$E$22+MeasureInputsANDResults!W186*inputWeightings!$F$22</f>
        <v>0.17776883689839601</v>
      </c>
      <c r="N110" s="335">
        <f>SUMPRODUCT(MeasureInputsANDResults!X186:AB186,inputWeightings!$B$35:$F$35)</f>
        <v>0.1503444091636362</v>
      </c>
    </row>
    <row r="111" spans="1:14" ht="15">
      <c r="A111" s="244" t="str">
        <f t="shared" si="17"/>
        <v>Ceili11</v>
      </c>
      <c r="B111" s="245" t="str">
        <f t="shared" si="17"/>
        <v>Ceiling11</v>
      </c>
      <c r="C111" s="245" t="str">
        <f t="shared" si="17"/>
        <v>Ceiling</v>
      </c>
      <c r="D111" s="245">
        <f t="shared" si="17"/>
        <v>11</v>
      </c>
      <c r="E111" s="245" t="str">
        <f t="shared" si="17"/>
        <v>R-0</v>
      </c>
      <c r="F111" s="245" t="str">
        <f t="shared" si="17"/>
        <v>R-38</v>
      </c>
      <c r="G111" s="246" t="s">
        <v>326</v>
      </c>
      <c r="H111" s="245" t="str">
        <f t="shared" si="18"/>
        <v>Multi Family Weatherization - Insulate Attic - R-0 to R-38 - Heating Zone 3</v>
      </c>
      <c r="I111" s="247">
        <f>SUMPRODUCT(MeasureInputsANDResults!I241:M241,inputWeightings!$B$22:$F$22)</f>
        <v>0.57884041306530343</v>
      </c>
      <c r="J111" s="248">
        <f>SUMPRODUCT(MeasureInputsANDResults!N241:R241,inputWeightings!$B$22:$F$22)</f>
        <v>1.1800868323444345E-2</v>
      </c>
      <c r="K111" s="247">
        <f>MeasureInputsANDResults!I187*inputWeightings!$B$22+MeasureInputsANDResults!L187*inputWeightings!$C$22+MeasureInputsANDResults!O187*inputWeightings!$D$22+MeasureInputsANDResults!R187*inputWeightings!$E$22+MeasureInputsANDResults!U187*inputWeightings!$F$22</f>
        <v>0.58275977589772743</v>
      </c>
      <c r="L111" s="247">
        <f>MeasureInputsANDResults!J187*inputWeightings!$B$22+MeasureInputsANDResults!M187*inputWeightings!$C$22+MeasureInputsANDResults!P187*inputWeightings!$D$22+MeasureInputsANDResults!S187*inputWeightings!$E$22+MeasureInputsANDResults!V187*inputWeightings!$F$22</f>
        <v>0.59990572675681908</v>
      </c>
      <c r="M111" s="330">
        <f>MeasureInputsANDResults!K187*inputWeightings!$B$22+MeasureInputsANDResults!N187*inputWeightings!$C$22+MeasureInputsANDResults!Q187*inputWeightings!$D$22+MeasureInputsANDResults!T187*inputWeightings!$E$22+MeasureInputsANDResults!W187*inputWeightings!$F$22</f>
        <v>0.24316752673796765</v>
      </c>
      <c r="N111" s="331">
        <f>SUMPRODUCT(MeasureInputsANDResults!X187:AB187,inputWeightings!$B$35:$F$35)</f>
        <v>0.20626678120454522</v>
      </c>
    </row>
    <row r="112" spans="1:14" ht="15">
      <c r="A112" s="244" t="str">
        <f t="shared" si="17"/>
        <v>Ceili12</v>
      </c>
      <c r="B112" s="245" t="str">
        <f t="shared" si="17"/>
        <v>Ceiling12</v>
      </c>
      <c r="C112" s="245" t="str">
        <f t="shared" si="17"/>
        <v>Ceiling</v>
      </c>
      <c r="D112" s="245">
        <f t="shared" si="17"/>
        <v>12</v>
      </c>
      <c r="E112" s="245" t="str">
        <f t="shared" si="17"/>
        <v>R-0</v>
      </c>
      <c r="F112" s="245" t="str">
        <f t="shared" si="17"/>
        <v>R-49</v>
      </c>
      <c r="G112" s="246" t="s">
        <v>326</v>
      </c>
      <c r="H112" s="245" t="str">
        <f t="shared" si="18"/>
        <v>Multi Family Weatherization - Insulate Attic - R-0 to R-49 - Heating Zone 3</v>
      </c>
      <c r="I112" s="247">
        <f>SUMPRODUCT(MeasureInputsANDResults!I242:M242,inputWeightings!$B$22:$F$22)</f>
        <v>0.6148477955693209</v>
      </c>
      <c r="J112" s="248">
        <f>SUMPRODUCT(MeasureInputsANDResults!N242:R242,inputWeightings!$B$22:$F$22)</f>
        <v>1.2544180097439118E-2</v>
      </c>
      <c r="K112" s="247">
        <f>MeasureInputsANDResults!I188*inputWeightings!$B$22+MeasureInputsANDResults!L188*inputWeightings!$C$22+MeasureInputsANDResults!O188*inputWeightings!$D$22+MeasureInputsANDResults!R188*inputWeightings!$E$22+MeasureInputsANDResults!U188*inputWeightings!$F$22</f>
        <v>0.61900856289545525</v>
      </c>
      <c r="L112" s="247">
        <f>MeasureInputsANDResults!J188*inputWeightings!$B$22+MeasureInputsANDResults!M188*inputWeightings!$C$22+MeasureInputsANDResults!P188*inputWeightings!$D$22+MeasureInputsANDResults!S188*inputWeightings!$E$22+MeasureInputsANDResults!V188*inputWeightings!$F$22</f>
        <v>0.63720868576363709</v>
      </c>
      <c r="M112" s="330">
        <f>MeasureInputsANDResults!K188*inputWeightings!$B$22+MeasureInputsANDResults!N188*inputWeightings!$C$22+MeasureInputsANDResults!Q188*inputWeightings!$D$22+MeasureInputsANDResults!T188*inputWeightings!$E$22+MeasureInputsANDResults!W188*inputWeightings!$F$22</f>
        <v>0.25850335561497367</v>
      </c>
      <c r="N112" s="331">
        <f>SUMPRODUCT(MeasureInputsANDResults!X188:AB188,inputWeightings!$B$35:$F$35)</f>
        <v>0.21938249129545437</v>
      </c>
    </row>
    <row r="113" spans="1:14" ht="15">
      <c r="A113" s="244" t="str">
        <f t="shared" si="17"/>
        <v>Ceili13</v>
      </c>
      <c r="B113" s="245" t="str">
        <f t="shared" si="17"/>
        <v>Ceiling13</v>
      </c>
      <c r="C113" s="245" t="str">
        <f t="shared" si="17"/>
        <v>Ceiling</v>
      </c>
      <c r="D113" s="245">
        <f t="shared" si="17"/>
        <v>13</v>
      </c>
      <c r="E113" s="245" t="str">
        <f t="shared" si="17"/>
        <v>R-30</v>
      </c>
      <c r="F113" s="245" t="str">
        <f t="shared" si="17"/>
        <v>R-38</v>
      </c>
      <c r="G113" s="246" t="s">
        <v>326</v>
      </c>
      <c r="H113" s="245" t="str">
        <f t="shared" si="18"/>
        <v>Multi Family Weatherization - Insulate Attic - R-30 to R-38 - Heating Zone 3</v>
      </c>
      <c r="I113" s="247">
        <f>SUMPRODUCT(MeasureInputsANDResults!I243:M243,inputWeightings!$B$22:$F$22)</f>
        <v>4.2703145439583284E-2</v>
      </c>
      <c r="J113" s="248">
        <f>SUMPRODUCT(MeasureInputsANDResults!N243:R243,inputWeightings!$B$22:$F$22)</f>
        <v>8.7923454601432317E-4</v>
      </c>
      <c r="K113" s="247">
        <f>MeasureInputsANDResults!I189*inputWeightings!$B$22+MeasureInputsANDResults!L189*inputWeightings!$C$22+MeasureInputsANDResults!O189*inputWeightings!$D$22+MeasureInputsANDResults!R189*inputWeightings!$E$22+MeasureInputsANDResults!U189*inputWeightings!$F$22</f>
        <v>4.2994746247727096E-2</v>
      </c>
      <c r="L113" s="247">
        <f>MeasureInputsANDResults!J189*inputWeightings!$B$22+MeasureInputsANDResults!M189*inputWeightings!$C$22+MeasureInputsANDResults!P189*inputWeightings!$D$22+MeasureInputsANDResults!S189*inputWeightings!$E$22+MeasureInputsANDResults!V189*inputWeightings!$F$22</f>
        <v>4.4247784520455233E-2</v>
      </c>
      <c r="M113" s="330">
        <f>MeasureInputsANDResults!K189*inputWeightings!$B$22+MeasureInputsANDResults!N189*inputWeightings!$C$22+MeasureInputsANDResults!Q189*inputWeightings!$D$22+MeasureInputsANDResults!T189*inputWeightings!$E$22+MeasureInputsANDResults!W189*inputWeightings!$F$22</f>
        <v>1.7770561497326129E-2</v>
      </c>
      <c r="N113" s="331">
        <f>SUMPRODUCT(MeasureInputsANDResults!X189:AB189,inputWeightings!$B$35:$F$35)</f>
        <v>1.5492037881818157E-2</v>
      </c>
    </row>
    <row r="114" spans="1:14" ht="15">
      <c r="A114" s="244" t="str">
        <f t="shared" si="17"/>
        <v>Ceili14</v>
      </c>
      <c r="B114" s="245" t="str">
        <f t="shared" si="17"/>
        <v>Ceiling14</v>
      </c>
      <c r="C114" s="245" t="str">
        <f t="shared" si="17"/>
        <v>Ceiling</v>
      </c>
      <c r="D114" s="245">
        <f t="shared" si="17"/>
        <v>14</v>
      </c>
      <c r="E114" s="245" t="str">
        <f t="shared" si="17"/>
        <v>R-30</v>
      </c>
      <c r="F114" s="245" t="str">
        <f t="shared" si="17"/>
        <v>R-49</v>
      </c>
      <c r="G114" s="246" t="s">
        <v>326</v>
      </c>
      <c r="H114" s="245" t="str">
        <f t="shared" si="18"/>
        <v>Multi Family Weatherization - Insulate Attic - R-30 to R-49 - Heating Zone 3</v>
      </c>
      <c r="I114" s="247">
        <f>SUMPRODUCT(MeasureInputsANDResults!I244:M244,inputWeightings!$B$22:$F$22)</f>
        <v>7.8710527943600742E-2</v>
      </c>
      <c r="J114" s="248">
        <f>SUMPRODUCT(MeasureInputsANDResults!N244:R244,inputWeightings!$B$22:$F$22)</f>
        <v>1.6225463200090953E-3</v>
      </c>
      <c r="K114" s="247">
        <f>MeasureInputsANDResults!I190*inputWeightings!$B$22+MeasureInputsANDResults!L190*inputWeightings!$C$22+MeasureInputsANDResults!O190*inputWeightings!$D$22+MeasureInputsANDResults!R190*inputWeightings!$E$22+MeasureInputsANDResults!U190*inputWeightings!$F$22</f>
        <v>7.924353324545487E-2</v>
      </c>
      <c r="L114" s="247">
        <f>MeasureInputsANDResults!J190*inputWeightings!$B$22+MeasureInputsANDResults!M190*inputWeightings!$C$22+MeasureInputsANDResults!P190*inputWeightings!$D$22+MeasureInputsANDResults!S190*inputWeightings!$E$22+MeasureInputsANDResults!V190*inputWeightings!$F$22</f>
        <v>8.1550743527273248E-2</v>
      </c>
      <c r="M114" s="330">
        <f>MeasureInputsANDResults!K190*inputWeightings!$B$22+MeasureInputsANDResults!N190*inputWeightings!$C$22+MeasureInputsANDResults!Q190*inputWeightings!$D$22+MeasureInputsANDResults!T190*inputWeightings!$E$22+MeasureInputsANDResults!W190*inputWeightings!$F$22</f>
        <v>3.3106390374332099E-2</v>
      </c>
      <c r="N114" s="331">
        <f>SUMPRODUCT(MeasureInputsANDResults!X190:AB190,inputWeightings!$B$35:$F$35)</f>
        <v>2.8607747972727304E-2</v>
      </c>
    </row>
    <row r="115" spans="1:14" ht="15">
      <c r="A115" s="253" t="str">
        <f t="shared" si="17"/>
        <v>Ceili15</v>
      </c>
      <c r="B115" s="254" t="str">
        <f t="shared" si="17"/>
        <v>Ceiling15</v>
      </c>
      <c r="C115" s="254" t="str">
        <f t="shared" si="17"/>
        <v>Ceiling</v>
      </c>
      <c r="D115" s="254">
        <f t="shared" si="17"/>
        <v>15</v>
      </c>
      <c r="E115" s="254" t="str">
        <f t="shared" si="17"/>
        <v>R-19</v>
      </c>
      <c r="F115" s="254" t="str">
        <f t="shared" si="17"/>
        <v>R-30</v>
      </c>
      <c r="G115" s="255" t="s">
        <v>326</v>
      </c>
      <c r="H115" s="254" t="str">
        <f t="shared" si="18"/>
        <v>Multi Family Weatherization - Insulate Attic - R-19 to R-30 - Heating Zone 3</v>
      </c>
      <c r="I115" s="256">
        <f>SUMPRODUCT(MeasureInputsANDResults!I245:M245,inputWeightings!$B$22:$F$22)</f>
        <v>0.11219198057269081</v>
      </c>
      <c r="J115" s="257">
        <f>SUMPRODUCT(MeasureInputsANDResults!N245:R245,inputWeightings!$B$22:$F$22)</f>
        <v>2.2972104485349128E-3</v>
      </c>
      <c r="K115" s="256">
        <f>MeasureInputsANDResults!I191*inputWeightings!$B$22+MeasureInputsANDResults!L191*inputWeightings!$C$22+MeasureInputsANDResults!O191*inputWeightings!$D$22+MeasureInputsANDResults!R191*inputWeightings!$E$22+MeasureInputsANDResults!U191*inputWeightings!$F$22</f>
        <v>0.11294585941590859</v>
      </c>
      <c r="L115" s="256">
        <f>MeasureInputsANDResults!J191*inputWeightings!$B$22+MeasureInputsANDResults!M191*inputWeightings!$C$22+MeasureInputsANDResults!P191*inputWeightings!$D$22+MeasureInputsANDResults!S191*inputWeightings!$E$22+MeasureInputsANDResults!V191*inputWeightings!$F$22</f>
        <v>0.11624279014318187</v>
      </c>
      <c r="M115" s="332">
        <f>MeasureInputsANDResults!K191*inputWeightings!$B$22+MeasureInputsANDResults!N191*inputWeightings!$C$22+MeasureInputsANDResults!Q191*inputWeightings!$D$22+MeasureInputsANDResults!T191*inputWeightings!$E$22+MeasureInputsANDResults!W191*inputWeightings!$F$22</f>
        <v>4.7628128342245529E-2</v>
      </c>
      <c r="N115" s="333">
        <f>SUMPRODUCT(MeasureInputsANDResults!X191:AB191,inputWeightings!$B$35:$F$35)</f>
        <v>4.0430334159090892E-2</v>
      </c>
    </row>
    <row r="116" spans="1:14" ht="15">
      <c r="A116" s="244" t="str">
        <f t="shared" si="17"/>
        <v>Ceili16</v>
      </c>
      <c r="B116" s="245" t="str">
        <f t="shared" si="17"/>
        <v>Ceiling16</v>
      </c>
      <c r="C116" s="245" t="str">
        <f t="shared" si="17"/>
        <v>Ceiling</v>
      </c>
      <c r="D116" s="245">
        <f t="shared" si="17"/>
        <v>16</v>
      </c>
      <c r="E116" s="245" t="str">
        <f t="shared" si="17"/>
        <v>R-19</v>
      </c>
      <c r="F116" s="245" t="str">
        <f t="shared" si="17"/>
        <v>R-38</v>
      </c>
      <c r="G116" s="246" t="s">
        <v>326</v>
      </c>
      <c r="H116" s="245" t="str">
        <f t="shared" si="18"/>
        <v>Multi Family Weatherization - Insulate Attic - R-19 to R-38 - Heating Zone 3</v>
      </c>
      <c r="I116" s="247">
        <f>SUMPRODUCT(MeasureInputsANDResults!I246:M246,inputWeightings!$B$22:$F$22)</f>
        <v>0.15489512601227415</v>
      </c>
      <c r="J116" s="248">
        <f>SUMPRODUCT(MeasureInputsANDResults!N246:R246,inputWeightings!$B$22:$F$22)</f>
        <v>3.176444994549236E-3</v>
      </c>
      <c r="K116" s="247">
        <f>MeasureInputsANDResults!I192*inputWeightings!$B$22+MeasureInputsANDResults!L192*inputWeightings!$C$22+MeasureInputsANDResults!O192*inputWeightings!$D$22+MeasureInputsANDResults!R192*inputWeightings!$E$22+MeasureInputsANDResults!U192*inputWeightings!$F$22</f>
        <v>0.15594060566363571</v>
      </c>
      <c r="L116" s="247">
        <f>MeasureInputsANDResults!J192*inputWeightings!$B$22+MeasureInputsANDResults!M192*inputWeightings!$C$22+MeasureInputsANDResults!P192*inputWeightings!$D$22+MeasureInputsANDResults!S192*inputWeightings!$E$22+MeasureInputsANDResults!V192*inputWeightings!$F$22</f>
        <v>0.16049057466363709</v>
      </c>
      <c r="M116" s="330">
        <f>MeasureInputsANDResults!K192*inputWeightings!$B$22+MeasureInputsANDResults!N192*inputWeightings!$C$22+MeasureInputsANDResults!Q192*inputWeightings!$D$22+MeasureInputsANDResults!T192*inputWeightings!$E$22+MeasureInputsANDResults!W192*inputWeightings!$F$22</f>
        <v>6.5398689839571644E-2</v>
      </c>
      <c r="N116" s="331">
        <f>SUMPRODUCT(MeasureInputsANDResults!X192:AB192,inputWeightings!$B$35:$F$35)</f>
        <v>5.5922372040909052E-2</v>
      </c>
    </row>
    <row r="117" spans="1:14" ht="15">
      <c r="A117" s="244" t="str">
        <f t="shared" si="17"/>
        <v>Ceili17</v>
      </c>
      <c r="B117" s="245" t="str">
        <f t="shared" si="17"/>
        <v>Ceiling17</v>
      </c>
      <c r="C117" s="245" t="str">
        <f t="shared" si="17"/>
        <v>Ceiling</v>
      </c>
      <c r="D117" s="245">
        <f t="shared" si="17"/>
        <v>17</v>
      </c>
      <c r="E117" s="245" t="str">
        <f t="shared" si="17"/>
        <v>R-19</v>
      </c>
      <c r="F117" s="245" t="str">
        <f t="shared" si="17"/>
        <v>R-49</v>
      </c>
      <c r="G117" s="246" t="s">
        <v>326</v>
      </c>
      <c r="H117" s="245" t="str">
        <f t="shared" si="18"/>
        <v>Multi Family Weatherization - Insulate Attic - R-19 to R-49 - Heating Zone 3</v>
      </c>
      <c r="I117" s="247">
        <f>SUMPRODUCT(MeasureInputsANDResults!I247:M247,inputWeightings!$B$22:$F$22)</f>
        <v>0.19090250851629156</v>
      </c>
      <c r="J117" s="248">
        <f>SUMPRODUCT(MeasureInputsANDResults!N247:R247,inputWeightings!$B$22:$F$22)</f>
        <v>3.9197567685440088E-3</v>
      </c>
      <c r="K117" s="247">
        <f>MeasureInputsANDResults!I193*inputWeightings!$B$22+MeasureInputsANDResults!L193*inputWeightings!$C$22+MeasureInputsANDResults!O193*inputWeightings!$D$22+MeasureInputsANDResults!R193*inputWeightings!$E$22+MeasureInputsANDResults!U193*inputWeightings!$F$22</f>
        <v>0.19218939266136348</v>
      </c>
      <c r="L117" s="247">
        <f>MeasureInputsANDResults!J193*inputWeightings!$B$22+MeasureInputsANDResults!M193*inputWeightings!$C$22+MeasureInputsANDResults!P193*inputWeightings!$D$22+MeasureInputsANDResults!S193*inputWeightings!$E$22+MeasureInputsANDResults!V193*inputWeightings!$F$22</f>
        <v>0.1977935336704551</v>
      </c>
      <c r="M117" s="330">
        <f>MeasureInputsANDResults!K193*inputWeightings!$B$22+MeasureInputsANDResults!N193*inputWeightings!$C$22+MeasureInputsANDResults!Q193*inputWeightings!$D$22+MeasureInputsANDResults!T193*inputWeightings!$E$22+MeasureInputsANDResults!W193*inputWeightings!$F$22</f>
        <v>8.0734518716577622E-2</v>
      </c>
      <c r="N117" s="331">
        <f>SUMPRODUCT(MeasureInputsANDResults!X193:AB193,inputWeightings!$B$35:$F$35)</f>
        <v>6.9038082131818196E-2</v>
      </c>
    </row>
    <row r="118" spans="1:14" ht="15">
      <c r="A118" s="285" t="str">
        <f t="shared" ref="A118:F133" si="19">A72</f>
        <v>Ceili18</v>
      </c>
      <c r="B118" s="286" t="str">
        <f t="shared" si="19"/>
        <v>Ceiling18</v>
      </c>
      <c r="C118" s="286" t="str">
        <f t="shared" si="19"/>
        <v>Ceiling</v>
      </c>
      <c r="D118" s="286">
        <f t="shared" si="19"/>
        <v>18</v>
      </c>
      <c r="E118" s="286" t="str">
        <f t="shared" si="19"/>
        <v>R-38</v>
      </c>
      <c r="F118" s="286" t="str">
        <f t="shared" si="19"/>
        <v>R-49</v>
      </c>
      <c r="G118" s="287" t="s">
        <v>326</v>
      </c>
      <c r="H118" s="286" t="str">
        <f t="shared" si="18"/>
        <v>Multi Family Weatherization - Insulate Attic - R-38 to R-49 - Heating Zone 3</v>
      </c>
      <c r="I118" s="288">
        <f>SUMPRODUCT(MeasureInputsANDResults!I248:M248,inputWeightings!$B$22:$F$22)</f>
        <v>3.6007382504017436E-2</v>
      </c>
      <c r="J118" s="289">
        <f>SUMPRODUCT(MeasureInputsANDResults!N248:R248,inputWeightings!$B$22:$F$22)</f>
        <v>7.4331177399477233E-4</v>
      </c>
      <c r="K118" s="288">
        <f>MeasureInputsANDResults!I194*inputWeightings!$B$22+MeasureInputsANDResults!L194*inputWeightings!$C$22+MeasureInputsANDResults!O194*inputWeightings!$D$22+MeasureInputsANDResults!R194*inputWeightings!$E$22+MeasureInputsANDResults!U194*inputWeightings!$F$22</f>
        <v>3.6248786997727767E-2</v>
      </c>
      <c r="L118" s="288">
        <f>MeasureInputsANDResults!J194*inputWeightings!$B$22+MeasureInputsANDResults!M194*inputWeightings!$C$22+MeasureInputsANDResults!P194*inputWeightings!$D$22+MeasureInputsANDResults!S194*inputWeightings!$E$22+MeasureInputsANDResults!V194*inputWeightings!$F$22</f>
        <v>3.7302959006818015E-2</v>
      </c>
      <c r="M118" s="337">
        <f>MeasureInputsANDResults!K194*inputWeightings!$B$22+MeasureInputsANDResults!N194*inputWeightings!$C$22+MeasureInputsANDResults!Q194*inputWeightings!$D$22+MeasureInputsANDResults!T194*inputWeightings!$E$22+MeasureInputsANDResults!W194*inputWeightings!$F$22</f>
        <v>1.5335828877005974E-2</v>
      </c>
      <c r="N118" s="338">
        <f>SUMPRODUCT(MeasureInputsANDResults!X194:AB194,inputWeightings!$B$35:$F$35)</f>
        <v>1.3115710090909147E-2</v>
      </c>
    </row>
    <row r="119" spans="1:14" ht="15">
      <c r="A119" s="253" t="str">
        <f t="shared" si="19"/>
        <v>Windo10</v>
      </c>
      <c r="B119" s="254" t="str">
        <f t="shared" si="19"/>
        <v>Windows10</v>
      </c>
      <c r="C119" s="254" t="str">
        <f t="shared" si="19"/>
        <v>Windows</v>
      </c>
      <c r="D119" s="254">
        <f t="shared" si="19"/>
        <v>10</v>
      </c>
      <c r="E119" s="254" t="str">
        <f t="shared" si="19"/>
        <v>Class 85</v>
      </c>
      <c r="F119" s="254" t="str">
        <f t="shared" si="19"/>
        <v>Class 35</v>
      </c>
      <c r="G119" s="255" t="s">
        <v>326</v>
      </c>
      <c r="H119" s="254" t="str">
        <f>C119&amp;" - "&amp;E119&amp;" to "&amp;F119&amp;" - "&amp;G119</f>
        <v>Windows - Class 85 to Class 35 - Heating Zone 3</v>
      </c>
      <c r="I119" s="256">
        <f>SUMPRODUCT(MeasureInputsANDResults!I249:M249,inputWeightings!$B$22:$F$22)</f>
        <v>-12.84469366853873</v>
      </c>
      <c r="J119" s="257">
        <f>SUMPRODUCT(MeasureInputsANDResults!N249:R249,inputWeightings!$B$22:$F$22)</f>
        <v>-9.9605109631954486E-2</v>
      </c>
      <c r="K119" s="256">
        <f>MeasureInputsANDResults!I195*inputWeightings!$B$22+MeasureInputsANDResults!L195*inputWeightings!$C$22+MeasureInputsANDResults!O195*inputWeightings!$D$22+MeasureInputsANDResults!R195*inputWeightings!$E$22+MeasureInputsANDResults!U195*inputWeightings!$F$22</f>
        <v>-12.905144495730379</v>
      </c>
      <c r="L119" s="256">
        <f>MeasureInputsANDResults!J195*inputWeightings!$B$22+MeasureInputsANDResults!M195*inputWeightings!$C$22+MeasureInputsANDResults!P195*inputWeightings!$D$22+MeasureInputsANDResults!S195*inputWeightings!$E$22+MeasureInputsANDResults!V195*inputWeightings!$F$22</f>
        <v>-13.138803052332946</v>
      </c>
      <c r="M119" s="332">
        <f>MeasureInputsANDResults!K195*inputWeightings!$B$22+MeasureInputsANDResults!N195*inputWeightings!$C$22+MeasureInputsANDResults!Q195*inputWeightings!$D$22+MeasureInputsANDResults!T195*inputWeightings!$E$22+MeasureInputsANDResults!W195*inputWeightings!$F$22</f>
        <v>-7.7238867978426793</v>
      </c>
      <c r="N119" s="333">
        <f>SUMPRODUCT(MeasureInputsANDResults!X195:AB195,inputWeightings!$B$35:$F$35)</f>
        <v>-1.827726509498834</v>
      </c>
    </row>
    <row r="120" spans="1:14" ht="15">
      <c r="A120" s="253" t="str">
        <f t="shared" si="19"/>
        <v>Windo11</v>
      </c>
      <c r="B120" s="254" t="str">
        <f t="shared" si="19"/>
        <v>Windows11</v>
      </c>
      <c r="C120" s="254" t="str">
        <f t="shared" si="19"/>
        <v>Windows</v>
      </c>
      <c r="D120" s="254">
        <f t="shared" si="19"/>
        <v>11</v>
      </c>
      <c r="E120" s="254" t="str">
        <f t="shared" si="19"/>
        <v>Class 85</v>
      </c>
      <c r="F120" s="254" t="str">
        <f t="shared" si="19"/>
        <v>Class 30</v>
      </c>
      <c r="G120" s="255" t="s">
        <v>326</v>
      </c>
      <c r="H120" s="254" t="str">
        <f t="shared" ref="H120:H133" si="20">C120&amp;" - "&amp;E120&amp;" to "&amp;F120&amp;" - "&amp;G120</f>
        <v>Windows - Class 85 to Class 30 - Heating Zone 3</v>
      </c>
      <c r="I120" s="256">
        <f>SUMPRODUCT(MeasureInputsANDResults!I250:M250,inputWeightings!$B$22:$F$22)</f>
        <v>-10.68881899638205</v>
      </c>
      <c r="J120" s="257">
        <f>SUMPRODUCT(MeasureInputsANDResults!N250:R250,inputWeightings!$B$22:$F$22)</f>
        <v>-9.7885242687766508E-2</v>
      </c>
      <c r="K120" s="256">
        <f>MeasureInputsANDResults!I196*inputWeightings!$B$22+MeasureInputsANDResults!L196*inputWeightings!$C$22+MeasureInputsANDResults!O196*inputWeightings!$D$22+MeasureInputsANDResults!R196*inputWeightings!$E$22+MeasureInputsANDResults!U196*inputWeightings!$F$22</f>
        <v>-10.739034236752136</v>
      </c>
      <c r="L120" s="256">
        <f>MeasureInputsANDResults!J196*inputWeightings!$B$22+MeasureInputsANDResults!M196*inputWeightings!$C$22+MeasureInputsANDResults!P196*inputWeightings!$D$22+MeasureInputsANDResults!S196*inputWeightings!$E$22+MeasureInputsANDResults!V196*inputWeightings!$F$22</f>
        <v>-10.934300548416861</v>
      </c>
      <c r="M120" s="332">
        <f>MeasureInputsANDResults!K196*inputWeightings!$B$22+MeasureInputsANDResults!N196*inputWeightings!$C$22+MeasureInputsANDResults!Q196*inputWeightings!$D$22+MeasureInputsANDResults!T196*inputWeightings!$E$22+MeasureInputsANDResults!W196*inputWeightings!$F$22</f>
        <v>-6.4329234654234657</v>
      </c>
      <c r="N120" s="333">
        <f>SUMPRODUCT(MeasureInputsANDResults!X196:AB196,inputWeightings!$B$35:$F$35)</f>
        <v>-1.7595555066996891</v>
      </c>
    </row>
    <row r="121" spans="1:14" ht="15">
      <c r="A121" s="253" t="str">
        <f t="shared" si="19"/>
        <v>Windo12</v>
      </c>
      <c r="B121" s="254" t="str">
        <f t="shared" si="19"/>
        <v>Windows12</v>
      </c>
      <c r="C121" s="254" t="str">
        <f t="shared" si="19"/>
        <v>Windows</v>
      </c>
      <c r="D121" s="254">
        <f t="shared" si="19"/>
        <v>12</v>
      </c>
      <c r="E121" s="254" t="str">
        <f t="shared" si="19"/>
        <v>Class 85</v>
      </c>
      <c r="F121" s="254" t="str">
        <f t="shared" si="19"/>
        <v>Class 25</v>
      </c>
      <c r="G121" s="255" t="s">
        <v>326</v>
      </c>
      <c r="H121" s="254" t="str">
        <f t="shared" si="20"/>
        <v>Windows - Class 85 to Class 25 - Heating Zone 3</v>
      </c>
      <c r="I121" s="256">
        <f>SUMPRODUCT(MeasureInputsANDResults!I251:M251,inputWeightings!$B$22:$F$22)</f>
        <v>0</v>
      </c>
      <c r="J121" s="257">
        <f>SUMPRODUCT(MeasureInputsANDResults!N251:R251,inputWeightings!$B$22:$F$22)</f>
        <v>0</v>
      </c>
      <c r="K121" s="256">
        <f>MeasureInputsANDResults!I197*inputWeightings!$B$22+MeasureInputsANDResults!L197*inputWeightings!$C$22+MeasureInputsANDResults!O197*inputWeightings!$D$22+MeasureInputsANDResults!R197*inputWeightings!$E$22+MeasureInputsANDResults!U197*inputWeightings!$F$22</f>
        <v>0</v>
      </c>
      <c r="L121" s="256">
        <f>MeasureInputsANDResults!J197*inputWeightings!$B$22+MeasureInputsANDResults!M197*inputWeightings!$C$22+MeasureInputsANDResults!P197*inputWeightings!$D$22+MeasureInputsANDResults!S197*inputWeightings!$E$22+MeasureInputsANDResults!V197*inputWeightings!$F$22</f>
        <v>0</v>
      </c>
      <c r="M121" s="332">
        <f>MeasureInputsANDResults!K197*inputWeightings!$B$22+MeasureInputsANDResults!N197*inputWeightings!$C$22+MeasureInputsANDResults!Q197*inputWeightings!$D$22+MeasureInputsANDResults!T197*inputWeightings!$E$22+MeasureInputsANDResults!W197*inputWeightings!$F$22</f>
        <v>0</v>
      </c>
      <c r="N121" s="333">
        <f>SUMPRODUCT(MeasureInputsANDResults!X197:AB197,inputWeightings!$B$35:$F$35)</f>
        <v>0</v>
      </c>
    </row>
    <row r="122" spans="1:14" ht="15">
      <c r="A122" s="253" t="str">
        <f t="shared" si="19"/>
        <v>Windo13</v>
      </c>
      <c r="B122" s="254" t="str">
        <f t="shared" si="19"/>
        <v>Windows13</v>
      </c>
      <c r="C122" s="254" t="str">
        <f t="shared" si="19"/>
        <v>Windows</v>
      </c>
      <c r="D122" s="254">
        <f t="shared" si="19"/>
        <v>13</v>
      </c>
      <c r="E122" s="254" t="str">
        <f t="shared" si="19"/>
        <v>Class 85</v>
      </c>
      <c r="F122" s="254" t="str">
        <f t="shared" si="19"/>
        <v>Class 20</v>
      </c>
      <c r="G122" s="255" t="s">
        <v>326</v>
      </c>
      <c r="H122" s="254" t="str">
        <f t="shared" si="20"/>
        <v>Windows - Class 85 to Class 20 - Heating Zone 3</v>
      </c>
      <c r="I122" s="256">
        <f>SUMPRODUCT(MeasureInputsANDResults!I252:M252,inputWeightings!$B$22:$F$22)</f>
        <v>-6.601373689223716</v>
      </c>
      <c r="J122" s="257">
        <f>SUMPRODUCT(MeasureInputsANDResults!N252:R252,inputWeightings!$B$22:$F$22)</f>
        <v>-9.0019970883751563E-2</v>
      </c>
      <c r="K122" s="256">
        <f>MeasureInputsANDResults!I198*inputWeightings!$B$22+MeasureInputsANDResults!L198*inputWeightings!$C$22+MeasureInputsANDResults!O198*inputWeightings!$D$22+MeasureInputsANDResults!R198*inputWeightings!$E$22+MeasureInputsANDResults!U198*inputWeightings!$F$22</f>
        <v>-6.6319485717035747</v>
      </c>
      <c r="L122" s="256">
        <f>MeasureInputsANDResults!J198*inputWeightings!$B$22+MeasureInputsANDResults!M198*inputWeightings!$C$22+MeasureInputsANDResults!P198*inputWeightings!$D$22+MeasureInputsANDResults!S198*inputWeightings!$E$22+MeasureInputsANDResults!V198*inputWeightings!$F$22</f>
        <v>-6.7532827251709389</v>
      </c>
      <c r="M122" s="332">
        <f>MeasureInputsANDResults!K198*inputWeightings!$B$22+MeasureInputsANDResults!N198*inputWeightings!$C$22+MeasureInputsANDResults!Q198*inputWeightings!$D$22+MeasureInputsANDResults!T198*inputWeightings!$E$22+MeasureInputsANDResults!W198*inputWeightings!$F$22</f>
        <v>-4.0055807395219158</v>
      </c>
      <c r="N122" s="333">
        <f>SUMPRODUCT(MeasureInputsANDResults!X198:AB198,inputWeightings!$B$35:$F$35)</f>
        <v>-1.5531741247707849</v>
      </c>
    </row>
    <row r="123" spans="1:14" ht="15">
      <c r="A123" s="253" t="str">
        <f t="shared" si="19"/>
        <v>Windo14</v>
      </c>
      <c r="B123" s="254" t="str">
        <f t="shared" si="19"/>
        <v>Windows14</v>
      </c>
      <c r="C123" s="254" t="str">
        <f t="shared" si="19"/>
        <v>Windows</v>
      </c>
      <c r="D123" s="254">
        <f t="shared" si="19"/>
        <v>14</v>
      </c>
      <c r="E123" s="254" t="str">
        <f t="shared" si="19"/>
        <v>Class 85</v>
      </c>
      <c r="F123" s="254" t="str">
        <f t="shared" si="19"/>
        <v>Class 15</v>
      </c>
      <c r="G123" s="255" t="s">
        <v>326</v>
      </c>
      <c r="H123" s="254" t="str">
        <f t="shared" si="20"/>
        <v>Windows - Class 85 to Class 15 - Heating Zone 3</v>
      </c>
      <c r="I123" s="256">
        <f>SUMPRODUCT(MeasureInputsANDResults!I253:M253,inputWeightings!$B$22:$F$22)</f>
        <v>-4.1808137349895205</v>
      </c>
      <c r="J123" s="257">
        <f>SUMPRODUCT(MeasureInputsANDResults!N253:R253,inputWeightings!$B$22:$F$22)</f>
        <v>-9.6147322129645066E-2</v>
      </c>
      <c r="K123" s="256">
        <f>MeasureInputsANDResults!I199*inputWeightings!$B$22+MeasureInputsANDResults!L199*inputWeightings!$C$22+MeasureInputsANDResults!O199*inputWeightings!$D$22+MeasureInputsANDResults!R199*inputWeightings!$E$22+MeasureInputsANDResults!U199*inputWeightings!$F$22</f>
        <v>-4.1991526195376832</v>
      </c>
      <c r="L123" s="256">
        <f>MeasureInputsANDResults!J199*inputWeightings!$B$22+MeasureInputsANDResults!M199*inputWeightings!$C$22+MeasureInputsANDResults!P199*inputWeightings!$D$22+MeasureInputsANDResults!S199*inputWeightings!$E$22+MeasureInputsANDResults!V199*inputWeightings!$F$22</f>
        <v>-4.2747010017851572</v>
      </c>
      <c r="M123" s="332">
        <f>MeasureInputsANDResults!K199*inputWeightings!$B$22+MeasureInputsANDResults!N199*inputWeightings!$C$22+MeasureInputsANDResults!Q199*inputWeightings!$D$22+MeasureInputsANDResults!T199*inputWeightings!$E$22+MeasureInputsANDResults!W199*inputWeightings!$F$22</f>
        <v>-2.618766397001691</v>
      </c>
      <c r="N123" s="333">
        <f>SUMPRODUCT(MeasureInputsANDResults!X199:AB199,inputWeightings!$B$35:$F$35)</f>
        <v>-1.5889403216025639</v>
      </c>
    </row>
    <row r="124" spans="1:14" ht="15">
      <c r="A124" s="253" t="str">
        <f t="shared" si="19"/>
        <v>Windo15</v>
      </c>
      <c r="B124" s="254" t="str">
        <f t="shared" si="19"/>
        <v>Windows15</v>
      </c>
      <c r="C124" s="254" t="str">
        <f t="shared" si="19"/>
        <v>Windows</v>
      </c>
      <c r="D124" s="254">
        <f t="shared" si="19"/>
        <v>15</v>
      </c>
      <c r="E124" s="254" t="str">
        <f t="shared" si="19"/>
        <v>Class 50</v>
      </c>
      <c r="F124" s="254" t="str">
        <f t="shared" si="19"/>
        <v>Class 35</v>
      </c>
      <c r="G124" s="255" t="s">
        <v>326</v>
      </c>
      <c r="H124" s="254" t="str">
        <f t="shared" si="20"/>
        <v>Windows - Class 50 to Class 35 - Heating Zone 3</v>
      </c>
      <c r="I124" s="256">
        <f>SUMPRODUCT(MeasureInputsANDResults!I254:M254,inputWeightings!$B$22:$F$22)</f>
        <v>2.5959472051115444</v>
      </c>
      <c r="J124" s="257">
        <f>SUMPRODUCT(MeasureInputsANDResults!N254:R254,inputWeightings!$B$22:$F$22)</f>
        <v>0.15888391411008596</v>
      </c>
      <c r="K124" s="256">
        <f>MeasureInputsANDResults!I200*inputWeightings!$B$22+MeasureInputsANDResults!L200*inputWeightings!$C$22+MeasureInputsANDResults!O200*inputWeightings!$D$22+MeasureInputsANDResults!R200*inputWeightings!$E$22+MeasureInputsANDResults!U200*inputWeightings!$F$22</f>
        <v>2.5999497985722604</v>
      </c>
      <c r="L124" s="256">
        <f>MeasureInputsANDResults!J200*inputWeightings!$B$22+MeasureInputsANDResults!M200*inputWeightings!$C$22+MeasureInputsANDResults!P200*inputWeightings!$D$22+MeasureInputsANDResults!S200*inputWeightings!$E$22+MeasureInputsANDResults!V200*inputWeightings!$F$22</f>
        <v>2.6302743183566415</v>
      </c>
      <c r="M124" s="332">
        <f>MeasureInputsANDResults!K200*inputWeightings!$B$22+MeasureInputsANDResults!N200*inputWeightings!$C$22+MeasureInputsANDResults!Q200*inputWeightings!$D$22+MeasureInputsANDResults!T200*inputWeightings!$E$22+MeasureInputsANDResults!W200*inputWeightings!$F$22</f>
        <v>2.229638991727227</v>
      </c>
      <c r="N124" s="333">
        <f>SUMPRODUCT(MeasureInputsANDResults!X200:AB200,inputWeightings!$B$35:$F$35)</f>
        <v>2.3990663374087027</v>
      </c>
    </row>
    <row r="125" spans="1:14" ht="15">
      <c r="A125" s="253" t="str">
        <f t="shared" si="19"/>
        <v>Windo16</v>
      </c>
      <c r="B125" s="254" t="str">
        <f t="shared" si="19"/>
        <v>Windows16</v>
      </c>
      <c r="C125" s="254" t="str">
        <f t="shared" si="19"/>
        <v>Windows</v>
      </c>
      <c r="D125" s="254">
        <f t="shared" si="19"/>
        <v>16</v>
      </c>
      <c r="E125" s="254" t="str">
        <f t="shared" si="19"/>
        <v>Class 50</v>
      </c>
      <c r="F125" s="254" t="str">
        <f t="shared" si="19"/>
        <v>Class 30</v>
      </c>
      <c r="G125" s="255" t="s">
        <v>326</v>
      </c>
      <c r="H125" s="254" t="str">
        <f t="shared" si="20"/>
        <v>Windows - Class 50 to Class 30 - Heating Zone 3</v>
      </c>
      <c r="I125" s="256">
        <f>SUMPRODUCT(MeasureInputsANDResults!I255:M255,inputWeightings!$B$22:$F$22)</f>
        <v>4.7518218772682257</v>
      </c>
      <c r="J125" s="257">
        <f>SUMPRODUCT(MeasureInputsANDResults!N255:R255,inputWeightings!$B$22:$F$22)</f>
        <v>0.16060378105427392</v>
      </c>
      <c r="K125" s="256">
        <f>MeasureInputsANDResults!I201*inputWeightings!$B$22+MeasureInputsANDResults!L201*inputWeightings!$C$22+MeasureInputsANDResults!O201*inputWeightings!$D$22+MeasureInputsANDResults!R201*inputWeightings!$E$22+MeasureInputsANDResults!U201*inputWeightings!$F$22</f>
        <v>4.7660600575505043</v>
      </c>
      <c r="L125" s="256">
        <f>MeasureInputsANDResults!J201*inputWeightings!$B$22+MeasureInputsANDResults!M201*inputWeightings!$C$22+MeasureInputsANDResults!P201*inputWeightings!$D$22+MeasureInputsANDResults!S201*inputWeightings!$E$22+MeasureInputsANDResults!V201*inputWeightings!$F$22</f>
        <v>4.8347768222727279</v>
      </c>
      <c r="M125" s="332">
        <f>MeasureInputsANDResults!K201*inputWeightings!$B$22+MeasureInputsANDResults!N201*inputWeightings!$C$22+MeasureInputsANDResults!Q201*inputWeightings!$D$22+MeasureInputsANDResults!T201*inputWeightings!$E$22+MeasureInputsANDResults!W201*inputWeightings!$F$22</f>
        <v>3.5206023241464415</v>
      </c>
      <c r="N125" s="333">
        <f>SUMPRODUCT(MeasureInputsANDResults!X201:AB201,inputWeightings!$B$35:$F$35)</f>
        <v>2.4672373402078476</v>
      </c>
    </row>
    <row r="126" spans="1:14" ht="15">
      <c r="A126" s="253" t="str">
        <f t="shared" si="19"/>
        <v>Windo17</v>
      </c>
      <c r="B126" s="254" t="str">
        <f t="shared" si="19"/>
        <v>Windows17</v>
      </c>
      <c r="C126" s="254" t="str">
        <f t="shared" si="19"/>
        <v>Windows</v>
      </c>
      <c r="D126" s="254">
        <f t="shared" si="19"/>
        <v>17</v>
      </c>
      <c r="E126" s="254" t="str">
        <f t="shared" si="19"/>
        <v>Class 50</v>
      </c>
      <c r="F126" s="254" t="str">
        <f t="shared" si="19"/>
        <v>Class 25</v>
      </c>
      <c r="G126" s="255" t="s">
        <v>326</v>
      </c>
      <c r="H126" s="254" t="str">
        <f t="shared" si="20"/>
        <v>Windows - Class 50 to Class 25 - Heating Zone 3</v>
      </c>
      <c r="I126" s="256">
        <f>SUMPRODUCT(MeasureInputsANDResults!I256:M256,inputWeightings!$B$22:$F$22)</f>
        <v>15.440640873650276</v>
      </c>
      <c r="J126" s="257">
        <f>SUMPRODUCT(MeasureInputsANDResults!N256:R256,inputWeightings!$B$22:$F$22)</f>
        <v>0.25848902374204036</v>
      </c>
      <c r="K126" s="256">
        <f>MeasureInputsANDResults!I202*inputWeightings!$B$22+MeasureInputsANDResults!L202*inputWeightings!$C$22+MeasureInputsANDResults!O202*inputWeightings!$D$22+MeasureInputsANDResults!R202*inputWeightings!$E$22+MeasureInputsANDResults!U202*inputWeightings!$F$22</f>
        <v>15.505094294302641</v>
      </c>
      <c r="L126" s="256">
        <f>MeasureInputsANDResults!J202*inputWeightings!$B$22+MeasureInputsANDResults!M202*inputWeightings!$C$22+MeasureInputsANDResults!P202*inputWeightings!$D$22+MeasureInputsANDResults!S202*inputWeightings!$E$22+MeasureInputsANDResults!V202*inputWeightings!$F$22</f>
        <v>15.769077370689587</v>
      </c>
      <c r="M126" s="332">
        <f>MeasureInputsANDResults!K202*inputWeightings!$B$22+MeasureInputsANDResults!N202*inputWeightings!$C$22+MeasureInputsANDResults!Q202*inputWeightings!$D$22+MeasureInputsANDResults!T202*inputWeightings!$E$22+MeasureInputsANDResults!W202*inputWeightings!$F$22</f>
        <v>9.9535257895699072</v>
      </c>
      <c r="N126" s="333">
        <f>SUMPRODUCT(MeasureInputsANDResults!X202:AB202,inputWeightings!$B$35:$F$35)</f>
        <v>4.2267928469075375</v>
      </c>
    </row>
    <row r="127" spans="1:14" ht="15">
      <c r="A127" s="253" t="str">
        <f t="shared" si="19"/>
        <v>Windo18</v>
      </c>
      <c r="B127" s="254" t="str">
        <f t="shared" si="19"/>
        <v>Windows18</v>
      </c>
      <c r="C127" s="254" t="str">
        <f t="shared" si="19"/>
        <v>Windows</v>
      </c>
      <c r="D127" s="254">
        <f t="shared" si="19"/>
        <v>18</v>
      </c>
      <c r="E127" s="254" t="str">
        <f t="shared" si="19"/>
        <v>Class 50</v>
      </c>
      <c r="F127" s="254" t="str">
        <f t="shared" si="19"/>
        <v>Class 20</v>
      </c>
      <c r="G127" s="255" t="s">
        <v>326</v>
      </c>
      <c r="H127" s="254" t="str">
        <f t="shared" si="20"/>
        <v>Windows - Class 50 to Class 20 - Heating Zone 3</v>
      </c>
      <c r="I127" s="256">
        <f>SUMPRODUCT(MeasureInputsANDResults!I257:M257,inputWeightings!$B$22:$F$22)</f>
        <v>8.8392671844265589</v>
      </c>
      <c r="J127" s="257">
        <f>SUMPRODUCT(MeasureInputsANDResults!N257:R257,inputWeightings!$B$22:$F$22)</f>
        <v>0.16846905285828886</v>
      </c>
      <c r="K127" s="256">
        <f>MeasureInputsANDResults!I203*inputWeightings!$B$22+MeasureInputsANDResults!L203*inputWeightings!$C$22+MeasureInputsANDResults!O203*inputWeightings!$D$22+MeasureInputsANDResults!R203*inputWeightings!$E$22+MeasureInputsANDResults!U203*inputWeightings!$F$22</f>
        <v>8.873145722599066</v>
      </c>
      <c r="L127" s="256">
        <f>MeasureInputsANDResults!J203*inputWeightings!$B$22+MeasureInputsANDResults!M203*inputWeightings!$C$22+MeasureInputsANDResults!P203*inputWeightings!$D$22+MeasureInputsANDResults!S203*inputWeightings!$E$22+MeasureInputsANDResults!V203*inputWeightings!$F$22</f>
        <v>9.015794645518648</v>
      </c>
      <c r="M127" s="332">
        <f>MeasureInputsANDResults!K203*inputWeightings!$B$22+MeasureInputsANDResults!N203*inputWeightings!$C$22+MeasureInputsANDResults!Q203*inputWeightings!$D$22+MeasureInputsANDResults!T203*inputWeightings!$E$22+MeasureInputsANDResults!W203*inputWeightings!$F$22</f>
        <v>5.9479450500479913</v>
      </c>
      <c r="N127" s="333">
        <f>SUMPRODUCT(MeasureInputsANDResults!X203:AB203,inputWeightings!$B$35:$F$35)</f>
        <v>2.6736187221367516</v>
      </c>
    </row>
    <row r="128" spans="1:14" ht="15">
      <c r="A128" s="244" t="str">
        <f t="shared" si="19"/>
        <v>Windo19</v>
      </c>
      <c r="B128" s="245" t="str">
        <f t="shared" si="19"/>
        <v>Windows19</v>
      </c>
      <c r="C128" s="245" t="str">
        <f t="shared" si="19"/>
        <v>Windows</v>
      </c>
      <c r="D128" s="245">
        <f t="shared" si="19"/>
        <v>19</v>
      </c>
      <c r="E128" s="245" t="str">
        <f t="shared" si="19"/>
        <v>Class 35</v>
      </c>
      <c r="F128" s="245" t="str">
        <f t="shared" si="19"/>
        <v>Class 22</v>
      </c>
      <c r="G128" s="246" t="s">
        <v>326</v>
      </c>
      <c r="H128" s="245" t="str">
        <f t="shared" si="20"/>
        <v>Windows - Class 35 to Class 22 - Heating Zone 3</v>
      </c>
      <c r="I128" s="247">
        <f>SUMPRODUCT(MeasureInputsANDResults!I258:M258,inputWeightings!$B$22:$F$22)</f>
        <v>5.3561061901623441</v>
      </c>
      <c r="J128" s="248">
        <f>SUMPRODUCT(MeasureInputsANDResults!N258:R258,inputWeightings!$B$22:$F$22)</f>
        <v>8.4464502569675734E-3</v>
      </c>
      <c r="K128" s="247">
        <f>MeasureInputsANDResults!I204*inputWeightings!$B$22+MeasureInputsANDResults!L204*inputWeightings!$C$22+MeasureInputsANDResults!O204*inputWeightings!$D$22+MeasureInputsANDResults!R204*inputWeightings!$E$22+MeasureInputsANDResults!U204*inputWeightings!$F$22</f>
        <v>5.3816533510023312</v>
      </c>
      <c r="L128" s="247">
        <f>MeasureInputsANDResults!J204*inputWeightings!$B$22+MeasureInputsANDResults!M204*inputWeightings!$C$22+MeasureInputsANDResults!P204*inputWeightings!$D$22+MeasureInputsANDResults!S204*inputWeightings!$E$22+MeasureInputsANDResults!V204*inputWeightings!$F$22</f>
        <v>5.4776660970901325</v>
      </c>
      <c r="M128" s="330">
        <f>MeasureInputsANDResults!K204*inputWeightings!$B$22+MeasureInputsANDResults!N204*inputWeightings!$C$22+MeasureInputsANDResults!Q204*inputWeightings!$D$22+MeasureInputsANDResults!T204*inputWeightings!$E$22+MeasureInputsANDResults!W204*inputWeightings!$F$22</f>
        <v>3.1970138831756483</v>
      </c>
      <c r="N128" s="331">
        <f>SUMPRODUCT(MeasureInputsANDResults!X204:AB204,inputWeightings!$B$35:$F$35)</f>
        <v>0.23751308602175589</v>
      </c>
    </row>
    <row r="129" spans="1:14" ht="15">
      <c r="A129" s="244" t="str">
        <f t="shared" si="19"/>
        <v>Windo20</v>
      </c>
      <c r="B129" s="245" t="str">
        <f t="shared" si="19"/>
        <v>Windows20</v>
      </c>
      <c r="C129" s="245" t="str">
        <f t="shared" si="19"/>
        <v>Windows</v>
      </c>
      <c r="D129" s="245">
        <f t="shared" si="19"/>
        <v>20</v>
      </c>
      <c r="E129" s="245" t="str">
        <f t="shared" si="19"/>
        <v>Single Pane</v>
      </c>
      <c r="F129" s="245" t="str">
        <f t="shared" si="19"/>
        <v>Class 22</v>
      </c>
      <c r="G129" s="246" t="s">
        <v>326</v>
      </c>
      <c r="H129" s="245" t="str">
        <f t="shared" si="20"/>
        <v>Windows - Single Pane to Class 22 - Heating Zone 3</v>
      </c>
      <c r="I129" s="247">
        <f>SUMPRODUCT(MeasureInputsANDResults!I259:M259,inputWeightings!$B$22:$F$22)</f>
        <v>38.576818341319914</v>
      </c>
      <c r="J129" s="248">
        <f>SUMPRODUCT(MeasureInputsANDResults!N259:R259,inputWeightings!$B$22:$F$22)</f>
        <v>0.12555634375453159</v>
      </c>
      <c r="K129" s="247">
        <f>MeasureInputsANDResults!I205*inputWeightings!$B$22+MeasureInputsANDResults!L205*inputWeightings!$C$22+MeasureInputsANDResults!O205*inputWeightings!$D$22+MeasureInputsANDResults!R205*inputWeightings!$E$22+MeasureInputsANDResults!U205*inputWeightings!$F$22</f>
        <v>38.722478213319739</v>
      </c>
      <c r="L129" s="247">
        <f>MeasureInputsANDResults!J205*inputWeightings!$B$22+MeasureInputsANDResults!M205*inputWeightings!$C$22+MeasureInputsANDResults!P205*inputWeightings!$D$22+MeasureInputsANDResults!S205*inputWeightings!$E$22+MeasureInputsANDResults!V205*inputWeightings!$F$22</f>
        <v>39.377109278117715</v>
      </c>
      <c r="M129" s="330">
        <f>MeasureInputsANDResults!K205*inputWeightings!$B$22+MeasureInputsANDResults!N205*inputWeightings!$C$22+MeasureInputsANDResults!Q205*inputWeightings!$D$22+MeasureInputsANDResults!T205*inputWeightings!$E$22+MeasureInputsANDResults!W205*inputWeightings!$F$22</f>
        <v>26.069865453174277</v>
      </c>
      <c r="N129" s="331">
        <f>SUMPRODUCT(MeasureInputsANDResults!X205:AB205,inputWeightings!$B$35:$F$35)</f>
        <v>2.3076774732303811</v>
      </c>
    </row>
    <row r="130" spans="1:14" ht="15">
      <c r="A130" s="244" t="str">
        <f t="shared" si="19"/>
        <v>Windo21</v>
      </c>
      <c r="B130" s="245" t="str">
        <f t="shared" si="19"/>
        <v>Windows21</v>
      </c>
      <c r="C130" s="245" t="str">
        <f t="shared" si="19"/>
        <v>Windows</v>
      </c>
      <c r="D130" s="245">
        <f t="shared" si="19"/>
        <v>21</v>
      </c>
      <c r="E130" s="245" t="str">
        <f t="shared" si="19"/>
        <v>Double Pane</v>
      </c>
      <c r="F130" s="245" t="str">
        <f t="shared" si="19"/>
        <v>Class 22</v>
      </c>
      <c r="G130" s="246" t="s">
        <v>326</v>
      </c>
      <c r="H130" s="245" t="str">
        <f t="shared" si="20"/>
        <v>Windows - Double Pane to Class 22 - Heating Zone 3</v>
      </c>
      <c r="I130" s="247">
        <f>SUMPRODUCT(MeasureInputsANDResults!I260:M260,inputWeightings!$B$22:$F$22)</f>
        <v>23.285636900343906</v>
      </c>
      <c r="J130" s="248">
        <f>SUMPRODUCT(MeasureInputsANDResults!N260:R260,inputWeightings!$B$22:$F$22)</f>
        <v>0.16341779536393156</v>
      </c>
      <c r="K130" s="247">
        <f>MeasureInputsANDResults!I206*inputWeightings!$B$22+MeasureInputsANDResults!L206*inputWeightings!$C$22+MeasureInputsANDResults!O206*inputWeightings!$D$22+MeasureInputsANDResults!R206*inputWeightings!$E$22+MeasureInputsANDResults!U206*inputWeightings!$F$22</f>
        <v>23.377004959203571</v>
      </c>
      <c r="L130" s="247">
        <f>MeasureInputsANDResults!J206*inputWeightings!$B$22+MeasureInputsANDResults!M206*inputWeightings!$C$22+MeasureInputsANDResults!P206*inputWeightings!$D$22+MeasureInputsANDResults!S206*inputWeightings!$E$22+MeasureInputsANDResults!V206*inputWeightings!$F$22</f>
        <v>23.769003469110334</v>
      </c>
      <c r="M130" s="330">
        <f>MeasureInputsANDResults!K206*inputWeightings!$B$22+MeasureInputsANDResults!N206*inputWeightings!$C$22+MeasureInputsANDResults!Q206*inputWeightings!$D$22+MeasureInputsANDResults!T206*inputWeightings!$E$22+MeasureInputsANDResults!W206*inputWeightings!$F$22</f>
        <v>15.474579962521142</v>
      </c>
      <c r="N130" s="331">
        <f>SUMPRODUCT(MeasureInputsANDResults!X206:AB206,inputWeightings!$B$35:$F$35)</f>
        <v>2.7482648577233877</v>
      </c>
    </row>
    <row r="131" spans="1:14" ht="15">
      <c r="A131" s="244" t="str">
        <f t="shared" si="19"/>
        <v>Windo22</v>
      </c>
      <c r="B131" s="245" t="str">
        <f t="shared" si="19"/>
        <v>Windows22</v>
      </c>
      <c r="C131" s="245" t="str">
        <f t="shared" si="19"/>
        <v>Windows</v>
      </c>
      <c r="D131" s="245">
        <f t="shared" si="19"/>
        <v>22</v>
      </c>
      <c r="E131" s="245" t="str">
        <f t="shared" si="19"/>
        <v>Single Pane</v>
      </c>
      <c r="F131" s="245" t="str">
        <f t="shared" si="19"/>
        <v>Class 30</v>
      </c>
      <c r="G131" s="246" t="s">
        <v>326</v>
      </c>
      <c r="H131" s="245" t="str">
        <f t="shared" si="20"/>
        <v>Windows - Single Pane to Class 30 - Heating Zone 3</v>
      </c>
      <c r="I131" s="247">
        <f>SUMPRODUCT(MeasureInputsANDResults!I261:M261,inputWeightings!$B$22:$F$22)</f>
        <v>35.376586823314248</v>
      </c>
      <c r="J131" s="248">
        <f>SUMPRODUCT(MeasureInputsANDResults!N261:R261,inputWeightings!$B$22:$F$22)</f>
        <v>0.11882976044175197</v>
      </c>
      <c r="K131" s="247">
        <f>MeasureInputsANDResults!I207*inputWeightings!$B$22+MeasureInputsANDResults!L207*inputWeightings!$C$22+MeasureInputsANDResults!O207*inputWeightings!$D$22+MeasureInputsANDResults!R207*inputWeightings!$E$22+MeasureInputsANDResults!U207*inputWeightings!$F$22</f>
        <v>35.506935121295648</v>
      </c>
      <c r="L131" s="247">
        <f>MeasureInputsANDResults!J207*inputWeightings!$B$22+MeasureInputsANDResults!M207*inputWeightings!$C$22+MeasureInputsANDResults!P207*inputWeightings!$D$22+MeasureInputsANDResults!S207*inputWeightings!$E$22+MeasureInputsANDResults!V207*inputWeightings!$F$22</f>
        <v>36.103945684943668</v>
      </c>
      <c r="M131" s="330">
        <f>MeasureInputsANDResults!K207*inputWeightings!$B$22+MeasureInputsANDResults!N207*inputWeightings!$C$22+MeasureInputsANDResults!Q207*inputWeightings!$D$22+MeasureInputsANDResults!T207*inputWeightings!$E$22+MeasureInputsANDResults!W207*inputWeightings!$F$22</f>
        <v>24.163814902417844</v>
      </c>
      <c r="N131" s="331">
        <f>SUMPRODUCT(MeasureInputsANDResults!X207:AB207,inputWeightings!$B$35:$F$35)</f>
        <v>2.1383353900077697</v>
      </c>
    </row>
    <row r="132" spans="1:14" ht="15">
      <c r="A132" s="244" t="str">
        <f t="shared" si="19"/>
        <v>Windo23</v>
      </c>
      <c r="B132" s="245" t="str">
        <f t="shared" si="19"/>
        <v>Windows23</v>
      </c>
      <c r="C132" s="245" t="str">
        <f t="shared" si="19"/>
        <v>Windows</v>
      </c>
      <c r="D132" s="245">
        <f t="shared" si="19"/>
        <v>23</v>
      </c>
      <c r="E132" s="245" t="str">
        <f t="shared" si="19"/>
        <v>Double Pane</v>
      </c>
      <c r="F132" s="245" t="str">
        <f t="shared" si="19"/>
        <v>Class 30</v>
      </c>
      <c r="G132" s="246" t="s">
        <v>326</v>
      </c>
      <c r="H132" s="245" t="str">
        <f t="shared" si="20"/>
        <v>Windows - Double Pane to Class 30 - Heating Zone 3</v>
      </c>
      <c r="I132" s="247">
        <f>SUMPRODUCT(MeasureInputsANDResults!I262:M262,inputWeightings!$B$22:$F$22)</f>
        <v>20.085405382338244</v>
      </c>
      <c r="J132" s="248">
        <f>SUMPRODUCT(MeasureInputsANDResults!N262:R262,inputWeightings!$B$22:$F$22)</f>
        <v>0.15669121205115194</v>
      </c>
      <c r="K132" s="247">
        <f>MeasureInputsANDResults!I208*inputWeightings!$B$22+MeasureInputsANDResults!L208*inputWeightings!$C$22+MeasureInputsANDResults!O208*inputWeightings!$D$22+MeasureInputsANDResults!R208*inputWeightings!$E$22+MeasureInputsANDResults!U208*inputWeightings!$F$22</f>
        <v>20.161461867179487</v>
      </c>
      <c r="L132" s="247">
        <f>MeasureInputsANDResults!J208*inputWeightings!$B$22+MeasureInputsANDResults!M208*inputWeightings!$C$22+MeasureInputsANDResults!P208*inputWeightings!$D$22+MeasureInputsANDResults!S208*inputWeightings!$E$22+MeasureInputsANDResults!V208*inputWeightings!$F$22</f>
        <v>20.495839875936287</v>
      </c>
      <c r="M132" s="330">
        <f>MeasureInputsANDResults!K208*inputWeightings!$B$22+MeasureInputsANDResults!N208*inputWeightings!$C$22+MeasureInputsANDResults!Q208*inputWeightings!$D$22+MeasureInputsANDResults!T208*inputWeightings!$E$22+MeasureInputsANDResults!W208*inputWeightings!$F$22</f>
        <v>13.568529411764708</v>
      </c>
      <c r="N132" s="331">
        <f>SUMPRODUCT(MeasureInputsANDResults!X208:AB208,inputWeightings!$B$35:$F$35)</f>
        <v>2.5789227745007768</v>
      </c>
    </row>
    <row r="133" spans="1:14" ht="15">
      <c r="A133" s="244" t="str">
        <f t="shared" si="19"/>
        <v>Windo24</v>
      </c>
      <c r="B133" s="245" t="str">
        <f t="shared" si="19"/>
        <v>Windows24</v>
      </c>
      <c r="C133" s="245" t="str">
        <f t="shared" si="19"/>
        <v>Windows</v>
      </c>
      <c r="D133" s="245">
        <f t="shared" si="19"/>
        <v>24</v>
      </c>
      <c r="E133" s="245" t="str">
        <f t="shared" si="19"/>
        <v>Class 35</v>
      </c>
      <c r="F133" s="245" t="str">
        <f t="shared" si="19"/>
        <v>Class 30</v>
      </c>
      <c r="G133" s="246" t="s">
        <v>326</v>
      </c>
      <c r="H133" s="245" t="str">
        <f t="shared" si="20"/>
        <v>Windows - Class 35 to Class 30 - Heating Zone 3</v>
      </c>
      <c r="I133" s="247">
        <f>SUMPRODUCT(MeasureInputsANDResults!I263:M263,inputWeightings!$B$22:$F$22)</f>
        <v>2.1558746721566813</v>
      </c>
      <c r="J133" s="248">
        <f>SUMPRODUCT(MeasureInputsANDResults!N263:R263,inputWeightings!$B$22:$F$22)</f>
        <v>1.7198669441879728E-3</v>
      </c>
      <c r="K133" s="247">
        <f>MeasureInputsANDResults!I209*inputWeightings!$B$22+MeasureInputsANDResults!L209*inputWeightings!$C$22+MeasureInputsANDResults!O209*inputWeightings!$D$22+MeasureInputsANDResults!R209*inputWeightings!$E$22+MeasureInputsANDResults!U209*inputWeightings!$F$22</f>
        <v>2.1661102589782435</v>
      </c>
      <c r="L133" s="247">
        <f>MeasureInputsANDResults!J209*inputWeightings!$B$22+MeasureInputsANDResults!M209*inputWeightings!$C$22+MeasureInputsANDResults!P209*inputWeightings!$D$22+MeasureInputsANDResults!S209*inputWeightings!$E$22+MeasureInputsANDResults!V209*inputWeightings!$F$22</f>
        <v>2.2045025039160864</v>
      </c>
      <c r="M133" s="330">
        <f>MeasureInputsANDResults!K209*inputWeightings!$B$22+MeasureInputsANDResults!N209*inputWeightings!$C$22+MeasureInputsANDResults!Q209*inputWeightings!$D$22+MeasureInputsANDResults!T209*inputWeightings!$E$22+MeasureInputsANDResults!W209*inputWeightings!$F$22</f>
        <v>1.2909633324192145</v>
      </c>
      <c r="N133" s="331">
        <f>SUMPRODUCT(MeasureInputsANDResults!X209:AB209,inputWeightings!$B$35:$F$35)</f>
        <v>6.8171002799144842E-2</v>
      </c>
    </row>
    <row r="134" spans="1:14" ht="15">
      <c r="A134" s="297" t="str">
        <f t="shared" ref="A134:F144" si="21">A88</f>
        <v>Infil10</v>
      </c>
      <c r="B134" s="298" t="str">
        <f t="shared" si="21"/>
        <v>Infiltration10</v>
      </c>
      <c r="C134" s="298" t="str">
        <f t="shared" si="21"/>
        <v>Infiltration</v>
      </c>
      <c r="D134" s="298">
        <f t="shared" si="21"/>
        <v>10</v>
      </c>
      <c r="E134" s="298" t="str">
        <f t="shared" si="21"/>
        <v>0.45 ACHn</v>
      </c>
      <c r="F134" s="298" t="str">
        <f t="shared" si="21"/>
        <v>0.35 ACHn</v>
      </c>
      <c r="G134" s="530" t="s">
        <v>326</v>
      </c>
      <c r="H134" s="298" t="str">
        <f>C134&amp;" Reduction - "&amp;E134&amp;" to "&amp;F134&amp;" - "&amp;G134</f>
        <v>Infiltration Reduction - 0.45 ACHn to 0.35 ACHn - Heating Zone 3</v>
      </c>
      <c r="I134" s="531">
        <f>SUMPRODUCT(MeasureInputsANDResults!I264:M264,inputWeightings!$B$22:$F$22)</f>
        <v>0</v>
      </c>
      <c r="J134" s="532">
        <f>SUMPRODUCT(MeasureInputsANDResults!N264:R264,inputWeightings!$B$22:$F$22)</f>
        <v>0</v>
      </c>
      <c r="K134" s="531">
        <f>MeasureInputsANDResults!I210*inputWeightings!$B$22+MeasureInputsANDResults!L210*inputWeightings!$C$22+MeasureInputsANDResults!O210*inputWeightings!$D$22+MeasureInputsANDResults!R210*inputWeightings!$E$22+MeasureInputsANDResults!U210*inputWeightings!$F$22</f>
        <v>0</v>
      </c>
      <c r="L134" s="531">
        <f>MeasureInputsANDResults!J210*inputWeightings!$B$22+MeasureInputsANDResults!M210*inputWeightings!$C$22+MeasureInputsANDResults!P210*inputWeightings!$D$22+MeasureInputsANDResults!S210*inputWeightings!$E$22+MeasureInputsANDResults!V210*inputWeightings!$F$22</f>
        <v>0</v>
      </c>
      <c r="M134" s="533">
        <f>MeasureInputsANDResults!K210*inputWeightings!$B$22+MeasureInputsANDResults!N210*inputWeightings!$C$22+MeasureInputsANDResults!Q210*inputWeightings!$D$22+MeasureInputsANDResults!T210*inputWeightings!$E$22+MeasureInputsANDResults!W210*inputWeightings!$F$22</f>
        <v>0</v>
      </c>
      <c r="N134" s="534">
        <f>SUMPRODUCT(MeasureInputsANDResults!X210:AB210,inputWeightings!$B$35:$F$35)</f>
        <v>0</v>
      </c>
    </row>
    <row r="135" spans="1:14" ht="15">
      <c r="A135" s="253" t="str">
        <f t="shared" si="21"/>
        <v>Infil11</v>
      </c>
      <c r="B135" s="254" t="str">
        <f t="shared" si="21"/>
        <v>Infiltration11</v>
      </c>
      <c r="C135" s="254" t="str">
        <f t="shared" si="21"/>
        <v>Infiltration</v>
      </c>
      <c r="D135" s="254">
        <f t="shared" si="21"/>
        <v>11</v>
      </c>
      <c r="E135" s="254" t="str">
        <f t="shared" si="21"/>
        <v>0.45 ACHn</v>
      </c>
      <c r="F135" s="254" t="str">
        <f t="shared" si="21"/>
        <v>0.20 ACHn</v>
      </c>
      <c r="G135" s="255" t="s">
        <v>326</v>
      </c>
      <c r="H135" s="254" t="str">
        <f t="shared" ref="H135:H136" si="22">C135&amp;" Reduction - "&amp;E135&amp;" to "&amp;F135&amp;" - "&amp;G135</f>
        <v>Infiltration Reduction - 0.45 ACHn to 0.20 ACHn - Heating Zone 3</v>
      </c>
      <c r="I135" s="256">
        <f>SUMPRODUCT(MeasureInputsANDResults!I265:M265,inputWeightings!$B$22:$F$22)</f>
        <v>0</v>
      </c>
      <c r="J135" s="257">
        <f>SUMPRODUCT(MeasureInputsANDResults!N265:R265,inputWeightings!$B$22:$F$22)</f>
        <v>0</v>
      </c>
      <c r="K135" s="256">
        <f>MeasureInputsANDResults!I211*inputWeightings!$B$22+MeasureInputsANDResults!L211*inputWeightings!$C$22+MeasureInputsANDResults!O211*inputWeightings!$D$22+MeasureInputsANDResults!R211*inputWeightings!$E$22+MeasureInputsANDResults!U211*inputWeightings!$F$22</f>
        <v>0</v>
      </c>
      <c r="L135" s="256">
        <f>MeasureInputsANDResults!J211*inputWeightings!$B$22+MeasureInputsANDResults!M211*inputWeightings!$C$22+MeasureInputsANDResults!P211*inputWeightings!$D$22+MeasureInputsANDResults!S211*inputWeightings!$E$22+MeasureInputsANDResults!V211*inputWeightings!$F$22</f>
        <v>0</v>
      </c>
      <c r="M135" s="535">
        <f>MeasureInputsANDResults!K211*inputWeightings!$B$22+MeasureInputsANDResults!N211*inputWeightings!$C$22+MeasureInputsANDResults!Q211*inputWeightings!$D$22+MeasureInputsANDResults!T211*inputWeightings!$E$22+MeasureInputsANDResults!W211*inputWeightings!$F$22</f>
        <v>0</v>
      </c>
      <c r="N135" s="333">
        <f>SUMPRODUCT(MeasureInputsANDResults!X211:AB211,inputWeightings!$B$35:$F$35)</f>
        <v>0</v>
      </c>
    </row>
    <row r="136" spans="1:14" ht="15">
      <c r="A136" s="290" t="str">
        <f t="shared" si="21"/>
        <v>Infil12</v>
      </c>
      <c r="B136" s="291" t="str">
        <f t="shared" si="21"/>
        <v>Infiltration12</v>
      </c>
      <c r="C136" s="291" t="str">
        <f t="shared" si="21"/>
        <v>Infiltration</v>
      </c>
      <c r="D136" s="291">
        <f t="shared" si="21"/>
        <v>12</v>
      </c>
      <c r="E136" s="291" t="str">
        <f t="shared" si="21"/>
        <v>0.35 ACHn</v>
      </c>
      <c r="F136" s="291" t="str">
        <f t="shared" si="21"/>
        <v>0.20 ACHn</v>
      </c>
      <c r="G136" s="292" t="s">
        <v>326</v>
      </c>
      <c r="H136" s="291" t="str">
        <f t="shared" si="22"/>
        <v>Infiltration Reduction - 0.35 ACHn to 0.20 ACHn - Heating Zone 3</v>
      </c>
      <c r="I136" s="293">
        <f>SUMPRODUCT(MeasureInputsANDResults!I266:M266,inputWeightings!$B$22:$F$22)</f>
        <v>0</v>
      </c>
      <c r="J136" s="294">
        <f>SUMPRODUCT(MeasureInputsANDResults!N266:R266,inputWeightings!$B$22:$F$22)</f>
        <v>0</v>
      </c>
      <c r="K136" s="293">
        <f>MeasureInputsANDResults!I212*inputWeightings!$B$22+MeasureInputsANDResults!L212*inputWeightings!$C$22+MeasureInputsANDResults!O212*inputWeightings!$D$22+MeasureInputsANDResults!R212*inputWeightings!$E$22+MeasureInputsANDResults!U212*inputWeightings!$F$22</f>
        <v>0</v>
      </c>
      <c r="L136" s="293">
        <f>MeasureInputsANDResults!J212*inputWeightings!$B$22+MeasureInputsANDResults!M212*inputWeightings!$C$22+MeasureInputsANDResults!P212*inputWeightings!$D$22+MeasureInputsANDResults!S212*inputWeightings!$E$22+MeasureInputsANDResults!V212*inputWeightings!$F$22</f>
        <v>0</v>
      </c>
      <c r="M136" s="536">
        <f>MeasureInputsANDResults!K212*inputWeightings!$B$22+MeasureInputsANDResults!N212*inputWeightings!$C$22+MeasureInputsANDResults!Q212*inputWeightings!$D$22+MeasureInputsANDResults!T212*inputWeightings!$E$22+MeasureInputsANDResults!W212*inputWeightings!$F$22</f>
        <v>0</v>
      </c>
      <c r="N136" s="340">
        <f>SUMPRODUCT(MeasureInputsANDResults!X212:AB212,inputWeightings!$B$35:$F$35)</f>
        <v>0</v>
      </c>
    </row>
    <row r="137" spans="1:14" ht="15">
      <c r="A137" s="253" t="str">
        <f t="shared" si="21"/>
        <v>DuctT10</v>
      </c>
      <c r="B137" s="254" t="str">
        <f t="shared" si="21"/>
        <v>DuctTightness10</v>
      </c>
      <c r="C137" s="254" t="str">
        <f t="shared" si="21"/>
        <v>DuctTightness</v>
      </c>
      <c r="D137" s="254">
        <f t="shared" si="21"/>
        <v>10</v>
      </c>
      <c r="E137" s="254" t="str">
        <f t="shared" si="21"/>
        <v>Std-crawl</v>
      </c>
      <c r="F137" s="254" t="str">
        <f t="shared" si="21"/>
        <v>PTCS-crawl</v>
      </c>
      <c r="G137" s="254" t="s">
        <v>326</v>
      </c>
      <c r="H137" s="254" t="str">
        <f>C137&amp;" - "&amp;E137&amp;" to "&amp;F137&amp;" - "&amp;G137</f>
        <v>DuctTightness - Std-crawl to PTCS-crawl - Heating Zone 3</v>
      </c>
      <c r="I137" s="301">
        <f>SUMPRODUCT(MeasureInputsANDResults!I267:M267,inputWeightings!$B$22:$F$22)</f>
        <v>2396.7324222991565</v>
      </c>
      <c r="J137" s="302">
        <f>SUMPRODUCT(MeasureInputsANDResults!N267:R267,inputWeightings!$B$22:$F$22)</f>
        <v>27.116178359727392</v>
      </c>
      <c r="K137" s="301">
        <f>MeasureInputsANDResults!I213*inputWeightings!$B$22+MeasureInputsANDResults!L213*inputWeightings!$C$22+MeasureInputsANDResults!O213*inputWeightings!$D$22+MeasureInputsANDResults!R213*inputWeightings!$E$22+MeasureInputsANDResults!U213*inputWeightings!$F$22</f>
        <v>0</v>
      </c>
      <c r="L137" s="301">
        <f>MeasureInputsANDResults!J213*inputWeightings!$B$22+MeasureInputsANDResults!M213*inputWeightings!$C$22+MeasureInputsANDResults!P213*inputWeightings!$D$22+MeasureInputsANDResults!S213*inputWeightings!$E$22+MeasureInputsANDResults!V213*inputWeightings!$F$22</f>
        <v>307.28987495000297</v>
      </c>
      <c r="M137" s="345">
        <f>MeasureInputsANDResults!K213*inputWeightings!$B$22+MeasureInputsANDResults!N213*inputWeightings!$C$22+MeasureInputsANDResults!Q213*inputWeightings!$D$22+MeasureInputsANDResults!T213*inputWeightings!$E$22+MeasureInputsANDResults!W213*inputWeightings!$F$22</f>
        <v>6229.6402941176329</v>
      </c>
      <c r="N137" s="346">
        <f>SUMPRODUCT(MeasureInputsANDResults!X213:AB213,inputWeightings!$B$35:$F$35)</f>
        <v>815.60395114999869</v>
      </c>
    </row>
    <row r="138" spans="1:14" ht="15">
      <c r="A138" s="297" t="str">
        <f t="shared" si="21"/>
        <v>DuctI10</v>
      </c>
      <c r="B138" s="298" t="str">
        <f t="shared" si="21"/>
        <v>DuctInsulation10</v>
      </c>
      <c r="C138" s="298" t="str">
        <f t="shared" si="21"/>
        <v>DuctInsulation</v>
      </c>
      <c r="D138" s="298">
        <f t="shared" si="21"/>
        <v>10</v>
      </c>
      <c r="E138" s="298" t="str">
        <f t="shared" si="21"/>
        <v>R-0</v>
      </c>
      <c r="F138" s="298" t="str">
        <f t="shared" si="21"/>
        <v>R-4.2</v>
      </c>
      <c r="G138" s="298" t="s">
        <v>326</v>
      </c>
      <c r="H138" s="298" t="str">
        <f t="shared" ref="H138:H140" si="23">C138&amp;" - "&amp;E138&amp;" to "&amp;F138&amp;" - "&amp;G138</f>
        <v>DuctInsulation - R-0 to R-4.2 - Heating Zone 3</v>
      </c>
      <c r="I138" s="299">
        <f>SUMPRODUCT(MeasureInputsANDResults!I268:M268,inputWeightings!$B$22:$F$22)</f>
        <v>166.41979916597415</v>
      </c>
      <c r="J138" s="300">
        <f>SUMPRODUCT(MeasureInputsANDResults!N268:R268,inputWeightings!$B$22:$F$22)</f>
        <v>1.9046321158302395</v>
      </c>
      <c r="K138" s="299">
        <f>MeasureInputsANDResults!I214*inputWeightings!$B$22+MeasureInputsANDResults!L214*inputWeightings!$C$22+MeasureInputsANDResults!O214*inputWeightings!$D$22+MeasureInputsANDResults!R214*inputWeightings!$E$22+MeasureInputsANDResults!U214*inputWeightings!$F$22</f>
        <v>0</v>
      </c>
      <c r="L138" s="299">
        <f>MeasureInputsANDResults!J214*inputWeightings!$B$22+MeasureInputsANDResults!M214*inputWeightings!$C$22+MeasureInputsANDResults!P214*inputWeightings!$D$22+MeasureInputsANDResults!S214*inputWeightings!$E$22+MeasureInputsANDResults!V214*inputWeightings!$F$22</f>
        <v>110.83397440000098</v>
      </c>
      <c r="M138" s="343">
        <f>MeasureInputsANDResults!K214*inputWeightings!$B$22+MeasureInputsANDResults!N214*inputWeightings!$C$22+MeasureInputsANDResults!Q214*inputWeightings!$D$22+MeasureInputsANDResults!T214*inputWeightings!$E$22+MeasureInputsANDResults!W214*inputWeightings!$F$22</f>
        <v>268.38735294117663</v>
      </c>
      <c r="N138" s="344">
        <f>SUMPRODUCT(MeasureInputsANDResults!X214:AB214,inputWeightings!$B$35:$F$35)</f>
        <v>47.895971799997724</v>
      </c>
    </row>
    <row r="139" spans="1:14" ht="15">
      <c r="A139" s="253" t="str">
        <f t="shared" si="21"/>
        <v>DuctI11</v>
      </c>
      <c r="B139" s="254" t="str">
        <f t="shared" si="21"/>
        <v>DuctInsulation11</v>
      </c>
      <c r="C139" s="254" t="str">
        <f t="shared" si="21"/>
        <v>DuctInsulation</v>
      </c>
      <c r="D139" s="254">
        <f t="shared" si="21"/>
        <v>11</v>
      </c>
      <c r="E139" s="254" t="str">
        <f t="shared" si="21"/>
        <v>R-0</v>
      </c>
      <c r="F139" s="254" t="str">
        <f t="shared" si="21"/>
        <v>R-11</v>
      </c>
      <c r="G139" s="254" t="s">
        <v>326</v>
      </c>
      <c r="H139" s="254" t="str">
        <f t="shared" si="23"/>
        <v>DuctInsulation - R-0 to R-11 - Heating Zone 3</v>
      </c>
      <c r="I139" s="301">
        <f>SUMPRODUCT(MeasureInputsANDResults!I269:M269,inputWeightings!$B$22:$F$22)</f>
        <v>231.92802275303535</v>
      </c>
      <c r="J139" s="302">
        <f>SUMPRODUCT(MeasureInputsANDResults!N269:R269,inputWeightings!$B$22:$F$22)</f>
        <v>2.6224778216033804</v>
      </c>
      <c r="K139" s="301">
        <f>MeasureInputsANDResults!I215*inputWeightings!$B$22+MeasureInputsANDResults!L215*inputWeightings!$C$22+MeasureInputsANDResults!O215*inputWeightings!$D$22+MeasureInputsANDResults!R215*inputWeightings!$E$22+MeasureInputsANDResults!U215*inputWeightings!$F$22</f>
        <v>0</v>
      </c>
      <c r="L139" s="301">
        <f>MeasureInputsANDResults!J215*inputWeightings!$B$22+MeasureInputsANDResults!M215*inputWeightings!$C$22+MeasureInputsANDResults!P215*inputWeightings!$D$22+MeasureInputsANDResults!S215*inputWeightings!$E$22+MeasureInputsANDResults!V215*inputWeightings!$F$22</f>
        <v>153.07786164999561</v>
      </c>
      <c r="M139" s="345">
        <f>MeasureInputsANDResults!K215*inputWeightings!$B$22+MeasureInputsANDResults!N215*inputWeightings!$C$22+MeasureInputsANDResults!Q215*inputWeightings!$D$22+MeasureInputsANDResults!T215*inputWeightings!$E$22+MeasureInputsANDResults!W215*inputWeightings!$F$22</f>
        <v>376.5720588235294</v>
      </c>
      <c r="N139" s="346">
        <f>SUMPRODUCT(MeasureInputsANDResults!X215:AB215,inputWeightings!$B$35:$F$35)</f>
        <v>66.770836299998408</v>
      </c>
    </row>
    <row r="140" spans="1:14" ht="15">
      <c r="A140" s="290" t="str">
        <f t="shared" si="21"/>
        <v>DuctI12</v>
      </c>
      <c r="B140" s="291" t="str">
        <f t="shared" si="21"/>
        <v>DuctInsulation12</v>
      </c>
      <c r="C140" s="291" t="str">
        <f t="shared" si="21"/>
        <v>DuctInsulation</v>
      </c>
      <c r="D140" s="291">
        <f t="shared" si="21"/>
        <v>12</v>
      </c>
      <c r="E140" s="291" t="str">
        <f t="shared" si="21"/>
        <v>R-4.2</v>
      </c>
      <c r="F140" s="291" t="str">
        <f t="shared" si="21"/>
        <v>R-11</v>
      </c>
      <c r="G140" s="291" t="s">
        <v>326</v>
      </c>
      <c r="H140" s="291" t="str">
        <f t="shared" si="23"/>
        <v>DuctInsulation - R-4.2 to R-11 - Heating Zone 3</v>
      </c>
      <c r="I140" s="303">
        <f>SUMPRODUCT(MeasureInputsANDResults!I270:M270,inputWeightings!$B$22:$F$22)</f>
        <v>65.508223587061224</v>
      </c>
      <c r="J140" s="304">
        <f>SUMPRODUCT(MeasureInputsANDResults!N270:R270,inputWeightings!$B$22:$F$22)</f>
        <v>0.71784570577314133</v>
      </c>
      <c r="K140" s="303">
        <f>MeasureInputsANDResults!I216*inputWeightings!$B$22+MeasureInputsANDResults!L216*inputWeightings!$C$22+MeasureInputsANDResults!O216*inputWeightings!$D$22+MeasureInputsANDResults!R216*inputWeightings!$E$22+MeasureInputsANDResults!U216*inputWeightings!$F$22</f>
        <v>0</v>
      </c>
      <c r="L140" s="303">
        <f>MeasureInputsANDResults!J216*inputWeightings!$B$22+MeasureInputsANDResults!M216*inputWeightings!$C$22+MeasureInputsANDResults!P216*inputWeightings!$D$22+MeasureInputsANDResults!S216*inputWeightings!$E$22+MeasureInputsANDResults!V216*inputWeightings!$F$22</f>
        <v>42.243887249994621</v>
      </c>
      <c r="M140" s="347">
        <f>MeasureInputsANDResults!K216*inputWeightings!$B$22+MeasureInputsANDResults!N216*inputWeightings!$C$22+MeasureInputsANDResults!Q216*inputWeightings!$D$22+MeasureInputsANDResults!T216*inputWeightings!$E$22+MeasureInputsANDResults!W216*inputWeightings!$F$22</f>
        <v>108.18470588235286</v>
      </c>
      <c r="N140" s="348">
        <f>SUMPRODUCT(MeasureInputsANDResults!X216:AB216,inputWeightings!$B$35:$F$35)</f>
        <v>18.874864500000683</v>
      </c>
    </row>
    <row r="141" spans="1:14" ht="15">
      <c r="A141" s="253" t="str">
        <f t="shared" si="21"/>
        <v>HeatP10</v>
      </c>
      <c r="B141" s="254" t="str">
        <f t="shared" si="21"/>
        <v>HeatPump10</v>
      </c>
      <c r="C141" s="254" t="str">
        <f t="shared" si="21"/>
        <v>HeatPump</v>
      </c>
      <c r="D141" s="254">
        <f t="shared" si="21"/>
        <v>10</v>
      </c>
      <c r="E141" s="254" t="str">
        <f t="shared" si="21"/>
        <v>7.7/13</v>
      </c>
      <c r="F141" s="254" t="str">
        <f t="shared" si="21"/>
        <v>8.5/13</v>
      </c>
      <c r="G141" s="254" t="s">
        <v>326</v>
      </c>
      <c r="H141" s="254" t="str">
        <f>C141&amp;" Upgrade - "&amp;E141&amp;" to "&amp;F141&amp;" - "&amp;G141</f>
        <v>HeatPump Upgrade - 7.7/13 to 8.5/13 - Heating Zone 3</v>
      </c>
      <c r="I141" s="301"/>
      <c r="J141" s="302"/>
      <c r="K141" s="301"/>
      <c r="L141" s="301"/>
      <c r="M141" s="345">
        <f>MeasureInputsANDResults!K217*inputWeightings!$B$22+MeasureInputsANDResults!N217*inputWeightings!$C$22+MeasureInputsANDResults!Q217*inputWeightings!$D$22+MeasureInputsANDResults!T217*inputWeightings!$E$22+MeasureInputsANDResults!W217*inputWeightings!$F$22</f>
        <v>617.44053093964828</v>
      </c>
      <c r="N141" s="346">
        <f>SUMPRODUCT(MeasureInputsANDResults!X217:AB217,inputWeightings!$B$35:$F$35)</f>
        <v>0</v>
      </c>
    </row>
    <row r="142" spans="1:14" ht="15">
      <c r="A142" s="253" t="str">
        <f t="shared" si="21"/>
        <v>HeatP11</v>
      </c>
      <c r="B142" s="254" t="str">
        <f t="shared" si="21"/>
        <v>HeatPump11</v>
      </c>
      <c r="C142" s="254" t="str">
        <f t="shared" si="21"/>
        <v>HeatPump</v>
      </c>
      <c r="D142" s="254">
        <f t="shared" si="21"/>
        <v>11</v>
      </c>
      <c r="E142" s="254" t="str">
        <f t="shared" si="21"/>
        <v>7.7/13</v>
      </c>
      <c r="F142" s="254" t="str">
        <f t="shared" si="21"/>
        <v>9.0/14</v>
      </c>
      <c r="G142" s="254" t="s">
        <v>326</v>
      </c>
      <c r="H142" s="254" t="str">
        <f t="shared" ref="H142:H144" si="24">C142&amp;" Upgrade - "&amp;E142&amp;" to "&amp;F142&amp;" - "&amp;G142</f>
        <v>HeatPump Upgrade - 7.7/13 to 9.0/14 - Heating Zone 3</v>
      </c>
      <c r="I142" s="301"/>
      <c r="J142" s="302"/>
      <c r="K142" s="301"/>
      <c r="L142" s="301"/>
      <c r="M142" s="345">
        <f>MeasureInputsANDResults!K218*inputWeightings!$B$22+MeasureInputsANDResults!N218*inputWeightings!$C$22+MeasureInputsANDResults!Q218*inputWeightings!$D$22+MeasureInputsANDResults!T218*inputWeightings!$E$22+MeasureInputsANDResults!W218*inputWeightings!$F$22</f>
        <v>898.48876623376418</v>
      </c>
      <c r="N142" s="346">
        <f>SUMPRODUCT(MeasureInputsANDResults!X218:AB218,inputWeightings!$B$35:$F$35)</f>
        <v>310.12227286607111</v>
      </c>
    </row>
    <row r="143" spans="1:14" ht="15">
      <c r="A143" s="290" t="str">
        <f t="shared" si="21"/>
        <v>HeatP12</v>
      </c>
      <c r="B143" s="291" t="str">
        <f t="shared" si="21"/>
        <v>HeatPump12</v>
      </c>
      <c r="C143" s="291" t="str">
        <f t="shared" si="21"/>
        <v>HeatPump</v>
      </c>
      <c r="D143" s="291">
        <f t="shared" si="21"/>
        <v>12</v>
      </c>
      <c r="E143" s="291" t="str">
        <f t="shared" si="21"/>
        <v>7.7/13</v>
      </c>
      <c r="F143" s="291" t="str">
        <f t="shared" si="21"/>
        <v>8.2/13</v>
      </c>
      <c r="G143" s="291" t="s">
        <v>326</v>
      </c>
      <c r="H143" s="291" t="str">
        <f t="shared" si="24"/>
        <v>HeatPump Upgrade - 7.7/13 to 8.2/13 - Heating Zone 3</v>
      </c>
      <c r="I143" s="303"/>
      <c r="J143" s="304"/>
      <c r="K143" s="303"/>
      <c r="L143" s="303"/>
      <c r="M143" s="347">
        <f>MeasureInputsANDResults!K219*inputWeightings!$B$22+MeasureInputsANDResults!N219*inputWeightings!$C$22+MeasureInputsANDResults!Q219*inputWeightings!$D$22+MeasureInputsANDResults!T219*inputWeightings!$E$22+MeasureInputsANDResults!W219*inputWeightings!$F$22</f>
        <v>432.35998574595988</v>
      </c>
      <c r="N143" s="346">
        <f>SUMPRODUCT(MeasureInputsANDResults!X219:AB219,inputWeightings!$B$35:$F$35)</f>
        <v>0</v>
      </c>
    </row>
    <row r="144" spans="1:14" ht="15.75" thickBot="1">
      <c r="A144" s="305" t="str">
        <f t="shared" si="21"/>
        <v>HPCnt10</v>
      </c>
      <c r="B144" s="306" t="str">
        <f t="shared" si="21"/>
        <v>HPCntrls10</v>
      </c>
      <c r="C144" s="306" t="str">
        <f t="shared" si="21"/>
        <v>HPCntrls</v>
      </c>
      <c r="D144" s="306">
        <f t="shared" si="21"/>
        <v>10</v>
      </c>
      <c r="E144" s="306" t="str">
        <f t="shared" si="21"/>
        <v>Standard</v>
      </c>
      <c r="F144" s="306" t="str">
        <f t="shared" si="21"/>
        <v>PTCS</v>
      </c>
      <c r="G144" s="306" t="s">
        <v>326</v>
      </c>
      <c r="H144" s="306" t="str">
        <f t="shared" si="24"/>
        <v>HPCntrls Upgrade - Standard to PTCS - Heating Zone 3</v>
      </c>
      <c r="I144" s="307"/>
      <c r="J144" s="308"/>
      <c r="K144" s="307"/>
      <c r="L144" s="307"/>
      <c r="M144" s="349">
        <f>MeasureInputsANDResults!K220*inputWeightings!$B$22+MeasureInputsANDResults!N220*inputWeightings!$C$22+MeasureInputsANDResults!Q220*inputWeightings!$D$22+MeasureInputsANDResults!T220*inputWeightings!$E$22+MeasureInputsANDResults!W220*inputWeightings!$F$22</f>
        <v>2888.6685294117638</v>
      </c>
      <c r="N144" s="350">
        <f>SUMPRODUCT(MeasureInputsANDResults!X220:AB220,inputWeightings!B22:F22)</f>
        <v>-2.3431575999999579</v>
      </c>
    </row>
    <row r="149" spans="1:1" ht="18.75">
      <c r="A149" s="216"/>
    </row>
  </sheetData>
  <mergeCells count="2">
    <mergeCell ref="I4:N4"/>
    <mergeCell ref="I5:J5"/>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5" tint="0.79998168889431442"/>
  </sheetPr>
  <dimension ref="A1:DY274"/>
  <sheetViews>
    <sheetView workbookViewId="0">
      <selection activeCell="A2" sqref="A2"/>
    </sheetView>
  </sheetViews>
  <sheetFormatPr defaultRowHeight="12.75"/>
  <cols>
    <col min="2" max="2" width="11" bestFit="1" customWidth="1"/>
    <col min="3" max="3" width="17.85546875" customWidth="1"/>
    <col min="4" max="4" width="16.42578125" customWidth="1"/>
    <col min="5" max="5" width="20.5703125" style="219" bestFit="1" customWidth="1"/>
    <col min="6" max="6" width="16.85546875" customWidth="1"/>
    <col min="7" max="7" width="16.140625" customWidth="1"/>
    <col min="11" max="11" width="11.28515625" customWidth="1"/>
  </cols>
  <sheetData>
    <row r="1" spans="1:128">
      <c r="A1" s="26" t="s">
        <v>1325</v>
      </c>
      <c r="B1" s="26"/>
      <c r="C1" s="26"/>
      <c r="D1" t="s">
        <v>1224</v>
      </c>
      <c r="I1" s="388" t="s">
        <v>1225</v>
      </c>
      <c r="J1" s="388" t="s">
        <v>1226</v>
      </c>
      <c r="K1" s="388"/>
      <c r="L1" s="388"/>
      <c r="M1" s="388"/>
      <c r="N1" s="388"/>
      <c r="O1" s="388"/>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c r="BP1" s="388"/>
      <c r="BQ1" s="388"/>
      <c r="BR1" s="388"/>
      <c r="BS1" s="388"/>
      <c r="BT1" s="388"/>
      <c r="BU1" s="388"/>
      <c r="BV1" s="388"/>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9" t="s">
        <v>523</v>
      </c>
      <c r="CV1" s="389"/>
      <c r="CW1" s="389"/>
      <c r="CX1" s="389"/>
      <c r="CY1" s="389"/>
      <c r="CZ1" s="389"/>
      <c r="DA1" s="389"/>
      <c r="DB1" s="389"/>
      <c r="DC1" s="389"/>
      <c r="DD1" s="389"/>
      <c r="DE1" s="389"/>
      <c r="DF1" s="389"/>
      <c r="DG1" s="389"/>
      <c r="DH1" s="389"/>
      <c r="DI1" s="389"/>
      <c r="DJ1" s="389"/>
      <c r="DK1" s="389"/>
      <c r="DL1" s="389"/>
      <c r="DM1" s="389"/>
      <c r="DN1" s="389"/>
      <c r="DO1" s="389"/>
      <c r="DP1" s="389"/>
      <c r="DQ1" s="389"/>
      <c r="DR1" s="389"/>
      <c r="DS1" s="389"/>
      <c r="DT1" s="389"/>
      <c r="DU1" s="389"/>
      <c r="DV1" s="389"/>
      <c r="DW1" s="389"/>
      <c r="DX1" s="389"/>
    </row>
    <row r="2" spans="1:128" ht="13.5" thickBot="1">
      <c r="A2" s="26" t="s">
        <v>1678</v>
      </c>
      <c r="B2" s="26"/>
      <c r="C2" s="26"/>
      <c r="D2" t="s">
        <v>1227</v>
      </c>
      <c r="G2" t="s">
        <v>1228</v>
      </c>
      <c r="I2" t="s">
        <v>1229</v>
      </c>
      <c r="J2" t="s">
        <v>1229</v>
      </c>
      <c r="K2" t="s">
        <v>1229</v>
      </c>
      <c r="L2" t="s">
        <v>1229</v>
      </c>
      <c r="M2" t="s">
        <v>1229</v>
      </c>
      <c r="N2" t="s">
        <v>1229</v>
      </c>
      <c r="O2" t="s">
        <v>1229</v>
      </c>
      <c r="P2" t="s">
        <v>1229</v>
      </c>
      <c r="Q2" t="s">
        <v>1229</v>
      </c>
      <c r="R2" t="s">
        <v>1229</v>
      </c>
      <c r="S2" t="s">
        <v>1229</v>
      </c>
      <c r="T2" t="s">
        <v>1229</v>
      </c>
      <c r="U2" t="s">
        <v>1229</v>
      </c>
      <c r="V2" t="s">
        <v>1229</v>
      </c>
      <c r="W2" t="s">
        <v>1229</v>
      </c>
      <c r="X2" t="s">
        <v>1229</v>
      </c>
      <c r="Y2" t="s">
        <v>1229</v>
      </c>
      <c r="Z2" t="s">
        <v>1229</v>
      </c>
      <c r="AA2" t="s">
        <v>1229</v>
      </c>
      <c r="AB2" t="s">
        <v>1229</v>
      </c>
      <c r="AC2" t="s">
        <v>1229</v>
      </c>
      <c r="AD2" t="s">
        <v>1229</v>
      </c>
      <c r="AE2" t="s">
        <v>1229</v>
      </c>
      <c r="AF2" t="s">
        <v>1229</v>
      </c>
      <c r="AG2" t="s">
        <v>1229</v>
      </c>
      <c r="AH2" t="s">
        <v>1229</v>
      </c>
      <c r="AI2" t="s">
        <v>1229</v>
      </c>
      <c r="AJ2" t="s">
        <v>1229</v>
      </c>
      <c r="AK2" t="s">
        <v>1229</v>
      </c>
      <c r="AL2" t="s">
        <v>1229</v>
      </c>
      <c r="AM2" t="s">
        <v>1230</v>
      </c>
      <c r="AN2" t="s">
        <v>1230</v>
      </c>
      <c r="AO2" t="s">
        <v>1230</v>
      </c>
      <c r="AP2" t="s">
        <v>1230</v>
      </c>
      <c r="AQ2" t="s">
        <v>1230</v>
      </c>
      <c r="AR2" t="s">
        <v>1230</v>
      </c>
      <c r="AS2" t="s">
        <v>1230</v>
      </c>
      <c r="AT2" t="s">
        <v>1230</v>
      </c>
      <c r="AU2" t="s">
        <v>1230</v>
      </c>
      <c r="AV2" t="s">
        <v>1230</v>
      </c>
      <c r="AW2" t="s">
        <v>1230</v>
      </c>
      <c r="AX2" t="s">
        <v>1230</v>
      </c>
      <c r="AY2" t="s">
        <v>1230</v>
      </c>
      <c r="AZ2" t="s">
        <v>1230</v>
      </c>
      <c r="BA2" t="s">
        <v>1230</v>
      </c>
      <c r="BB2" t="s">
        <v>1230</v>
      </c>
      <c r="BC2" t="s">
        <v>1230</v>
      </c>
      <c r="BD2" t="s">
        <v>1230</v>
      </c>
      <c r="BE2" t="s">
        <v>1230</v>
      </c>
      <c r="BF2" t="s">
        <v>1230</v>
      </c>
      <c r="BG2" t="s">
        <v>1230</v>
      </c>
      <c r="BH2" t="s">
        <v>1230</v>
      </c>
      <c r="BI2" t="s">
        <v>1230</v>
      </c>
      <c r="BJ2" t="s">
        <v>1230</v>
      </c>
      <c r="BK2" t="s">
        <v>1230</v>
      </c>
      <c r="BL2" t="s">
        <v>1230</v>
      </c>
      <c r="BM2" t="s">
        <v>1230</v>
      </c>
      <c r="BN2" t="s">
        <v>1230</v>
      </c>
      <c r="BO2" t="s">
        <v>1230</v>
      </c>
      <c r="BP2" t="s">
        <v>1230</v>
      </c>
      <c r="BQ2">
        <v>1000</v>
      </c>
      <c r="BR2">
        <v>1000</v>
      </c>
      <c r="BS2">
        <v>1000</v>
      </c>
      <c r="BT2">
        <v>1000</v>
      </c>
      <c r="BU2">
        <v>1000</v>
      </c>
      <c r="BV2">
        <v>1000</v>
      </c>
      <c r="BW2">
        <v>1000</v>
      </c>
      <c r="BX2">
        <v>1000</v>
      </c>
      <c r="BY2">
        <v>1000</v>
      </c>
      <c r="BZ2">
        <v>1000</v>
      </c>
      <c r="CA2">
        <v>1000</v>
      </c>
      <c r="CB2">
        <v>1000</v>
      </c>
      <c r="CC2">
        <v>1000</v>
      </c>
      <c r="CD2">
        <v>1000</v>
      </c>
      <c r="CE2">
        <v>1000</v>
      </c>
      <c r="CF2">
        <v>1000</v>
      </c>
      <c r="CG2">
        <v>1000</v>
      </c>
      <c r="CH2">
        <v>1000</v>
      </c>
      <c r="CI2">
        <v>1000</v>
      </c>
      <c r="CJ2">
        <v>1000</v>
      </c>
      <c r="CK2">
        <v>1000</v>
      </c>
      <c r="CL2">
        <v>1000</v>
      </c>
      <c r="CM2">
        <v>1000</v>
      </c>
      <c r="CN2">
        <v>1000</v>
      </c>
      <c r="CO2">
        <v>1000</v>
      </c>
      <c r="CP2">
        <v>1000</v>
      </c>
      <c r="CQ2">
        <v>1000</v>
      </c>
      <c r="CR2">
        <v>1000</v>
      </c>
      <c r="CS2">
        <v>1000</v>
      </c>
      <c r="CT2">
        <v>1000</v>
      </c>
      <c r="CU2" t="s">
        <v>1229</v>
      </c>
      <c r="CV2" t="s">
        <v>1229</v>
      </c>
      <c r="CW2" t="s">
        <v>1229</v>
      </c>
      <c r="CX2" t="s">
        <v>1229</v>
      </c>
      <c r="CY2" t="s">
        <v>1229</v>
      </c>
      <c r="CZ2" t="s">
        <v>1229</v>
      </c>
      <c r="DA2" t="s">
        <v>1229</v>
      </c>
      <c r="DB2" t="s">
        <v>1229</v>
      </c>
      <c r="DC2" t="s">
        <v>1229</v>
      </c>
      <c r="DD2" t="s">
        <v>1229</v>
      </c>
      <c r="DE2" t="s">
        <v>1230</v>
      </c>
      <c r="DF2" t="s">
        <v>1230</v>
      </c>
      <c r="DG2" t="s">
        <v>1230</v>
      </c>
      <c r="DH2" t="s">
        <v>1230</v>
      </c>
      <c r="DI2" t="s">
        <v>1230</v>
      </c>
      <c r="DJ2" t="s">
        <v>1230</v>
      </c>
      <c r="DK2" t="s">
        <v>1230</v>
      </c>
      <c r="DL2" t="s">
        <v>1230</v>
      </c>
      <c r="DM2" t="s">
        <v>1230</v>
      </c>
      <c r="DN2" t="s">
        <v>1230</v>
      </c>
      <c r="DO2">
        <v>1000</v>
      </c>
      <c r="DP2">
        <v>1000</v>
      </c>
      <c r="DQ2">
        <v>1000</v>
      </c>
      <c r="DR2">
        <v>1000</v>
      </c>
      <c r="DS2">
        <v>1000</v>
      </c>
      <c r="DT2">
        <v>1000</v>
      </c>
      <c r="DU2">
        <v>1000</v>
      </c>
      <c r="DV2">
        <v>1000</v>
      </c>
      <c r="DW2">
        <v>1000</v>
      </c>
      <c r="DX2">
        <v>1000</v>
      </c>
    </row>
    <row r="3" spans="1:128">
      <c r="I3" s="390" t="s">
        <v>1231</v>
      </c>
      <c r="J3" s="391" t="s">
        <v>1231</v>
      </c>
      <c r="K3" s="392" t="s">
        <v>1231</v>
      </c>
      <c r="L3" s="391" t="s">
        <v>1231</v>
      </c>
      <c r="M3" s="391" t="s">
        <v>1231</v>
      </c>
      <c r="N3" s="393" t="s">
        <v>1231</v>
      </c>
      <c r="O3" s="394" t="s">
        <v>1232</v>
      </c>
      <c r="P3" s="395" t="s">
        <v>1232</v>
      </c>
      <c r="Q3" s="396" t="s">
        <v>1232</v>
      </c>
      <c r="R3" s="395" t="s">
        <v>1232</v>
      </c>
      <c r="S3" s="395" t="s">
        <v>1232</v>
      </c>
      <c r="T3" s="397" t="s">
        <v>1232</v>
      </c>
      <c r="U3" s="398" t="s">
        <v>1233</v>
      </c>
      <c r="V3" s="399" t="s">
        <v>1233</v>
      </c>
      <c r="W3" s="400" t="s">
        <v>1233</v>
      </c>
      <c r="X3" s="399" t="s">
        <v>1233</v>
      </c>
      <c r="Y3" s="399" t="s">
        <v>1233</v>
      </c>
      <c r="Z3" s="401" t="s">
        <v>1233</v>
      </c>
      <c r="AA3" s="402" t="s">
        <v>1234</v>
      </c>
      <c r="AB3" s="403" t="s">
        <v>1234</v>
      </c>
      <c r="AC3" s="404" t="s">
        <v>1234</v>
      </c>
      <c r="AD3" s="403" t="s">
        <v>1234</v>
      </c>
      <c r="AE3" s="403" t="s">
        <v>1234</v>
      </c>
      <c r="AF3" s="405" t="s">
        <v>1234</v>
      </c>
      <c r="AG3" s="406" t="s">
        <v>1235</v>
      </c>
      <c r="AH3" s="407" t="s">
        <v>1235</v>
      </c>
      <c r="AI3" s="408" t="s">
        <v>1235</v>
      </c>
      <c r="AJ3" s="407" t="s">
        <v>1235</v>
      </c>
      <c r="AK3" s="407" t="s">
        <v>1235</v>
      </c>
      <c r="AL3" s="409" t="s">
        <v>1235</v>
      </c>
      <c r="AM3" s="390" t="s">
        <v>1231</v>
      </c>
      <c r="AN3" s="391" t="s">
        <v>1231</v>
      </c>
      <c r="AO3" s="392" t="s">
        <v>1231</v>
      </c>
      <c r="AP3" s="391" t="s">
        <v>1231</v>
      </c>
      <c r="AQ3" s="391" t="s">
        <v>1231</v>
      </c>
      <c r="AR3" s="393" t="s">
        <v>1231</v>
      </c>
      <c r="AS3" s="394" t="s">
        <v>1232</v>
      </c>
      <c r="AT3" s="395" t="s">
        <v>1232</v>
      </c>
      <c r="AU3" s="396" t="s">
        <v>1232</v>
      </c>
      <c r="AV3" s="395" t="s">
        <v>1232</v>
      </c>
      <c r="AW3" s="395" t="s">
        <v>1232</v>
      </c>
      <c r="AX3" s="397" t="s">
        <v>1232</v>
      </c>
      <c r="AY3" s="398" t="s">
        <v>1233</v>
      </c>
      <c r="AZ3" s="399" t="s">
        <v>1233</v>
      </c>
      <c r="BA3" s="400" t="s">
        <v>1233</v>
      </c>
      <c r="BB3" s="399" t="s">
        <v>1233</v>
      </c>
      <c r="BC3" s="399" t="s">
        <v>1233</v>
      </c>
      <c r="BD3" s="401" t="s">
        <v>1233</v>
      </c>
      <c r="BE3" s="402" t="s">
        <v>1234</v>
      </c>
      <c r="BF3" s="403" t="s">
        <v>1234</v>
      </c>
      <c r="BG3" s="404" t="s">
        <v>1234</v>
      </c>
      <c r="BH3" s="403" t="s">
        <v>1234</v>
      </c>
      <c r="BI3" s="403" t="s">
        <v>1234</v>
      </c>
      <c r="BJ3" s="405" t="s">
        <v>1234</v>
      </c>
      <c r="BK3" s="406" t="s">
        <v>1235</v>
      </c>
      <c r="BL3" s="407" t="s">
        <v>1235</v>
      </c>
      <c r="BM3" s="408" t="s">
        <v>1235</v>
      </c>
      <c r="BN3" s="407" t="s">
        <v>1235</v>
      </c>
      <c r="BO3" s="407" t="s">
        <v>1235</v>
      </c>
      <c r="BP3" s="409" t="s">
        <v>1235</v>
      </c>
      <c r="BQ3" s="390" t="s">
        <v>1231</v>
      </c>
      <c r="BR3" s="391" t="s">
        <v>1231</v>
      </c>
      <c r="BS3" s="392" t="s">
        <v>1231</v>
      </c>
      <c r="BT3" s="391" t="s">
        <v>1231</v>
      </c>
      <c r="BU3" s="391" t="s">
        <v>1231</v>
      </c>
      <c r="BV3" s="393" t="s">
        <v>1231</v>
      </c>
      <c r="BW3" s="394" t="s">
        <v>1232</v>
      </c>
      <c r="BX3" s="395" t="s">
        <v>1232</v>
      </c>
      <c r="BY3" s="396" t="s">
        <v>1232</v>
      </c>
      <c r="BZ3" s="395" t="s">
        <v>1232</v>
      </c>
      <c r="CA3" s="395" t="s">
        <v>1232</v>
      </c>
      <c r="CB3" s="397" t="s">
        <v>1232</v>
      </c>
      <c r="CC3" s="398" t="s">
        <v>1233</v>
      </c>
      <c r="CD3" s="399" t="s">
        <v>1233</v>
      </c>
      <c r="CE3" s="400" t="s">
        <v>1233</v>
      </c>
      <c r="CF3" s="399" t="s">
        <v>1233</v>
      </c>
      <c r="CG3" s="399" t="s">
        <v>1233</v>
      </c>
      <c r="CH3" s="401" t="s">
        <v>1233</v>
      </c>
      <c r="CI3" s="402" t="s">
        <v>1234</v>
      </c>
      <c r="CJ3" s="403" t="s">
        <v>1234</v>
      </c>
      <c r="CK3" s="404" t="s">
        <v>1234</v>
      </c>
      <c r="CL3" s="403" t="s">
        <v>1234</v>
      </c>
      <c r="CM3" s="403" t="s">
        <v>1234</v>
      </c>
      <c r="CN3" s="405" t="s">
        <v>1234</v>
      </c>
      <c r="CO3" s="406" t="s">
        <v>1235</v>
      </c>
      <c r="CP3" s="407" t="s">
        <v>1235</v>
      </c>
      <c r="CQ3" s="408" t="s">
        <v>1235</v>
      </c>
      <c r="CR3" s="407" t="s">
        <v>1235</v>
      </c>
      <c r="CS3" s="407" t="s">
        <v>1235</v>
      </c>
      <c r="CT3" s="407" t="s">
        <v>1235</v>
      </c>
      <c r="CU3" s="410" t="s">
        <v>1231</v>
      </c>
      <c r="CV3" s="393" t="s">
        <v>1231</v>
      </c>
      <c r="CW3" s="396" t="s">
        <v>1232</v>
      </c>
      <c r="CX3" s="395" t="s">
        <v>1232</v>
      </c>
      <c r="CY3" s="398" t="s">
        <v>1233</v>
      </c>
      <c r="CZ3" s="411" t="s">
        <v>1233</v>
      </c>
      <c r="DA3" s="412" t="s">
        <v>1234</v>
      </c>
      <c r="DB3" s="403" t="s">
        <v>1234</v>
      </c>
      <c r="DC3" s="406" t="s">
        <v>1235</v>
      </c>
      <c r="DD3" s="413" t="s">
        <v>1235</v>
      </c>
      <c r="DE3" s="410" t="s">
        <v>1231</v>
      </c>
      <c r="DF3" s="393" t="s">
        <v>1231</v>
      </c>
      <c r="DG3" s="396" t="s">
        <v>1232</v>
      </c>
      <c r="DH3" s="395" t="s">
        <v>1232</v>
      </c>
      <c r="DI3" s="398" t="s">
        <v>1233</v>
      </c>
      <c r="DJ3" s="411" t="s">
        <v>1233</v>
      </c>
      <c r="DK3" s="412" t="s">
        <v>1234</v>
      </c>
      <c r="DL3" s="403" t="s">
        <v>1234</v>
      </c>
      <c r="DM3" s="406" t="s">
        <v>1235</v>
      </c>
      <c r="DN3" s="413" t="s">
        <v>1235</v>
      </c>
      <c r="DO3" s="410" t="s">
        <v>1231</v>
      </c>
      <c r="DP3" s="393" t="s">
        <v>1231</v>
      </c>
      <c r="DQ3" s="396" t="s">
        <v>1232</v>
      </c>
      <c r="DR3" s="395" t="s">
        <v>1232</v>
      </c>
      <c r="DS3" s="398" t="s">
        <v>1233</v>
      </c>
      <c r="DT3" s="411" t="s">
        <v>1233</v>
      </c>
      <c r="DU3" s="412" t="s">
        <v>1234</v>
      </c>
      <c r="DV3" s="403" t="s">
        <v>1234</v>
      </c>
      <c r="DW3" s="406" t="s">
        <v>1235</v>
      </c>
      <c r="DX3" s="413" t="s">
        <v>1235</v>
      </c>
    </row>
    <row r="4" spans="1:128" ht="13.5" thickBot="1">
      <c r="B4" s="657" t="s">
        <v>1236</v>
      </c>
      <c r="C4" s="657"/>
      <c r="D4" s="657"/>
      <c r="E4" s="657"/>
      <c r="F4" s="657"/>
      <c r="G4" s="657"/>
      <c r="I4" s="414" t="s">
        <v>1237</v>
      </c>
      <c r="J4" s="415" t="s">
        <v>1238</v>
      </c>
      <c r="K4" s="416" t="s">
        <v>1239</v>
      </c>
      <c r="L4" s="415" t="s">
        <v>1237</v>
      </c>
      <c r="M4" s="415" t="s">
        <v>1238</v>
      </c>
      <c r="N4" s="417" t="s">
        <v>1239</v>
      </c>
      <c r="O4" s="414" t="s">
        <v>1237</v>
      </c>
      <c r="P4" s="415" t="s">
        <v>1238</v>
      </c>
      <c r="Q4" s="416" t="s">
        <v>1239</v>
      </c>
      <c r="R4" s="415" t="s">
        <v>1237</v>
      </c>
      <c r="S4" s="415" t="s">
        <v>1238</v>
      </c>
      <c r="T4" s="417" t="s">
        <v>1239</v>
      </c>
      <c r="U4" s="414" t="s">
        <v>1237</v>
      </c>
      <c r="V4" s="415" t="s">
        <v>1238</v>
      </c>
      <c r="W4" s="416" t="s">
        <v>1239</v>
      </c>
      <c r="X4" s="415" t="s">
        <v>1237</v>
      </c>
      <c r="Y4" s="415" t="s">
        <v>1238</v>
      </c>
      <c r="Z4" s="417" t="s">
        <v>1239</v>
      </c>
      <c r="AA4" s="414" t="s">
        <v>1237</v>
      </c>
      <c r="AB4" s="415" t="s">
        <v>1238</v>
      </c>
      <c r="AC4" s="416" t="s">
        <v>1239</v>
      </c>
      <c r="AD4" s="415" t="s">
        <v>1237</v>
      </c>
      <c r="AE4" s="415" t="s">
        <v>1238</v>
      </c>
      <c r="AF4" s="417" t="s">
        <v>1239</v>
      </c>
      <c r="AG4" s="414" t="s">
        <v>1237</v>
      </c>
      <c r="AH4" s="415" t="s">
        <v>1238</v>
      </c>
      <c r="AI4" s="416" t="s">
        <v>1239</v>
      </c>
      <c r="AJ4" s="415" t="s">
        <v>1237</v>
      </c>
      <c r="AK4" s="415" t="s">
        <v>1238</v>
      </c>
      <c r="AL4" s="417" t="s">
        <v>1239</v>
      </c>
      <c r="AM4" s="414" t="s">
        <v>1237</v>
      </c>
      <c r="AN4" s="415" t="s">
        <v>1238</v>
      </c>
      <c r="AO4" s="416" t="s">
        <v>1239</v>
      </c>
      <c r="AP4" s="415" t="s">
        <v>1237</v>
      </c>
      <c r="AQ4" s="415" t="s">
        <v>1238</v>
      </c>
      <c r="AR4" s="417" t="s">
        <v>1239</v>
      </c>
      <c r="AS4" s="414" t="s">
        <v>1237</v>
      </c>
      <c r="AT4" s="415" t="s">
        <v>1238</v>
      </c>
      <c r="AU4" s="416" t="s">
        <v>1239</v>
      </c>
      <c r="AV4" s="415" t="s">
        <v>1237</v>
      </c>
      <c r="AW4" s="415" t="s">
        <v>1238</v>
      </c>
      <c r="AX4" s="417" t="s">
        <v>1239</v>
      </c>
      <c r="AY4" s="414" t="s">
        <v>1237</v>
      </c>
      <c r="AZ4" s="415" t="s">
        <v>1238</v>
      </c>
      <c r="BA4" s="416" t="s">
        <v>1239</v>
      </c>
      <c r="BB4" s="415" t="s">
        <v>1237</v>
      </c>
      <c r="BC4" s="415" t="s">
        <v>1238</v>
      </c>
      <c r="BD4" s="417" t="s">
        <v>1239</v>
      </c>
      <c r="BE4" s="414" t="s">
        <v>1237</v>
      </c>
      <c r="BF4" s="415" t="s">
        <v>1238</v>
      </c>
      <c r="BG4" s="416" t="s">
        <v>1239</v>
      </c>
      <c r="BH4" s="415" t="s">
        <v>1237</v>
      </c>
      <c r="BI4" s="415" t="s">
        <v>1238</v>
      </c>
      <c r="BJ4" s="417" t="s">
        <v>1239</v>
      </c>
      <c r="BK4" s="414" t="s">
        <v>1237</v>
      </c>
      <c r="BL4" s="415" t="s">
        <v>1238</v>
      </c>
      <c r="BM4" s="416" t="s">
        <v>1239</v>
      </c>
      <c r="BN4" s="415" t="s">
        <v>1237</v>
      </c>
      <c r="BO4" s="415" t="s">
        <v>1238</v>
      </c>
      <c r="BP4" s="417" t="s">
        <v>1239</v>
      </c>
      <c r="BQ4" s="414" t="s">
        <v>1237</v>
      </c>
      <c r="BR4" s="415" t="s">
        <v>1238</v>
      </c>
      <c r="BS4" s="416" t="s">
        <v>1239</v>
      </c>
      <c r="BT4" s="415" t="s">
        <v>1237</v>
      </c>
      <c r="BU4" s="415" t="s">
        <v>1238</v>
      </c>
      <c r="BV4" s="417" t="s">
        <v>1239</v>
      </c>
      <c r="BW4" s="414" t="s">
        <v>1237</v>
      </c>
      <c r="BX4" s="415" t="s">
        <v>1238</v>
      </c>
      <c r="BY4" s="416" t="s">
        <v>1239</v>
      </c>
      <c r="BZ4" s="415" t="s">
        <v>1237</v>
      </c>
      <c r="CA4" s="415" t="s">
        <v>1238</v>
      </c>
      <c r="CB4" s="417" t="s">
        <v>1239</v>
      </c>
      <c r="CC4" s="414" t="s">
        <v>1237</v>
      </c>
      <c r="CD4" s="415" t="s">
        <v>1238</v>
      </c>
      <c r="CE4" s="416" t="s">
        <v>1239</v>
      </c>
      <c r="CF4" s="415" t="s">
        <v>1237</v>
      </c>
      <c r="CG4" s="415" t="s">
        <v>1238</v>
      </c>
      <c r="CH4" s="417" t="s">
        <v>1239</v>
      </c>
      <c r="CI4" s="414" t="s">
        <v>1237</v>
      </c>
      <c r="CJ4" s="415" t="s">
        <v>1238</v>
      </c>
      <c r="CK4" s="416" t="s">
        <v>1239</v>
      </c>
      <c r="CL4" s="415" t="s">
        <v>1237</v>
      </c>
      <c r="CM4" s="415" t="s">
        <v>1238</v>
      </c>
      <c r="CN4" s="417" t="s">
        <v>1239</v>
      </c>
      <c r="CO4" s="414" t="s">
        <v>1237</v>
      </c>
      <c r="CP4" s="415" t="s">
        <v>1238</v>
      </c>
      <c r="CQ4" s="416" t="s">
        <v>1239</v>
      </c>
      <c r="CR4" s="415" t="s">
        <v>1237</v>
      </c>
      <c r="CS4" s="415" t="s">
        <v>1238</v>
      </c>
      <c r="CT4" s="415" t="s">
        <v>1239</v>
      </c>
      <c r="CU4" s="418" t="s">
        <v>1239</v>
      </c>
      <c r="CV4" s="419" t="s">
        <v>1239</v>
      </c>
      <c r="CW4" s="416" t="s">
        <v>1239</v>
      </c>
      <c r="CX4" s="420" t="s">
        <v>1239</v>
      </c>
      <c r="CY4" s="414" t="s">
        <v>1239</v>
      </c>
      <c r="CZ4" s="421" t="s">
        <v>1239</v>
      </c>
      <c r="DA4" s="418" t="s">
        <v>1239</v>
      </c>
      <c r="DB4" s="420" t="s">
        <v>1239</v>
      </c>
      <c r="DC4" s="414" t="s">
        <v>1239</v>
      </c>
      <c r="DD4" s="421" t="s">
        <v>1239</v>
      </c>
      <c r="DE4" s="418" t="s">
        <v>1239</v>
      </c>
      <c r="DF4" s="419" t="s">
        <v>1239</v>
      </c>
      <c r="DG4" s="416" t="s">
        <v>1239</v>
      </c>
      <c r="DH4" s="420" t="s">
        <v>1239</v>
      </c>
      <c r="DI4" s="414" t="s">
        <v>1239</v>
      </c>
      <c r="DJ4" s="421" t="s">
        <v>1239</v>
      </c>
      <c r="DK4" s="418" t="s">
        <v>1239</v>
      </c>
      <c r="DL4" s="420" t="s">
        <v>1239</v>
      </c>
      <c r="DM4" s="414" t="s">
        <v>1239</v>
      </c>
      <c r="DN4" s="421" t="s">
        <v>1239</v>
      </c>
      <c r="DO4" s="418" t="s">
        <v>1239</v>
      </c>
      <c r="DP4" s="419" t="s">
        <v>1239</v>
      </c>
      <c r="DQ4" s="416" t="s">
        <v>1239</v>
      </c>
      <c r="DR4" s="420" t="s">
        <v>1239</v>
      </c>
      <c r="DS4" s="414" t="s">
        <v>1239</v>
      </c>
      <c r="DT4" s="421" t="s">
        <v>1239</v>
      </c>
      <c r="DU4" s="418" t="s">
        <v>1239</v>
      </c>
      <c r="DV4" s="420" t="s">
        <v>1239</v>
      </c>
      <c r="DW4" s="414" t="s">
        <v>1239</v>
      </c>
      <c r="DX4" s="421" t="s">
        <v>1239</v>
      </c>
    </row>
    <row r="5" spans="1:128" ht="13.5" thickBot="1">
      <c r="B5" s="224" t="s">
        <v>516</v>
      </c>
      <c r="C5" s="225" t="s">
        <v>6</v>
      </c>
      <c r="D5" s="225" t="s">
        <v>517</v>
      </c>
      <c r="E5" s="226" t="s">
        <v>518</v>
      </c>
      <c r="F5" s="225" t="s">
        <v>519</v>
      </c>
      <c r="G5" s="227" t="s">
        <v>520</v>
      </c>
      <c r="I5" s="422" t="s">
        <v>1240</v>
      </c>
      <c r="J5" s="423" t="s">
        <v>1240</v>
      </c>
      <c r="K5" s="424" t="s">
        <v>1240</v>
      </c>
      <c r="L5" s="423" t="s">
        <v>1241</v>
      </c>
      <c r="M5" s="423" t="s">
        <v>1241</v>
      </c>
      <c r="N5" s="425" t="s">
        <v>1241</v>
      </c>
      <c r="O5" s="422" t="s">
        <v>1240</v>
      </c>
      <c r="P5" s="423" t="s">
        <v>1240</v>
      </c>
      <c r="Q5" s="424" t="s">
        <v>1240</v>
      </c>
      <c r="R5" s="423" t="s">
        <v>1241</v>
      </c>
      <c r="S5" s="423" t="s">
        <v>1241</v>
      </c>
      <c r="T5" s="425" t="s">
        <v>1241</v>
      </c>
      <c r="U5" s="422" t="s">
        <v>1240</v>
      </c>
      <c r="V5" s="423" t="s">
        <v>1240</v>
      </c>
      <c r="W5" s="424" t="s">
        <v>1240</v>
      </c>
      <c r="X5" s="423" t="s">
        <v>1241</v>
      </c>
      <c r="Y5" s="423" t="s">
        <v>1241</v>
      </c>
      <c r="Z5" s="425" t="s">
        <v>1241</v>
      </c>
      <c r="AA5" s="422" t="s">
        <v>1240</v>
      </c>
      <c r="AB5" s="423" t="s">
        <v>1240</v>
      </c>
      <c r="AC5" s="424" t="s">
        <v>1240</v>
      </c>
      <c r="AD5" s="423" t="s">
        <v>1241</v>
      </c>
      <c r="AE5" s="423" t="s">
        <v>1241</v>
      </c>
      <c r="AF5" s="425" t="s">
        <v>1241</v>
      </c>
      <c r="AG5" s="422" t="s">
        <v>1240</v>
      </c>
      <c r="AH5" s="423" t="s">
        <v>1240</v>
      </c>
      <c r="AI5" s="424" t="s">
        <v>1240</v>
      </c>
      <c r="AJ5" s="423" t="s">
        <v>1241</v>
      </c>
      <c r="AK5" s="423" t="s">
        <v>1241</v>
      </c>
      <c r="AL5" s="425" t="s">
        <v>1241</v>
      </c>
      <c r="AM5" s="422" t="s">
        <v>1240</v>
      </c>
      <c r="AN5" s="423" t="s">
        <v>1240</v>
      </c>
      <c r="AO5" s="424" t="s">
        <v>1240</v>
      </c>
      <c r="AP5" s="423" t="s">
        <v>1241</v>
      </c>
      <c r="AQ5" s="423" t="s">
        <v>1241</v>
      </c>
      <c r="AR5" s="425" t="s">
        <v>1241</v>
      </c>
      <c r="AS5" s="422" t="s">
        <v>1240</v>
      </c>
      <c r="AT5" s="423" t="s">
        <v>1240</v>
      </c>
      <c r="AU5" s="424" t="s">
        <v>1240</v>
      </c>
      <c r="AV5" s="423" t="s">
        <v>1241</v>
      </c>
      <c r="AW5" s="423" t="s">
        <v>1241</v>
      </c>
      <c r="AX5" s="425" t="s">
        <v>1241</v>
      </c>
      <c r="AY5" s="422" t="s">
        <v>1240</v>
      </c>
      <c r="AZ5" s="423" t="s">
        <v>1240</v>
      </c>
      <c r="BA5" s="424" t="s">
        <v>1240</v>
      </c>
      <c r="BB5" s="423" t="s">
        <v>1241</v>
      </c>
      <c r="BC5" s="423" t="s">
        <v>1241</v>
      </c>
      <c r="BD5" s="425" t="s">
        <v>1241</v>
      </c>
      <c r="BE5" s="422" t="s">
        <v>1240</v>
      </c>
      <c r="BF5" s="423" t="s">
        <v>1240</v>
      </c>
      <c r="BG5" s="424" t="s">
        <v>1240</v>
      </c>
      <c r="BH5" s="423" t="s">
        <v>1241</v>
      </c>
      <c r="BI5" s="423" t="s">
        <v>1241</v>
      </c>
      <c r="BJ5" s="425" t="s">
        <v>1241</v>
      </c>
      <c r="BK5" s="422" t="s">
        <v>1240</v>
      </c>
      <c r="BL5" s="423" t="s">
        <v>1240</v>
      </c>
      <c r="BM5" s="424" t="s">
        <v>1240</v>
      </c>
      <c r="BN5" s="423" t="s">
        <v>1241</v>
      </c>
      <c r="BO5" s="423" t="s">
        <v>1241</v>
      </c>
      <c r="BP5" s="425" t="s">
        <v>1241</v>
      </c>
      <c r="BQ5" s="422" t="s">
        <v>1240</v>
      </c>
      <c r="BR5" s="423" t="s">
        <v>1240</v>
      </c>
      <c r="BS5" s="424" t="s">
        <v>1240</v>
      </c>
      <c r="BT5" s="423" t="s">
        <v>1241</v>
      </c>
      <c r="BU5" s="423" t="s">
        <v>1241</v>
      </c>
      <c r="BV5" s="425" t="s">
        <v>1241</v>
      </c>
      <c r="BW5" s="422" t="s">
        <v>1240</v>
      </c>
      <c r="BX5" s="423" t="s">
        <v>1240</v>
      </c>
      <c r="BY5" s="424" t="s">
        <v>1240</v>
      </c>
      <c r="BZ5" s="423" t="s">
        <v>1241</v>
      </c>
      <c r="CA5" s="423" t="s">
        <v>1241</v>
      </c>
      <c r="CB5" s="425" t="s">
        <v>1241</v>
      </c>
      <c r="CC5" s="422" t="s">
        <v>1240</v>
      </c>
      <c r="CD5" s="423" t="s">
        <v>1240</v>
      </c>
      <c r="CE5" s="424" t="s">
        <v>1240</v>
      </c>
      <c r="CF5" s="423" t="s">
        <v>1241</v>
      </c>
      <c r="CG5" s="423" t="s">
        <v>1241</v>
      </c>
      <c r="CH5" s="425" t="s">
        <v>1241</v>
      </c>
      <c r="CI5" s="422" t="s">
        <v>1240</v>
      </c>
      <c r="CJ5" s="423" t="s">
        <v>1240</v>
      </c>
      <c r="CK5" s="424" t="s">
        <v>1240</v>
      </c>
      <c r="CL5" s="423" t="s">
        <v>1241</v>
      </c>
      <c r="CM5" s="423" t="s">
        <v>1241</v>
      </c>
      <c r="CN5" s="425" t="s">
        <v>1241</v>
      </c>
      <c r="CO5" s="422" t="s">
        <v>1240</v>
      </c>
      <c r="CP5" s="423" t="s">
        <v>1240</v>
      </c>
      <c r="CQ5" s="424" t="s">
        <v>1240</v>
      </c>
      <c r="CR5" s="423" t="s">
        <v>1241</v>
      </c>
      <c r="CS5" s="423" t="s">
        <v>1241</v>
      </c>
      <c r="CT5" s="423" t="s">
        <v>1241</v>
      </c>
      <c r="CU5" s="426" t="s">
        <v>1240</v>
      </c>
      <c r="CV5" s="425" t="s">
        <v>1241</v>
      </c>
      <c r="CW5" s="426" t="s">
        <v>1240</v>
      </c>
      <c r="CX5" s="425" t="s">
        <v>1241</v>
      </c>
      <c r="CY5" s="426" t="s">
        <v>1240</v>
      </c>
      <c r="CZ5" s="425" t="s">
        <v>1241</v>
      </c>
      <c r="DA5" s="426" t="s">
        <v>1240</v>
      </c>
      <c r="DB5" s="425" t="s">
        <v>1241</v>
      </c>
      <c r="DC5" s="426" t="s">
        <v>1240</v>
      </c>
      <c r="DD5" s="425" t="s">
        <v>1241</v>
      </c>
      <c r="DE5" s="426" t="s">
        <v>1240</v>
      </c>
      <c r="DF5" s="425" t="s">
        <v>1241</v>
      </c>
      <c r="DG5" s="426" t="s">
        <v>1240</v>
      </c>
      <c r="DH5" s="425" t="s">
        <v>1241</v>
      </c>
      <c r="DI5" s="426" t="s">
        <v>1240</v>
      </c>
      <c r="DJ5" s="425" t="s">
        <v>1241</v>
      </c>
      <c r="DK5" s="426" t="s">
        <v>1240</v>
      </c>
      <c r="DL5" s="425" t="s">
        <v>1241</v>
      </c>
      <c r="DM5" s="426" t="s">
        <v>1240</v>
      </c>
      <c r="DN5" s="425" t="s">
        <v>1241</v>
      </c>
      <c r="DO5" s="426" t="s">
        <v>1240</v>
      </c>
      <c r="DP5" s="425" t="s">
        <v>1241</v>
      </c>
      <c r="DQ5" s="426" t="s">
        <v>1240</v>
      </c>
      <c r="DR5" s="425" t="s">
        <v>1241</v>
      </c>
      <c r="DS5" s="426" t="s">
        <v>1240</v>
      </c>
      <c r="DT5" s="425" t="s">
        <v>1241</v>
      </c>
      <c r="DU5" s="426" t="s">
        <v>1240</v>
      </c>
      <c r="DV5" s="425" t="s">
        <v>1241</v>
      </c>
      <c r="DW5" s="426" t="s">
        <v>1240</v>
      </c>
      <c r="DX5" s="425" t="s">
        <v>1241</v>
      </c>
    </row>
    <row r="6" spans="1:128" ht="15.75" thickBot="1">
      <c r="B6" s="418" t="s">
        <v>525</v>
      </c>
      <c r="C6" s="427" t="s">
        <v>525</v>
      </c>
      <c r="D6" s="427" t="s">
        <v>526</v>
      </c>
      <c r="E6" s="428">
        <v>10</v>
      </c>
      <c r="F6" s="429" t="s">
        <v>527</v>
      </c>
      <c r="G6" s="430" t="s">
        <v>528</v>
      </c>
      <c r="H6" t="s">
        <v>525</v>
      </c>
      <c r="I6" s="31">
        <v>5992.0707940000002</v>
      </c>
      <c r="J6" s="31">
        <v>6372.662491</v>
      </c>
      <c r="K6" s="431">
        <v>2986.2764705882355</v>
      </c>
      <c r="L6" s="31">
        <v>4272.867886</v>
      </c>
      <c r="M6" s="31">
        <v>4542.4800240000004</v>
      </c>
      <c r="N6" s="431">
        <v>2215.3882352941173</v>
      </c>
      <c r="O6" s="31">
        <v>6526.3717630000001</v>
      </c>
      <c r="P6" s="31">
        <v>6943.3620769999998</v>
      </c>
      <c r="Q6" s="431">
        <v>3234.3823529411766</v>
      </c>
      <c r="R6" s="31">
        <v>4648.4807280000005</v>
      </c>
      <c r="S6" s="31">
        <v>4943.277478</v>
      </c>
      <c r="T6" s="431">
        <v>2402.2411764705885</v>
      </c>
      <c r="U6" s="31">
        <v>11612.056565999999</v>
      </c>
      <c r="V6" s="31">
        <v>12255.712464</v>
      </c>
      <c r="W6" s="431">
        <v>6536.3058823529409</v>
      </c>
      <c r="X6" s="31">
        <v>8835.0592809999998</v>
      </c>
      <c r="Y6" s="31">
        <v>9319.136724</v>
      </c>
      <c r="Z6" s="431">
        <v>4951.3705882352942</v>
      </c>
      <c r="AA6" s="31">
        <v>8466.4563920000001</v>
      </c>
      <c r="AB6" s="31">
        <v>8972.7846939999999</v>
      </c>
      <c r="AC6" s="431">
        <v>4829.4294117647059</v>
      </c>
      <c r="AD6" s="31">
        <v>6234.4732780000004</v>
      </c>
      <c r="AE6" s="31">
        <v>6602.6290870000003</v>
      </c>
      <c r="AF6" s="431">
        <v>3586.535294117647</v>
      </c>
      <c r="AG6" s="31">
        <v>14266.437115999999</v>
      </c>
      <c r="AH6" s="31">
        <v>15002.334983999999</v>
      </c>
      <c r="AI6" s="431">
        <v>8805.6000000000022</v>
      </c>
      <c r="AJ6" s="31">
        <v>10964.710396</v>
      </c>
      <c r="AK6" s="31">
        <v>11521.854078</v>
      </c>
      <c r="AL6" s="431">
        <v>6643.0764705882357</v>
      </c>
      <c r="AM6" s="31">
        <v>6076.9121400000004</v>
      </c>
      <c r="AN6" s="31">
        <v>6391.68552</v>
      </c>
      <c r="AO6" s="431">
        <v>3294.6882352941175</v>
      </c>
      <c r="AP6" s="31">
        <v>4371.4606869999998</v>
      </c>
      <c r="AQ6" s="31">
        <v>4598.3255669999999</v>
      </c>
      <c r="AR6" s="431">
        <v>2462.5882352941176</v>
      </c>
      <c r="AS6" s="31">
        <v>6632.8080609999997</v>
      </c>
      <c r="AT6" s="31">
        <v>6979.404211</v>
      </c>
      <c r="AU6" s="431">
        <v>3573.6588235294121</v>
      </c>
      <c r="AV6" s="31">
        <v>4768.6037120000001</v>
      </c>
      <c r="AW6" s="31">
        <v>5018.3332879999998</v>
      </c>
      <c r="AX6" s="431">
        <v>2673.2529411764708</v>
      </c>
      <c r="AY6" s="31">
        <v>11812.929501000001</v>
      </c>
      <c r="AZ6" s="31">
        <v>12435.030054999999</v>
      </c>
      <c r="BA6" s="431">
        <v>7553.0294117647063</v>
      </c>
      <c r="BB6" s="31">
        <v>9058.1124999999993</v>
      </c>
      <c r="BC6" s="31">
        <v>9535.5001520000005</v>
      </c>
      <c r="BD6" s="431">
        <v>5687.6411764705881</v>
      </c>
      <c r="BE6" s="31">
        <v>8617.0816460000005</v>
      </c>
      <c r="BF6" s="31">
        <v>9070.8062819999996</v>
      </c>
      <c r="BG6" s="431">
        <v>5482.5235294117647</v>
      </c>
      <c r="BH6" s="31">
        <v>6407.4293980000002</v>
      </c>
      <c r="BI6" s="31">
        <v>6745.1643119999999</v>
      </c>
      <c r="BJ6" s="431">
        <v>4091.0941176470587</v>
      </c>
      <c r="BK6" s="31">
        <v>14630.026162</v>
      </c>
      <c r="BL6" s="31">
        <v>15397.302530999999</v>
      </c>
      <c r="BM6" s="431">
        <v>10269.817647058824</v>
      </c>
      <c r="BN6" s="31">
        <v>11348.958909999999</v>
      </c>
      <c r="BO6" s="31">
        <v>11944.385966</v>
      </c>
      <c r="BP6" s="431">
        <v>7743.5705882352941</v>
      </c>
      <c r="BQ6" s="31">
        <v>41121.636682999997</v>
      </c>
      <c r="BR6" s="31">
        <v>41531.073232000002</v>
      </c>
      <c r="BS6" s="431">
        <v>21279.605882352942</v>
      </c>
      <c r="BT6" s="31">
        <v>32003.720119000001</v>
      </c>
      <c r="BU6" s="31">
        <v>32350.19454</v>
      </c>
      <c r="BV6" s="431">
        <v>17417.341176470589</v>
      </c>
      <c r="BW6" s="31">
        <v>45160.580536000001</v>
      </c>
      <c r="BX6" s="31">
        <v>45640.450707999997</v>
      </c>
      <c r="BY6" s="431">
        <v>23187.74117647059</v>
      </c>
      <c r="BZ6" s="31">
        <v>35126.680893999997</v>
      </c>
      <c r="CA6" s="31">
        <v>35528.008306999996</v>
      </c>
      <c r="CB6" s="431">
        <v>18987.588235294119</v>
      </c>
      <c r="CC6" s="31">
        <v>100827.74277500001</v>
      </c>
      <c r="CD6" s="31">
        <v>101544.076133</v>
      </c>
      <c r="CE6" s="431">
        <v>53459.411764705888</v>
      </c>
      <c r="CF6" s="31">
        <v>84754.713910999999</v>
      </c>
      <c r="CG6" s="31">
        <v>85428.768639000002</v>
      </c>
      <c r="CH6" s="431">
        <v>45615.76470588235</v>
      </c>
      <c r="CI6" s="31">
        <v>66652.508086000002</v>
      </c>
      <c r="CJ6" s="31">
        <v>67210.489199999996</v>
      </c>
      <c r="CK6" s="431">
        <v>36501.99411764706</v>
      </c>
      <c r="CL6" s="31">
        <v>54420.602316999997</v>
      </c>
      <c r="CM6" s="31">
        <v>54933.227989999999</v>
      </c>
      <c r="CN6" s="431">
        <v>30362.176470588238</v>
      </c>
      <c r="CO6" s="31">
        <v>128589.12766500001</v>
      </c>
      <c r="CP6" s="31">
        <v>129321.028964</v>
      </c>
      <c r="CQ6" s="431">
        <v>73576.223529411771</v>
      </c>
      <c r="CR6" s="31">
        <v>109239.138315</v>
      </c>
      <c r="CS6" s="31">
        <v>109931.07737299999</v>
      </c>
      <c r="CT6" s="431">
        <v>62911.23529411765</v>
      </c>
      <c r="CU6" s="432">
        <v>680.34957999999995</v>
      </c>
      <c r="CV6" s="432">
        <v>665.197362</v>
      </c>
      <c r="CW6" s="432">
        <v>354.77209800000003</v>
      </c>
      <c r="CX6" s="432">
        <v>359.70813700000002</v>
      </c>
      <c r="CY6" s="432">
        <v>716.80755299999998</v>
      </c>
      <c r="CZ6" s="432">
        <v>678.19654400000002</v>
      </c>
      <c r="DA6" s="432">
        <v>1201.3865189999999</v>
      </c>
      <c r="DB6" s="432">
        <v>1117.7915069999999</v>
      </c>
      <c r="DC6" s="432">
        <v>527.90002600000003</v>
      </c>
      <c r="DD6" s="432">
        <v>502.53154499999999</v>
      </c>
      <c r="DE6" s="432">
        <v>654.53815599999996</v>
      </c>
      <c r="DF6" s="432">
        <v>634.61415099999999</v>
      </c>
      <c r="DG6" s="432">
        <v>331.71171800000002</v>
      </c>
      <c r="DH6" s="432">
        <v>331.726136</v>
      </c>
      <c r="DI6" s="432">
        <v>676.95503599999995</v>
      </c>
      <c r="DJ6" s="432">
        <v>632.91651999999999</v>
      </c>
      <c r="DK6" s="432">
        <v>1187.9623879999999</v>
      </c>
      <c r="DL6" s="432">
        <v>1100.3090549999999</v>
      </c>
      <c r="DM6" s="432">
        <v>484.562904</v>
      </c>
      <c r="DN6" s="432">
        <v>450.77968900000002</v>
      </c>
      <c r="DO6" s="432">
        <v>13298.20825</v>
      </c>
      <c r="DP6" s="432">
        <v>13605.137261</v>
      </c>
      <c r="DQ6" s="432">
        <v>8537.4994690000003</v>
      </c>
      <c r="DR6" s="432">
        <v>8967.9463670000005</v>
      </c>
      <c r="DS6" s="432">
        <v>12711.401233000001</v>
      </c>
      <c r="DT6" s="432">
        <v>12808.011503</v>
      </c>
      <c r="DU6" s="432">
        <v>19676.153549999999</v>
      </c>
      <c r="DV6" s="432">
        <v>19577.783243000002</v>
      </c>
      <c r="DW6" s="432">
        <v>10206.710444</v>
      </c>
      <c r="DX6" s="432">
        <v>10384.84403</v>
      </c>
    </row>
    <row r="7" spans="1:128" ht="15.75" thickBot="1">
      <c r="B7" s="433" t="s">
        <v>531</v>
      </c>
      <c r="C7" s="434" t="s">
        <v>532</v>
      </c>
      <c r="D7" s="434" t="s">
        <v>533</v>
      </c>
      <c r="E7" s="435">
        <v>10</v>
      </c>
      <c r="F7" s="434" t="s">
        <v>527</v>
      </c>
      <c r="G7" s="436" t="s">
        <v>528</v>
      </c>
      <c r="H7" t="s">
        <v>531</v>
      </c>
      <c r="I7" s="31">
        <v>4272.867886</v>
      </c>
      <c r="J7" s="31">
        <v>4542.4800240000004</v>
      </c>
      <c r="K7" s="431">
        <v>2215.3882352941173</v>
      </c>
      <c r="L7" s="31">
        <v>4272.867886</v>
      </c>
      <c r="M7" s="31">
        <v>4542.4800240000004</v>
      </c>
      <c r="N7" s="431">
        <v>2215.3882352941173</v>
      </c>
      <c r="O7" s="31">
        <v>4648.4807280000005</v>
      </c>
      <c r="P7" s="31">
        <v>4943.277478</v>
      </c>
      <c r="Q7" s="431">
        <v>2402.2411764705885</v>
      </c>
      <c r="R7" s="31">
        <v>4648.4807280000005</v>
      </c>
      <c r="S7" s="31">
        <v>4943.277478</v>
      </c>
      <c r="T7" s="431">
        <v>2402.2411764705885</v>
      </c>
      <c r="U7" s="31">
        <v>8835.0592809999998</v>
      </c>
      <c r="V7" s="31">
        <v>9319.136724</v>
      </c>
      <c r="W7" s="431">
        <v>4951.3705882352942</v>
      </c>
      <c r="X7" s="31">
        <v>8835.0592809999998</v>
      </c>
      <c r="Y7" s="31">
        <v>9319.136724</v>
      </c>
      <c r="Z7" s="431">
        <v>4951.3705882352942</v>
      </c>
      <c r="AA7" s="31">
        <v>6234.4732780000004</v>
      </c>
      <c r="AB7" s="31">
        <v>6602.6290870000003</v>
      </c>
      <c r="AC7" s="431">
        <v>3586.535294117647</v>
      </c>
      <c r="AD7" s="31">
        <v>6234.4732780000004</v>
      </c>
      <c r="AE7" s="31">
        <v>6602.6290870000003</v>
      </c>
      <c r="AF7" s="431">
        <v>3586.535294117647</v>
      </c>
      <c r="AG7" s="31">
        <v>10964.710396</v>
      </c>
      <c r="AH7" s="31">
        <v>11521.854078</v>
      </c>
      <c r="AI7" s="431">
        <v>6643.0764705882357</v>
      </c>
      <c r="AJ7" s="31">
        <v>10964.710396</v>
      </c>
      <c r="AK7" s="31">
        <v>11521.854078</v>
      </c>
      <c r="AL7" s="431">
        <v>6643.0764705882357</v>
      </c>
      <c r="AM7" s="31">
        <v>4371.4606869999998</v>
      </c>
      <c r="AN7" s="31">
        <v>4598.3255669999999</v>
      </c>
      <c r="AO7" s="431">
        <v>2462.5882352941176</v>
      </c>
      <c r="AP7" s="31">
        <v>4371.4606869999998</v>
      </c>
      <c r="AQ7" s="31">
        <v>4598.3255669999999</v>
      </c>
      <c r="AR7" s="431">
        <v>2462.5882352941176</v>
      </c>
      <c r="AS7" s="31">
        <v>4768.6037120000001</v>
      </c>
      <c r="AT7" s="31">
        <v>5018.3332879999998</v>
      </c>
      <c r="AU7" s="431">
        <v>2673.2529411764708</v>
      </c>
      <c r="AV7" s="31">
        <v>4768.6037120000001</v>
      </c>
      <c r="AW7" s="31">
        <v>5018.3332879999998</v>
      </c>
      <c r="AX7" s="431">
        <v>2673.2529411764708</v>
      </c>
      <c r="AY7" s="31">
        <v>9058.1124999999993</v>
      </c>
      <c r="AZ7" s="31">
        <v>9535.5001520000005</v>
      </c>
      <c r="BA7" s="431">
        <v>5687.6411764705881</v>
      </c>
      <c r="BB7" s="31">
        <v>9058.1124999999993</v>
      </c>
      <c r="BC7" s="31">
        <v>9535.5001520000005</v>
      </c>
      <c r="BD7" s="431">
        <v>5687.6411764705881</v>
      </c>
      <c r="BE7" s="31">
        <v>6407.4293980000002</v>
      </c>
      <c r="BF7" s="31">
        <v>6745.1643119999999</v>
      </c>
      <c r="BG7" s="431">
        <v>4091.0941176470587</v>
      </c>
      <c r="BH7" s="31">
        <v>6407.4293980000002</v>
      </c>
      <c r="BI7" s="31">
        <v>6745.1643119999999</v>
      </c>
      <c r="BJ7" s="431">
        <v>4091.0941176470587</v>
      </c>
      <c r="BK7" s="31">
        <v>11348.958909999999</v>
      </c>
      <c r="BL7" s="31">
        <v>11944.385966</v>
      </c>
      <c r="BM7" s="431">
        <v>7743.5705882352941</v>
      </c>
      <c r="BN7" s="31">
        <v>11348.958909999999</v>
      </c>
      <c r="BO7" s="31">
        <v>11944.385966</v>
      </c>
      <c r="BP7" s="431">
        <v>7743.5705882352941</v>
      </c>
      <c r="BQ7" s="31">
        <v>32003.720119000001</v>
      </c>
      <c r="BR7" s="31">
        <v>32350.19454</v>
      </c>
      <c r="BS7" s="431">
        <v>17417.341176470589</v>
      </c>
      <c r="BT7" s="31">
        <v>32003.720119000001</v>
      </c>
      <c r="BU7" s="31">
        <v>32350.19454</v>
      </c>
      <c r="BV7" s="431">
        <v>17417.341176470589</v>
      </c>
      <c r="BW7" s="31">
        <v>35126.680893999997</v>
      </c>
      <c r="BX7" s="31">
        <v>35528.008306999996</v>
      </c>
      <c r="BY7" s="431">
        <v>18987.588235294119</v>
      </c>
      <c r="BZ7" s="31">
        <v>35126.680893999997</v>
      </c>
      <c r="CA7" s="31">
        <v>35528.008306999996</v>
      </c>
      <c r="CB7" s="431">
        <v>18987.588235294119</v>
      </c>
      <c r="CC7" s="31">
        <v>84754.713910999999</v>
      </c>
      <c r="CD7" s="31">
        <v>85428.768639000002</v>
      </c>
      <c r="CE7" s="431">
        <v>45615.76470588235</v>
      </c>
      <c r="CF7" s="31">
        <v>84754.713910999999</v>
      </c>
      <c r="CG7" s="31">
        <v>85428.768639000002</v>
      </c>
      <c r="CH7" s="431">
        <v>45615.76470588235</v>
      </c>
      <c r="CI7" s="31">
        <v>54420.602316999997</v>
      </c>
      <c r="CJ7" s="31">
        <v>54933.227989999999</v>
      </c>
      <c r="CK7" s="431">
        <v>30362.176470588238</v>
      </c>
      <c r="CL7" s="31">
        <v>54420.602316999997</v>
      </c>
      <c r="CM7" s="31">
        <v>54933.227989999999</v>
      </c>
      <c r="CN7" s="431">
        <v>30362.176470588238</v>
      </c>
      <c r="CO7" s="31">
        <v>109239.138315</v>
      </c>
      <c r="CP7" s="31">
        <v>109931.07737299999</v>
      </c>
      <c r="CQ7" s="431">
        <v>62911.23529411765</v>
      </c>
      <c r="CR7" s="31">
        <v>109239.138315</v>
      </c>
      <c r="CS7" s="31">
        <v>109931.07737299999</v>
      </c>
      <c r="CT7" s="431">
        <v>62911.23529411765</v>
      </c>
      <c r="CU7" s="432">
        <v>665.197362</v>
      </c>
      <c r="CV7" s="432">
        <v>665.197362</v>
      </c>
      <c r="CW7" s="432">
        <v>359.70813700000002</v>
      </c>
      <c r="CX7" s="432">
        <v>359.70813700000002</v>
      </c>
      <c r="CY7" s="432">
        <v>678.19654400000002</v>
      </c>
      <c r="CZ7" s="432">
        <v>678.19654400000002</v>
      </c>
      <c r="DA7" s="432">
        <v>1117.7915069999999</v>
      </c>
      <c r="DB7" s="432">
        <v>1117.7915069999999</v>
      </c>
      <c r="DC7" s="432">
        <v>502.53154499999999</v>
      </c>
      <c r="DD7" s="432">
        <v>502.53154499999999</v>
      </c>
      <c r="DE7" s="432">
        <v>634.61415099999999</v>
      </c>
      <c r="DF7" s="432">
        <v>634.61415099999999</v>
      </c>
      <c r="DG7" s="432">
        <v>331.726136</v>
      </c>
      <c r="DH7" s="432">
        <v>331.726136</v>
      </c>
      <c r="DI7" s="432">
        <v>632.91651999999999</v>
      </c>
      <c r="DJ7" s="432">
        <v>632.91651999999999</v>
      </c>
      <c r="DK7" s="432">
        <v>1100.3090549999999</v>
      </c>
      <c r="DL7" s="432">
        <v>1100.3090549999999</v>
      </c>
      <c r="DM7" s="432">
        <v>450.77968900000002</v>
      </c>
      <c r="DN7" s="432">
        <v>450.77968900000002</v>
      </c>
      <c r="DO7" s="432">
        <v>13605.137261</v>
      </c>
      <c r="DP7" s="432">
        <v>13605.137261</v>
      </c>
      <c r="DQ7" s="432">
        <v>8967.9463670000005</v>
      </c>
      <c r="DR7" s="432">
        <v>8967.9463670000005</v>
      </c>
      <c r="DS7" s="432">
        <v>12808.011503</v>
      </c>
      <c r="DT7" s="432">
        <v>12808.011503</v>
      </c>
      <c r="DU7" s="432">
        <v>19577.783243000002</v>
      </c>
      <c r="DV7" s="432">
        <v>19577.783243000002</v>
      </c>
      <c r="DW7" s="432">
        <v>10384.84403</v>
      </c>
      <c r="DX7" s="432">
        <v>10384.84403</v>
      </c>
    </row>
    <row r="8" spans="1:128" ht="15">
      <c r="B8" s="437" t="s">
        <v>535</v>
      </c>
      <c r="C8" s="438" t="s">
        <v>536</v>
      </c>
      <c r="D8" s="438" t="s">
        <v>537</v>
      </c>
      <c r="E8" s="439">
        <v>10</v>
      </c>
      <c r="F8" s="440" t="s">
        <v>527</v>
      </c>
      <c r="G8" s="441" t="s">
        <v>538</v>
      </c>
      <c r="H8" t="s">
        <v>535</v>
      </c>
      <c r="I8" s="31">
        <v>4665.8157950000004</v>
      </c>
      <c r="J8" s="31">
        <v>4918.0006190000004</v>
      </c>
      <c r="K8" s="431">
        <v>2351.1235294117646</v>
      </c>
      <c r="L8" s="31">
        <v>4321.6595129999996</v>
      </c>
      <c r="M8" s="31">
        <v>4589.3530270000001</v>
      </c>
      <c r="N8" s="431">
        <v>2232.3823529411766</v>
      </c>
      <c r="O8" s="31">
        <v>5082.0386470000003</v>
      </c>
      <c r="P8" s="31">
        <v>5358.2407249999997</v>
      </c>
      <c r="Q8" s="431">
        <v>2549.5882352941176</v>
      </c>
      <c r="R8" s="31">
        <v>4702.7665129999996</v>
      </c>
      <c r="S8" s="31">
        <v>4995.5264809999999</v>
      </c>
      <c r="T8" s="431">
        <v>2420.7058823529414</v>
      </c>
      <c r="U8" s="31">
        <v>9402.1102499999997</v>
      </c>
      <c r="V8" s="31">
        <v>9832.7188229999992</v>
      </c>
      <c r="W8" s="431">
        <v>5147.8941176470598</v>
      </c>
      <c r="X8" s="31">
        <v>8906.4527880000005</v>
      </c>
      <c r="Y8" s="31">
        <v>9384.1003180000007</v>
      </c>
      <c r="Z8" s="431">
        <v>4976.2588235294115</v>
      </c>
      <c r="AA8" s="31">
        <v>6708.3033169999999</v>
      </c>
      <c r="AB8" s="31">
        <v>7040.69416</v>
      </c>
      <c r="AC8" s="431">
        <v>3755.588235294118</v>
      </c>
      <c r="AD8" s="31">
        <v>6294.0749189999997</v>
      </c>
      <c r="AE8" s="31">
        <v>6657.9916290000001</v>
      </c>
      <c r="AF8" s="431">
        <v>3607.9529411764706</v>
      </c>
      <c r="AG8" s="31">
        <v>11629.747611000001</v>
      </c>
      <c r="AH8" s="31">
        <v>12116.856196000001</v>
      </c>
      <c r="AI8" s="431">
        <v>6879.6588235294112</v>
      </c>
      <c r="AJ8" s="31">
        <v>11048.423494999999</v>
      </c>
      <c r="AK8" s="31">
        <v>11597.042919</v>
      </c>
      <c r="AL8" s="431">
        <v>6672.0705882352941</v>
      </c>
      <c r="AM8" s="31">
        <v>4371.4606869999998</v>
      </c>
      <c r="AN8" s="31">
        <v>4598.3255669999999</v>
      </c>
      <c r="AO8" s="431">
        <v>2462.5882352941176</v>
      </c>
      <c r="AP8" s="31">
        <v>4371.4606869999998</v>
      </c>
      <c r="AQ8" s="31">
        <v>4598.3255669999999</v>
      </c>
      <c r="AR8" s="431">
        <v>2462.5882352941176</v>
      </c>
      <c r="AS8" s="31">
        <v>4768.6037120000001</v>
      </c>
      <c r="AT8" s="31">
        <v>5018.3332879999998</v>
      </c>
      <c r="AU8" s="431">
        <v>2673.2529411764708</v>
      </c>
      <c r="AV8" s="31">
        <v>4768.6037120000001</v>
      </c>
      <c r="AW8" s="31">
        <v>5018.3332879999998</v>
      </c>
      <c r="AX8" s="431">
        <v>2673.2529411764708</v>
      </c>
      <c r="AY8" s="31">
        <v>9058.1124999999993</v>
      </c>
      <c r="AZ8" s="31">
        <v>9535.5001520000005</v>
      </c>
      <c r="BA8" s="431">
        <v>5687.6411764705881</v>
      </c>
      <c r="BB8" s="31">
        <v>9058.1124999999993</v>
      </c>
      <c r="BC8" s="31">
        <v>9535.5001520000005</v>
      </c>
      <c r="BD8" s="431">
        <v>5687.6411764705881</v>
      </c>
      <c r="BE8" s="31">
        <v>6407.4293980000002</v>
      </c>
      <c r="BF8" s="31">
        <v>6745.1643119999999</v>
      </c>
      <c r="BG8" s="431">
        <v>4091.0941176470587</v>
      </c>
      <c r="BH8" s="31">
        <v>6407.4293980000002</v>
      </c>
      <c r="BI8" s="31">
        <v>6745.1643119999999</v>
      </c>
      <c r="BJ8" s="431">
        <v>4091.0941176470587</v>
      </c>
      <c r="BK8" s="31">
        <v>11348.958909999999</v>
      </c>
      <c r="BL8" s="31">
        <v>11944.385966</v>
      </c>
      <c r="BM8" s="431">
        <v>7743.5705882352941</v>
      </c>
      <c r="BN8" s="31">
        <v>11348.958909999999</v>
      </c>
      <c r="BO8" s="31">
        <v>11944.385966</v>
      </c>
      <c r="BP8" s="431">
        <v>7743.5705882352941</v>
      </c>
      <c r="BQ8" s="31">
        <v>36376.793575000003</v>
      </c>
      <c r="BR8" s="31">
        <v>36774.846667999998</v>
      </c>
      <c r="BS8" s="431">
        <v>19313.623529411765</v>
      </c>
      <c r="BT8" s="31">
        <v>32559.894031</v>
      </c>
      <c r="BU8" s="31">
        <v>32913.011894000003</v>
      </c>
      <c r="BV8" s="431">
        <v>17662.876470588235</v>
      </c>
      <c r="BW8" s="31">
        <v>39967.991449000001</v>
      </c>
      <c r="BX8" s="31">
        <v>40431.165932000004</v>
      </c>
      <c r="BY8" s="431">
        <v>21050.817647058822</v>
      </c>
      <c r="BZ8" s="31">
        <v>35743.192243999998</v>
      </c>
      <c r="CA8" s="31">
        <v>36152.460702999997</v>
      </c>
      <c r="CB8" s="431">
        <v>19252.588235294119</v>
      </c>
      <c r="CC8" s="31">
        <v>91413.234475000005</v>
      </c>
      <c r="CD8" s="31">
        <v>92158.393377</v>
      </c>
      <c r="CE8" s="431">
        <v>48816.705882352937</v>
      </c>
      <c r="CF8" s="31">
        <v>85617.597922999994</v>
      </c>
      <c r="CG8" s="31">
        <v>86300.979963000005</v>
      </c>
      <c r="CH8" s="431">
        <v>46035.058823529413</v>
      </c>
      <c r="CI8" s="31">
        <v>59603.353667000003</v>
      </c>
      <c r="CJ8" s="31">
        <v>60172.42368</v>
      </c>
      <c r="CK8" s="431">
        <v>32963.882352941175</v>
      </c>
      <c r="CL8" s="31">
        <v>55093.414178999999</v>
      </c>
      <c r="CM8" s="31">
        <v>55613.482293000001</v>
      </c>
      <c r="CN8" s="431">
        <v>30699.647058823532</v>
      </c>
      <c r="CO8" s="31">
        <v>117030.307549</v>
      </c>
      <c r="CP8" s="31">
        <v>117805.43702100001</v>
      </c>
      <c r="CQ8" s="431">
        <v>66919.523529411759</v>
      </c>
      <c r="CR8" s="31">
        <v>110253.831255</v>
      </c>
      <c r="CS8" s="31">
        <v>110956.83458900001</v>
      </c>
      <c r="CT8" s="431">
        <v>63431.529411764699</v>
      </c>
      <c r="CU8" s="432">
        <v>621.67434900000001</v>
      </c>
      <c r="CV8" s="432">
        <v>659.42141300000003</v>
      </c>
      <c r="CW8" s="432">
        <v>322.36064599999997</v>
      </c>
      <c r="CX8" s="432">
        <v>354.695449</v>
      </c>
      <c r="CY8" s="432">
        <v>638.07311000000004</v>
      </c>
      <c r="CZ8" s="432">
        <v>672.90607599999998</v>
      </c>
      <c r="DA8" s="432">
        <v>1073.5020280000001</v>
      </c>
      <c r="DB8" s="432">
        <v>1111.9637929999999</v>
      </c>
      <c r="DC8" s="432">
        <v>463.52071899999999</v>
      </c>
      <c r="DD8" s="432">
        <v>497.33077200000002</v>
      </c>
      <c r="DE8" s="432">
        <v>634.61415099999999</v>
      </c>
      <c r="DF8" s="432">
        <v>634.61415099999999</v>
      </c>
      <c r="DG8" s="432">
        <v>331.726136</v>
      </c>
      <c r="DH8" s="432">
        <v>331.726136</v>
      </c>
      <c r="DI8" s="432">
        <v>632.91651999999999</v>
      </c>
      <c r="DJ8" s="432">
        <v>632.91651999999999</v>
      </c>
      <c r="DK8" s="432">
        <v>1100.3090549999999</v>
      </c>
      <c r="DL8" s="432">
        <v>1100.3090549999999</v>
      </c>
      <c r="DM8" s="432">
        <v>450.77968900000002</v>
      </c>
      <c r="DN8" s="432">
        <v>450.77968900000002</v>
      </c>
      <c r="DO8" s="432">
        <v>12632.464929</v>
      </c>
      <c r="DP8" s="432">
        <v>13471.718504</v>
      </c>
      <c r="DQ8" s="432">
        <v>8048.6591689999996</v>
      </c>
      <c r="DR8" s="432">
        <v>8841.3423679999996</v>
      </c>
      <c r="DS8" s="432">
        <v>11922.031591000001</v>
      </c>
      <c r="DT8" s="432">
        <v>12684.537419</v>
      </c>
      <c r="DU8" s="432">
        <v>18632.309633000001</v>
      </c>
      <c r="DV8" s="432">
        <v>19445.473526999998</v>
      </c>
      <c r="DW8" s="432">
        <v>9495.2585909999998</v>
      </c>
      <c r="DX8" s="432">
        <v>10259.514665000001</v>
      </c>
    </row>
    <row r="9" spans="1:128" ht="15">
      <c r="B9" s="442" t="s">
        <v>546</v>
      </c>
      <c r="C9" s="266" t="s">
        <v>547</v>
      </c>
      <c r="D9" s="266" t="s">
        <v>537</v>
      </c>
      <c r="E9" s="443">
        <v>11</v>
      </c>
      <c r="F9" s="266" t="s">
        <v>527</v>
      </c>
      <c r="G9" s="269" t="s">
        <v>548</v>
      </c>
      <c r="H9" t="s">
        <v>546</v>
      </c>
      <c r="I9" s="31">
        <v>4665.8157950000004</v>
      </c>
      <c r="J9" s="31">
        <v>4918.0006190000004</v>
      </c>
      <c r="K9" s="431">
        <v>2351.1235294117646</v>
      </c>
      <c r="L9" s="31">
        <v>4272.867886</v>
      </c>
      <c r="M9" s="31">
        <v>4542.4800240000004</v>
      </c>
      <c r="N9" s="431">
        <v>2215.3882352941173</v>
      </c>
      <c r="O9" s="31">
        <v>5082.0386470000003</v>
      </c>
      <c r="P9" s="31">
        <v>5358.2407249999997</v>
      </c>
      <c r="Q9" s="431">
        <v>2549.5882352941176</v>
      </c>
      <c r="R9" s="31">
        <v>4648.4807280000005</v>
      </c>
      <c r="S9" s="31">
        <v>4943.277478</v>
      </c>
      <c r="T9" s="431">
        <v>2402.2411764705885</v>
      </c>
      <c r="U9" s="31">
        <v>9402.1102499999997</v>
      </c>
      <c r="V9" s="31">
        <v>9832.7188229999992</v>
      </c>
      <c r="W9" s="431">
        <v>5147.8941176470598</v>
      </c>
      <c r="X9" s="31">
        <v>8835.0592809999998</v>
      </c>
      <c r="Y9" s="31">
        <v>9319.136724</v>
      </c>
      <c r="Z9" s="431">
        <v>4951.3705882352942</v>
      </c>
      <c r="AA9" s="31">
        <v>6708.3033169999999</v>
      </c>
      <c r="AB9" s="31">
        <v>7040.69416</v>
      </c>
      <c r="AC9" s="431">
        <v>3755.588235294118</v>
      </c>
      <c r="AD9" s="31">
        <v>6234.4732780000004</v>
      </c>
      <c r="AE9" s="31">
        <v>6602.6290870000003</v>
      </c>
      <c r="AF9" s="431">
        <v>3586.535294117647</v>
      </c>
      <c r="AG9" s="31">
        <v>11629.747611000001</v>
      </c>
      <c r="AH9" s="31">
        <v>12116.856196000001</v>
      </c>
      <c r="AI9" s="431">
        <v>6879.6588235294112</v>
      </c>
      <c r="AJ9" s="31">
        <v>10964.710396</v>
      </c>
      <c r="AK9" s="31">
        <v>11521.854078</v>
      </c>
      <c r="AL9" s="431">
        <v>6643.0764705882357</v>
      </c>
      <c r="AM9" s="31">
        <v>4371.4606869999998</v>
      </c>
      <c r="AN9" s="31">
        <v>4598.3255669999999</v>
      </c>
      <c r="AO9" s="431">
        <v>2462.5882352941176</v>
      </c>
      <c r="AP9" s="31">
        <v>4371.4606869999998</v>
      </c>
      <c r="AQ9" s="31">
        <v>4598.3255669999999</v>
      </c>
      <c r="AR9" s="431">
        <v>2462.5882352941176</v>
      </c>
      <c r="AS9" s="31">
        <v>4768.6037120000001</v>
      </c>
      <c r="AT9" s="31">
        <v>5018.3332879999998</v>
      </c>
      <c r="AU9" s="431">
        <v>2673.2529411764708</v>
      </c>
      <c r="AV9" s="31">
        <v>4768.6037120000001</v>
      </c>
      <c r="AW9" s="31">
        <v>5018.3332879999998</v>
      </c>
      <c r="AX9" s="431">
        <v>2673.2529411764708</v>
      </c>
      <c r="AY9" s="31">
        <v>9058.1124999999993</v>
      </c>
      <c r="AZ9" s="31">
        <v>9535.5001520000005</v>
      </c>
      <c r="BA9" s="431">
        <v>5687.6411764705881</v>
      </c>
      <c r="BB9" s="31">
        <v>9058.1124999999993</v>
      </c>
      <c r="BC9" s="31">
        <v>9535.5001520000005</v>
      </c>
      <c r="BD9" s="431">
        <v>5687.6411764705881</v>
      </c>
      <c r="BE9" s="31">
        <v>6407.4293980000002</v>
      </c>
      <c r="BF9" s="31">
        <v>6745.1643119999999</v>
      </c>
      <c r="BG9" s="431">
        <v>4091.0941176470587</v>
      </c>
      <c r="BH9" s="31">
        <v>6407.4293980000002</v>
      </c>
      <c r="BI9" s="31">
        <v>6745.1643119999999</v>
      </c>
      <c r="BJ9" s="431">
        <v>4091.0941176470587</v>
      </c>
      <c r="BK9" s="31">
        <v>11348.958909999999</v>
      </c>
      <c r="BL9" s="31">
        <v>11944.385966</v>
      </c>
      <c r="BM9" s="431">
        <v>7743.5705882352941</v>
      </c>
      <c r="BN9" s="31">
        <v>11348.958909999999</v>
      </c>
      <c r="BO9" s="31">
        <v>11944.385966</v>
      </c>
      <c r="BP9" s="431">
        <v>7743.5705882352941</v>
      </c>
      <c r="BQ9" s="31">
        <v>36376.793575000003</v>
      </c>
      <c r="BR9" s="31">
        <v>36774.846667999998</v>
      </c>
      <c r="BS9" s="431">
        <v>19313.623529411765</v>
      </c>
      <c r="BT9" s="31">
        <v>32003.720119000001</v>
      </c>
      <c r="BU9" s="31">
        <v>32350.19454</v>
      </c>
      <c r="BV9" s="431">
        <v>17417.341176470589</v>
      </c>
      <c r="BW9" s="31">
        <v>39967.991449000001</v>
      </c>
      <c r="BX9" s="31">
        <v>40431.165932000004</v>
      </c>
      <c r="BY9" s="431">
        <v>21050.817647058822</v>
      </c>
      <c r="BZ9" s="31">
        <v>35126.680893999997</v>
      </c>
      <c r="CA9" s="31">
        <v>35528.008306999996</v>
      </c>
      <c r="CB9" s="431">
        <v>18987.588235294119</v>
      </c>
      <c r="CC9" s="31">
        <v>91413.234475000005</v>
      </c>
      <c r="CD9" s="31">
        <v>92158.393377</v>
      </c>
      <c r="CE9" s="431">
        <v>48816.705882352937</v>
      </c>
      <c r="CF9" s="31">
        <v>84754.713910999999</v>
      </c>
      <c r="CG9" s="31">
        <v>85428.768639000002</v>
      </c>
      <c r="CH9" s="431">
        <v>45615.76470588235</v>
      </c>
      <c r="CI9" s="31">
        <v>59603.353667000003</v>
      </c>
      <c r="CJ9" s="31">
        <v>60172.42368</v>
      </c>
      <c r="CK9" s="431">
        <v>32963.882352941175</v>
      </c>
      <c r="CL9" s="31">
        <v>54420.602316999997</v>
      </c>
      <c r="CM9" s="31">
        <v>54933.227989999999</v>
      </c>
      <c r="CN9" s="431">
        <v>30362.176470588238</v>
      </c>
      <c r="CO9" s="31">
        <v>117030.307549</v>
      </c>
      <c r="CP9" s="31">
        <v>117805.43702100001</v>
      </c>
      <c r="CQ9" s="431">
        <v>66919.523529411759</v>
      </c>
      <c r="CR9" s="31">
        <v>109239.138315</v>
      </c>
      <c r="CS9" s="31">
        <v>109931.07737299999</v>
      </c>
      <c r="CT9" s="431">
        <v>62911.23529411765</v>
      </c>
      <c r="CU9" s="432">
        <v>621.67434900000001</v>
      </c>
      <c r="CV9" s="432">
        <v>665.197362</v>
      </c>
      <c r="CW9" s="432">
        <v>322.36064599999997</v>
      </c>
      <c r="CX9" s="432">
        <v>359.70813700000002</v>
      </c>
      <c r="CY9" s="432">
        <v>638.07311000000004</v>
      </c>
      <c r="CZ9" s="432">
        <v>678.19654400000002</v>
      </c>
      <c r="DA9" s="432">
        <v>1073.5020280000001</v>
      </c>
      <c r="DB9" s="432">
        <v>1117.7915069999999</v>
      </c>
      <c r="DC9" s="432">
        <v>463.52071899999999</v>
      </c>
      <c r="DD9" s="432">
        <v>502.53154499999999</v>
      </c>
      <c r="DE9" s="432">
        <v>634.61415099999999</v>
      </c>
      <c r="DF9" s="432">
        <v>634.61415099999999</v>
      </c>
      <c r="DG9" s="432">
        <v>331.726136</v>
      </c>
      <c r="DH9" s="432">
        <v>331.726136</v>
      </c>
      <c r="DI9" s="432">
        <v>632.91651999999999</v>
      </c>
      <c r="DJ9" s="432">
        <v>632.91651999999999</v>
      </c>
      <c r="DK9" s="432">
        <v>1100.3090549999999</v>
      </c>
      <c r="DL9" s="432">
        <v>1100.3090549999999</v>
      </c>
      <c r="DM9" s="432">
        <v>450.77968900000002</v>
      </c>
      <c r="DN9" s="432">
        <v>450.77968900000002</v>
      </c>
      <c r="DO9" s="432">
        <v>12632.464929</v>
      </c>
      <c r="DP9" s="432">
        <v>13605.137261</v>
      </c>
      <c r="DQ9" s="432">
        <v>8048.6591689999996</v>
      </c>
      <c r="DR9" s="432">
        <v>8967.9463670000005</v>
      </c>
      <c r="DS9" s="432">
        <v>11922.031591000001</v>
      </c>
      <c r="DT9" s="432">
        <v>12808.011503</v>
      </c>
      <c r="DU9" s="432">
        <v>18632.309633000001</v>
      </c>
      <c r="DV9" s="432">
        <v>19577.783243000002</v>
      </c>
      <c r="DW9" s="432">
        <v>9495.2585909999998</v>
      </c>
      <c r="DX9" s="432">
        <v>10384.84403</v>
      </c>
    </row>
    <row r="10" spans="1:128" ht="15">
      <c r="B10" s="442" t="s">
        <v>550</v>
      </c>
      <c r="C10" s="266" t="s">
        <v>551</v>
      </c>
      <c r="D10" s="266" t="s">
        <v>537</v>
      </c>
      <c r="E10" s="443">
        <v>12</v>
      </c>
      <c r="F10" s="444" t="s">
        <v>527</v>
      </c>
      <c r="G10" s="445" t="s">
        <v>552</v>
      </c>
      <c r="H10" t="s">
        <v>550</v>
      </c>
      <c r="I10" s="31">
        <v>4665.8157950000004</v>
      </c>
      <c r="J10" s="31">
        <v>4918.0006190000004</v>
      </c>
      <c r="K10" s="431">
        <v>2351.1235294117646</v>
      </c>
      <c r="L10" s="31">
        <v>4221.8850769999999</v>
      </c>
      <c r="M10" s="31">
        <v>4493.4390960000001</v>
      </c>
      <c r="N10" s="431">
        <v>2197.9235294117643</v>
      </c>
      <c r="O10" s="31">
        <v>5082.0386470000003</v>
      </c>
      <c r="P10" s="31">
        <v>5358.2407249999997</v>
      </c>
      <c r="Q10" s="431">
        <v>2549.5882352941176</v>
      </c>
      <c r="R10" s="31">
        <v>4591.6281159999999</v>
      </c>
      <c r="S10" s="31">
        <v>4888.4903000000004</v>
      </c>
      <c r="T10" s="431">
        <v>2382.3000000000002</v>
      </c>
      <c r="U10" s="31">
        <v>9402.1102499999997</v>
      </c>
      <c r="V10" s="31">
        <v>9832.7188229999992</v>
      </c>
      <c r="W10" s="431">
        <v>5147.8941176470598</v>
      </c>
      <c r="X10" s="31">
        <v>8760.1333279999999</v>
      </c>
      <c r="Y10" s="31">
        <v>9250.866446</v>
      </c>
      <c r="Z10" s="431">
        <v>4925.3294117647056</v>
      </c>
      <c r="AA10" s="31">
        <v>6708.3033169999999</v>
      </c>
      <c r="AB10" s="31">
        <v>7040.69416</v>
      </c>
      <c r="AC10" s="431">
        <v>3755.588235294118</v>
      </c>
      <c r="AD10" s="31">
        <v>6171.9408540000004</v>
      </c>
      <c r="AE10" s="31">
        <v>6544.4374950000001</v>
      </c>
      <c r="AF10" s="431">
        <v>3564.017647058824</v>
      </c>
      <c r="AG10" s="31">
        <v>11629.747611000001</v>
      </c>
      <c r="AH10" s="31">
        <v>12116.856196000001</v>
      </c>
      <c r="AI10" s="431">
        <v>6879.6588235294112</v>
      </c>
      <c r="AJ10" s="31">
        <v>10876.853951999999</v>
      </c>
      <c r="AK10" s="31">
        <v>11442.884349</v>
      </c>
      <c r="AL10" s="431">
        <v>6611.6117647058818</v>
      </c>
      <c r="AM10" s="31">
        <v>4371.4606869999998</v>
      </c>
      <c r="AN10" s="31">
        <v>4598.3255669999999</v>
      </c>
      <c r="AO10" s="431">
        <v>2462.5882352941176</v>
      </c>
      <c r="AP10" s="31">
        <v>4371.4606869999998</v>
      </c>
      <c r="AQ10" s="31">
        <v>4598.3255669999999</v>
      </c>
      <c r="AR10" s="431">
        <v>2462.5882352941176</v>
      </c>
      <c r="AS10" s="31">
        <v>4768.6037120000001</v>
      </c>
      <c r="AT10" s="31">
        <v>5018.3332879999998</v>
      </c>
      <c r="AU10" s="431">
        <v>2673.2529411764708</v>
      </c>
      <c r="AV10" s="31">
        <v>4768.6037120000001</v>
      </c>
      <c r="AW10" s="31">
        <v>5018.3332879999998</v>
      </c>
      <c r="AX10" s="431">
        <v>2673.2529411764708</v>
      </c>
      <c r="AY10" s="31">
        <v>9058.1124999999993</v>
      </c>
      <c r="AZ10" s="31">
        <v>9535.5001520000005</v>
      </c>
      <c r="BA10" s="431">
        <v>5687.6411764705881</v>
      </c>
      <c r="BB10" s="31">
        <v>9058.1124999999993</v>
      </c>
      <c r="BC10" s="31">
        <v>9535.5001520000005</v>
      </c>
      <c r="BD10" s="431">
        <v>5687.6411764705881</v>
      </c>
      <c r="BE10" s="31">
        <v>6407.4293980000002</v>
      </c>
      <c r="BF10" s="31">
        <v>6745.1643119999999</v>
      </c>
      <c r="BG10" s="431">
        <v>4091.0941176470587</v>
      </c>
      <c r="BH10" s="31">
        <v>6407.4293980000002</v>
      </c>
      <c r="BI10" s="31">
        <v>6745.1643119999999</v>
      </c>
      <c r="BJ10" s="431">
        <v>4091.0941176470587</v>
      </c>
      <c r="BK10" s="31">
        <v>11348.958909999999</v>
      </c>
      <c r="BL10" s="31">
        <v>11944.385966</v>
      </c>
      <c r="BM10" s="431">
        <v>7743.5705882352941</v>
      </c>
      <c r="BN10" s="31">
        <v>11348.958909999999</v>
      </c>
      <c r="BO10" s="31">
        <v>11944.385966</v>
      </c>
      <c r="BP10" s="431">
        <v>7743.5705882352941</v>
      </c>
      <c r="BQ10" s="31">
        <v>36376.793575000003</v>
      </c>
      <c r="BR10" s="31">
        <v>36774.846667999998</v>
      </c>
      <c r="BS10" s="431">
        <v>19313.623529411765</v>
      </c>
      <c r="BT10" s="31">
        <v>31418.347715</v>
      </c>
      <c r="BU10" s="31">
        <v>31757.808937999998</v>
      </c>
      <c r="BV10" s="431">
        <v>17160.758823529413</v>
      </c>
      <c r="BW10" s="31">
        <v>39967.991449000001</v>
      </c>
      <c r="BX10" s="31">
        <v>40431.165932000004</v>
      </c>
      <c r="BY10" s="431">
        <v>21050.817647058822</v>
      </c>
      <c r="BZ10" s="31">
        <v>34478.866479999997</v>
      </c>
      <c r="CA10" s="31">
        <v>34871.810876000003</v>
      </c>
      <c r="CB10" s="431">
        <v>18705.176470588238</v>
      </c>
      <c r="CC10" s="31">
        <v>91413.234475000005</v>
      </c>
      <c r="CD10" s="31">
        <v>92158.393377</v>
      </c>
      <c r="CE10" s="431">
        <v>48816.705882352937</v>
      </c>
      <c r="CF10" s="31">
        <v>83840.959436000005</v>
      </c>
      <c r="CG10" s="31">
        <v>84505.117429999998</v>
      </c>
      <c r="CH10" s="431">
        <v>45170.529411764706</v>
      </c>
      <c r="CI10" s="31">
        <v>59603.353667000003</v>
      </c>
      <c r="CJ10" s="31">
        <v>60172.42368</v>
      </c>
      <c r="CK10" s="431">
        <v>32963.882352941175</v>
      </c>
      <c r="CL10" s="31">
        <v>53707.997384000002</v>
      </c>
      <c r="CM10" s="31">
        <v>54212.670298999998</v>
      </c>
      <c r="CN10" s="431">
        <v>30004.235294117647</v>
      </c>
      <c r="CO10" s="31">
        <v>117030.307549</v>
      </c>
      <c r="CP10" s="31">
        <v>117805.43702100001</v>
      </c>
      <c r="CQ10" s="431">
        <v>66919.523529411759</v>
      </c>
      <c r="CR10" s="31">
        <v>108163.594392</v>
      </c>
      <c r="CS10" s="31">
        <v>108843.770899</v>
      </c>
      <c r="CT10" s="431">
        <v>62360.529411764706</v>
      </c>
      <c r="CU10" s="432">
        <v>621.67434900000001</v>
      </c>
      <c r="CV10" s="432">
        <v>671.359148</v>
      </c>
      <c r="CW10" s="432">
        <v>322.36064599999997</v>
      </c>
      <c r="CX10" s="432">
        <v>365.07796000000002</v>
      </c>
      <c r="CY10" s="432">
        <v>638.07311000000004</v>
      </c>
      <c r="CZ10" s="432">
        <v>683.83346700000004</v>
      </c>
      <c r="DA10" s="432">
        <v>1073.5020280000001</v>
      </c>
      <c r="DB10" s="432">
        <v>1123.978662</v>
      </c>
      <c r="DC10" s="432">
        <v>463.52071899999999</v>
      </c>
      <c r="DD10" s="432">
        <v>508.07855499999999</v>
      </c>
      <c r="DE10" s="432">
        <v>634.61415099999999</v>
      </c>
      <c r="DF10" s="432">
        <v>634.61415099999999</v>
      </c>
      <c r="DG10" s="432">
        <v>331.726136</v>
      </c>
      <c r="DH10" s="432">
        <v>331.726136</v>
      </c>
      <c r="DI10" s="432">
        <v>632.91651999999999</v>
      </c>
      <c r="DJ10" s="432">
        <v>632.91651999999999</v>
      </c>
      <c r="DK10" s="432">
        <v>1100.3090549999999</v>
      </c>
      <c r="DL10" s="432">
        <v>1100.3090549999999</v>
      </c>
      <c r="DM10" s="432">
        <v>450.77968900000002</v>
      </c>
      <c r="DN10" s="432">
        <v>450.77968900000002</v>
      </c>
      <c r="DO10" s="432">
        <v>12632.464929</v>
      </c>
      <c r="DP10" s="432">
        <v>13748.94744</v>
      </c>
      <c r="DQ10" s="432">
        <v>8048.6591689999996</v>
      </c>
      <c r="DR10" s="432">
        <v>9104.5277569999998</v>
      </c>
      <c r="DS10" s="432">
        <v>11922.031591000001</v>
      </c>
      <c r="DT10" s="432">
        <v>12941.520455</v>
      </c>
      <c r="DU10" s="432">
        <v>18632.309633000001</v>
      </c>
      <c r="DV10" s="432">
        <v>19721.380465999999</v>
      </c>
      <c r="DW10" s="432">
        <v>9495.2585909999998</v>
      </c>
      <c r="DX10" s="432">
        <v>10521.112767000001</v>
      </c>
    </row>
    <row r="11" spans="1:128" ht="15">
      <c r="B11" s="442" t="s">
        <v>554</v>
      </c>
      <c r="C11" s="266" t="s">
        <v>555</v>
      </c>
      <c r="D11" s="266" t="s">
        <v>537</v>
      </c>
      <c r="E11" s="443">
        <v>13</v>
      </c>
      <c r="F11" s="266" t="s">
        <v>527</v>
      </c>
      <c r="G11" s="269" t="s">
        <v>556</v>
      </c>
      <c r="H11" t="s">
        <v>554</v>
      </c>
      <c r="I11" s="31">
        <v>4665.8157950000004</v>
      </c>
      <c r="J11" s="31">
        <v>4918.0006190000004</v>
      </c>
      <c r="K11" s="431">
        <v>2351.1235294117646</v>
      </c>
      <c r="L11" s="31">
        <v>4208.3932100000002</v>
      </c>
      <c r="M11" s="31">
        <v>4480.4399350000003</v>
      </c>
      <c r="N11" s="431">
        <v>2193.4</v>
      </c>
      <c r="O11" s="31">
        <v>5082.0386470000003</v>
      </c>
      <c r="P11" s="31">
        <v>5358.2407249999997</v>
      </c>
      <c r="Q11" s="431">
        <v>2549.5882352941176</v>
      </c>
      <c r="R11" s="31">
        <v>4576.5693709999996</v>
      </c>
      <c r="S11" s="31">
        <v>4873.9762229999997</v>
      </c>
      <c r="T11" s="431">
        <v>2376.829411764706</v>
      </c>
      <c r="U11" s="31">
        <v>9402.1102499999997</v>
      </c>
      <c r="V11" s="31">
        <v>9832.7188229999992</v>
      </c>
      <c r="W11" s="431">
        <v>5147.8941176470598</v>
      </c>
      <c r="X11" s="31">
        <v>8740.2480660000001</v>
      </c>
      <c r="Y11" s="31">
        <v>9232.7390460000006</v>
      </c>
      <c r="Z11" s="431">
        <v>4918.8588235294119</v>
      </c>
      <c r="AA11" s="31">
        <v>6708.3033169999999</v>
      </c>
      <c r="AB11" s="31">
        <v>7040.69416</v>
      </c>
      <c r="AC11" s="431">
        <v>3755.588235294118</v>
      </c>
      <c r="AD11" s="31">
        <v>6155.3620140000003</v>
      </c>
      <c r="AE11" s="31">
        <v>6529.0045040000005</v>
      </c>
      <c r="AF11" s="431">
        <v>3558.5470588235294</v>
      </c>
      <c r="AG11" s="31">
        <v>11629.747611000001</v>
      </c>
      <c r="AH11" s="31">
        <v>12116.856196000001</v>
      </c>
      <c r="AI11" s="431">
        <v>6879.6588235294112</v>
      </c>
      <c r="AJ11" s="31">
        <v>10853.544357000001</v>
      </c>
      <c r="AK11" s="31">
        <v>11421.927489</v>
      </c>
      <c r="AL11" s="431">
        <v>6602.6647058823528</v>
      </c>
      <c r="AM11" s="31">
        <v>4371.4606869999998</v>
      </c>
      <c r="AN11" s="31">
        <v>4598.3255669999999</v>
      </c>
      <c r="AO11" s="431">
        <v>2462.5882352941176</v>
      </c>
      <c r="AP11" s="31">
        <v>4371.4606869999998</v>
      </c>
      <c r="AQ11" s="31">
        <v>4598.3255669999999</v>
      </c>
      <c r="AR11" s="431">
        <v>2462.5882352941176</v>
      </c>
      <c r="AS11" s="31">
        <v>4768.6037120000001</v>
      </c>
      <c r="AT11" s="31">
        <v>5018.3332879999998</v>
      </c>
      <c r="AU11" s="431">
        <v>2673.2529411764708</v>
      </c>
      <c r="AV11" s="31">
        <v>4768.6037120000001</v>
      </c>
      <c r="AW11" s="31">
        <v>5018.3332879999998</v>
      </c>
      <c r="AX11" s="431">
        <v>2673.2529411764708</v>
      </c>
      <c r="AY11" s="31">
        <v>9058.1124999999993</v>
      </c>
      <c r="AZ11" s="31">
        <v>9535.5001520000005</v>
      </c>
      <c r="BA11" s="431">
        <v>5687.6411764705881</v>
      </c>
      <c r="BB11" s="31">
        <v>9058.1124999999993</v>
      </c>
      <c r="BC11" s="31">
        <v>9535.5001520000005</v>
      </c>
      <c r="BD11" s="431">
        <v>5687.6411764705881</v>
      </c>
      <c r="BE11" s="31">
        <v>6407.4293980000002</v>
      </c>
      <c r="BF11" s="31">
        <v>6745.1643119999999</v>
      </c>
      <c r="BG11" s="431">
        <v>4091.0941176470587</v>
      </c>
      <c r="BH11" s="31">
        <v>6407.4293980000002</v>
      </c>
      <c r="BI11" s="31">
        <v>6745.1643119999999</v>
      </c>
      <c r="BJ11" s="431">
        <v>4091.0941176470587</v>
      </c>
      <c r="BK11" s="31">
        <v>11348.958909999999</v>
      </c>
      <c r="BL11" s="31">
        <v>11944.385966</v>
      </c>
      <c r="BM11" s="431">
        <v>7743.5705882352941</v>
      </c>
      <c r="BN11" s="31">
        <v>11348.958909999999</v>
      </c>
      <c r="BO11" s="31">
        <v>11944.385966</v>
      </c>
      <c r="BP11" s="431">
        <v>7743.5705882352941</v>
      </c>
      <c r="BQ11" s="31">
        <v>36376.793575000003</v>
      </c>
      <c r="BR11" s="31">
        <v>36774.846667999998</v>
      </c>
      <c r="BS11" s="431">
        <v>19313.623529411765</v>
      </c>
      <c r="BT11" s="31">
        <v>31262.846736</v>
      </c>
      <c r="BU11" s="31">
        <v>31600.439640000001</v>
      </c>
      <c r="BV11" s="431">
        <v>17092.052941176473</v>
      </c>
      <c r="BW11" s="31">
        <v>39967.991449000001</v>
      </c>
      <c r="BX11" s="31">
        <v>40431.165932000004</v>
      </c>
      <c r="BY11" s="431">
        <v>21050.817647058822</v>
      </c>
      <c r="BZ11" s="31">
        <v>34306.721717</v>
      </c>
      <c r="CA11" s="31">
        <v>34697.441910000001</v>
      </c>
      <c r="CB11" s="431">
        <v>18635.941176470587</v>
      </c>
      <c r="CC11" s="31">
        <v>91413.234475000005</v>
      </c>
      <c r="CD11" s="31">
        <v>92158.393377</v>
      </c>
      <c r="CE11" s="431">
        <v>48816.705882352937</v>
      </c>
      <c r="CF11" s="31">
        <v>83597.105756999998</v>
      </c>
      <c r="CG11" s="31">
        <v>84258.605391000005</v>
      </c>
      <c r="CH11" s="431">
        <v>45051.352941176468</v>
      </c>
      <c r="CI11" s="31">
        <v>59603.353667000003</v>
      </c>
      <c r="CJ11" s="31">
        <v>60172.42368</v>
      </c>
      <c r="CK11" s="431">
        <v>32963.882352941175</v>
      </c>
      <c r="CL11" s="31">
        <v>53518.100412</v>
      </c>
      <c r="CM11" s="31">
        <v>54020.645429999997</v>
      </c>
      <c r="CN11" s="431">
        <v>29908.529411764706</v>
      </c>
      <c r="CO11" s="31">
        <v>117030.307549</v>
      </c>
      <c r="CP11" s="31">
        <v>117805.43702100001</v>
      </c>
      <c r="CQ11" s="431">
        <v>66919.523529411759</v>
      </c>
      <c r="CR11" s="31">
        <v>107876.43010500001</v>
      </c>
      <c r="CS11" s="31">
        <v>108553.458144</v>
      </c>
      <c r="CT11" s="431">
        <v>62213.882352941175</v>
      </c>
      <c r="CU11" s="432">
        <v>621.67434900000001</v>
      </c>
      <c r="CV11" s="432">
        <v>673.00425199999995</v>
      </c>
      <c r="CW11" s="432">
        <v>322.36064599999997</v>
      </c>
      <c r="CX11" s="432">
        <v>366.52304700000002</v>
      </c>
      <c r="CY11" s="432">
        <v>638.07311000000004</v>
      </c>
      <c r="CZ11" s="432">
        <v>685.34452799999997</v>
      </c>
      <c r="DA11" s="432">
        <v>1073.5020280000001</v>
      </c>
      <c r="DB11" s="432">
        <v>1125.633834</v>
      </c>
      <c r="DC11" s="432">
        <v>463.52071899999999</v>
      </c>
      <c r="DD11" s="432">
        <v>509.56482</v>
      </c>
      <c r="DE11" s="432">
        <v>634.61415099999999</v>
      </c>
      <c r="DF11" s="432">
        <v>634.61415099999999</v>
      </c>
      <c r="DG11" s="432">
        <v>331.726136</v>
      </c>
      <c r="DH11" s="432">
        <v>331.726136</v>
      </c>
      <c r="DI11" s="432">
        <v>632.91651999999999</v>
      </c>
      <c r="DJ11" s="432">
        <v>632.91651999999999</v>
      </c>
      <c r="DK11" s="432">
        <v>1100.3090549999999</v>
      </c>
      <c r="DL11" s="432">
        <v>1100.3090549999999</v>
      </c>
      <c r="DM11" s="432">
        <v>450.77968900000002</v>
      </c>
      <c r="DN11" s="432">
        <v>450.77968900000002</v>
      </c>
      <c r="DO11" s="432">
        <v>12632.464929</v>
      </c>
      <c r="DP11" s="432">
        <v>13787.75872</v>
      </c>
      <c r="DQ11" s="432">
        <v>8048.6591689999996</v>
      </c>
      <c r="DR11" s="432">
        <v>9141.3815979999999</v>
      </c>
      <c r="DS11" s="432">
        <v>11922.031591000001</v>
      </c>
      <c r="DT11" s="432">
        <v>12977.695852000001</v>
      </c>
      <c r="DU11" s="432">
        <v>18632.309633000001</v>
      </c>
      <c r="DV11" s="432">
        <v>19760.277104000001</v>
      </c>
      <c r="DW11" s="432">
        <v>9495.2585909999998</v>
      </c>
      <c r="DX11" s="432">
        <v>10558.013267</v>
      </c>
    </row>
    <row r="12" spans="1:128" ht="15">
      <c r="B12" s="442" t="s">
        <v>558</v>
      </c>
      <c r="C12" s="266" t="s">
        <v>559</v>
      </c>
      <c r="D12" s="266" t="s">
        <v>537</v>
      </c>
      <c r="E12" s="443">
        <v>14</v>
      </c>
      <c r="F12" s="266" t="s">
        <v>538</v>
      </c>
      <c r="G12" s="269" t="s">
        <v>548</v>
      </c>
      <c r="H12" t="s">
        <v>558</v>
      </c>
      <c r="I12" s="31">
        <v>4321.6595129999996</v>
      </c>
      <c r="J12" s="31">
        <v>4589.3530270000001</v>
      </c>
      <c r="K12" s="431">
        <v>2232.3823529411766</v>
      </c>
      <c r="L12" s="31">
        <v>4272.867886</v>
      </c>
      <c r="M12" s="31">
        <v>4542.4800240000004</v>
      </c>
      <c r="N12" s="431">
        <v>2215.3882352941173</v>
      </c>
      <c r="O12" s="31">
        <v>4702.7665129999996</v>
      </c>
      <c r="P12" s="31">
        <v>4995.5264809999999</v>
      </c>
      <c r="Q12" s="431">
        <v>2420.7058823529414</v>
      </c>
      <c r="R12" s="31">
        <v>4648.4807280000005</v>
      </c>
      <c r="S12" s="31">
        <v>4943.277478</v>
      </c>
      <c r="T12" s="431">
        <v>2402.2411764705885</v>
      </c>
      <c r="U12" s="31">
        <v>8906.4527880000005</v>
      </c>
      <c r="V12" s="31">
        <v>9384.1003180000007</v>
      </c>
      <c r="W12" s="431">
        <v>4976.2588235294115</v>
      </c>
      <c r="X12" s="31">
        <v>8835.0592809999998</v>
      </c>
      <c r="Y12" s="31">
        <v>9319.136724</v>
      </c>
      <c r="Z12" s="431">
        <v>4951.3705882352942</v>
      </c>
      <c r="AA12" s="31">
        <v>6294.0749189999997</v>
      </c>
      <c r="AB12" s="31">
        <v>6657.9916290000001</v>
      </c>
      <c r="AC12" s="431">
        <v>3607.9529411764706</v>
      </c>
      <c r="AD12" s="31">
        <v>6234.4732780000004</v>
      </c>
      <c r="AE12" s="31">
        <v>6602.6290870000003</v>
      </c>
      <c r="AF12" s="431">
        <v>3586.535294117647</v>
      </c>
      <c r="AG12" s="31">
        <v>11048.423494999999</v>
      </c>
      <c r="AH12" s="31">
        <v>11597.042919</v>
      </c>
      <c r="AI12" s="431">
        <v>6672.0705882352941</v>
      </c>
      <c r="AJ12" s="31">
        <v>10964.710396</v>
      </c>
      <c r="AK12" s="31">
        <v>11521.854078</v>
      </c>
      <c r="AL12" s="431">
        <v>6643.0764705882357</v>
      </c>
      <c r="AM12" s="31">
        <v>4371.4606869999998</v>
      </c>
      <c r="AN12" s="31">
        <v>4598.3255669999999</v>
      </c>
      <c r="AO12" s="431">
        <v>2462.5882352941176</v>
      </c>
      <c r="AP12" s="31">
        <v>4371.4606869999998</v>
      </c>
      <c r="AQ12" s="31">
        <v>4598.3255669999999</v>
      </c>
      <c r="AR12" s="431">
        <v>2462.5882352941176</v>
      </c>
      <c r="AS12" s="31">
        <v>4768.6037120000001</v>
      </c>
      <c r="AT12" s="31">
        <v>5018.3332879999998</v>
      </c>
      <c r="AU12" s="431">
        <v>2673.2529411764708</v>
      </c>
      <c r="AV12" s="31">
        <v>4768.6037120000001</v>
      </c>
      <c r="AW12" s="31">
        <v>5018.3332879999998</v>
      </c>
      <c r="AX12" s="431">
        <v>2673.2529411764708</v>
      </c>
      <c r="AY12" s="31">
        <v>9058.1124999999993</v>
      </c>
      <c r="AZ12" s="31">
        <v>9535.5001520000005</v>
      </c>
      <c r="BA12" s="431">
        <v>5687.6411764705881</v>
      </c>
      <c r="BB12" s="31">
        <v>9058.1124999999993</v>
      </c>
      <c r="BC12" s="31">
        <v>9535.5001520000005</v>
      </c>
      <c r="BD12" s="431">
        <v>5687.6411764705881</v>
      </c>
      <c r="BE12" s="31">
        <v>6407.4293980000002</v>
      </c>
      <c r="BF12" s="31">
        <v>6745.1643119999999</v>
      </c>
      <c r="BG12" s="431">
        <v>4091.0941176470587</v>
      </c>
      <c r="BH12" s="31">
        <v>6407.4293980000002</v>
      </c>
      <c r="BI12" s="31">
        <v>6745.1643119999999</v>
      </c>
      <c r="BJ12" s="431">
        <v>4091.0941176470587</v>
      </c>
      <c r="BK12" s="31">
        <v>11348.958909999999</v>
      </c>
      <c r="BL12" s="31">
        <v>11944.385966</v>
      </c>
      <c r="BM12" s="431">
        <v>7743.5705882352941</v>
      </c>
      <c r="BN12" s="31">
        <v>11348.958909999999</v>
      </c>
      <c r="BO12" s="31">
        <v>11944.385966</v>
      </c>
      <c r="BP12" s="431">
        <v>7743.5705882352941</v>
      </c>
      <c r="BQ12" s="31">
        <v>32559.894031</v>
      </c>
      <c r="BR12" s="31">
        <v>32913.011894000003</v>
      </c>
      <c r="BS12" s="431">
        <v>17662.876470588235</v>
      </c>
      <c r="BT12" s="31">
        <v>32003.720119000001</v>
      </c>
      <c r="BU12" s="31">
        <v>32350.19454</v>
      </c>
      <c r="BV12" s="431">
        <v>17417.341176470589</v>
      </c>
      <c r="BW12" s="31">
        <v>35743.192243999998</v>
      </c>
      <c r="BX12" s="31">
        <v>36152.460702999997</v>
      </c>
      <c r="BY12" s="431">
        <v>19252.588235294119</v>
      </c>
      <c r="BZ12" s="31">
        <v>35126.680893999997</v>
      </c>
      <c r="CA12" s="31">
        <v>35528.008306999996</v>
      </c>
      <c r="CB12" s="431">
        <v>18987.588235294119</v>
      </c>
      <c r="CC12" s="31">
        <v>85617.597922999994</v>
      </c>
      <c r="CD12" s="31">
        <v>86300.979963000005</v>
      </c>
      <c r="CE12" s="431">
        <v>46035.058823529413</v>
      </c>
      <c r="CF12" s="31">
        <v>84754.713910999999</v>
      </c>
      <c r="CG12" s="31">
        <v>85428.768639000002</v>
      </c>
      <c r="CH12" s="431">
        <v>45615.76470588235</v>
      </c>
      <c r="CI12" s="31">
        <v>55093.414178999999</v>
      </c>
      <c r="CJ12" s="31">
        <v>55613.482293000001</v>
      </c>
      <c r="CK12" s="431">
        <v>30699.647058823532</v>
      </c>
      <c r="CL12" s="31">
        <v>54420.602316999997</v>
      </c>
      <c r="CM12" s="31">
        <v>54933.227989999999</v>
      </c>
      <c r="CN12" s="431">
        <v>30362.176470588238</v>
      </c>
      <c r="CO12" s="31">
        <v>110253.831255</v>
      </c>
      <c r="CP12" s="31">
        <v>110956.83458900001</v>
      </c>
      <c r="CQ12" s="431">
        <v>63431.529411764699</v>
      </c>
      <c r="CR12" s="31">
        <v>109239.138315</v>
      </c>
      <c r="CS12" s="31">
        <v>109931.07737299999</v>
      </c>
      <c r="CT12" s="431">
        <v>62911.23529411765</v>
      </c>
      <c r="CU12" s="432">
        <v>659.42141300000003</v>
      </c>
      <c r="CV12" s="432">
        <v>665.197362</v>
      </c>
      <c r="CW12" s="432">
        <v>354.695449</v>
      </c>
      <c r="CX12" s="432">
        <v>359.70813700000002</v>
      </c>
      <c r="CY12" s="432">
        <v>672.90607599999998</v>
      </c>
      <c r="CZ12" s="432">
        <v>678.19654400000002</v>
      </c>
      <c r="DA12" s="432">
        <v>1111.9637929999999</v>
      </c>
      <c r="DB12" s="432">
        <v>1117.7915069999999</v>
      </c>
      <c r="DC12" s="432">
        <v>497.33077200000002</v>
      </c>
      <c r="DD12" s="432">
        <v>502.53154499999999</v>
      </c>
      <c r="DE12" s="432">
        <v>634.61415099999999</v>
      </c>
      <c r="DF12" s="432">
        <v>634.61415099999999</v>
      </c>
      <c r="DG12" s="432">
        <v>331.726136</v>
      </c>
      <c r="DH12" s="432">
        <v>331.726136</v>
      </c>
      <c r="DI12" s="432">
        <v>632.91651999999999</v>
      </c>
      <c r="DJ12" s="432">
        <v>632.91651999999999</v>
      </c>
      <c r="DK12" s="432">
        <v>1100.3090549999999</v>
      </c>
      <c r="DL12" s="432">
        <v>1100.3090549999999</v>
      </c>
      <c r="DM12" s="432">
        <v>450.77968900000002</v>
      </c>
      <c r="DN12" s="432">
        <v>450.77968900000002</v>
      </c>
      <c r="DO12" s="432">
        <v>13471.718504</v>
      </c>
      <c r="DP12" s="432">
        <v>13605.137261</v>
      </c>
      <c r="DQ12" s="432">
        <v>8841.3423679999996</v>
      </c>
      <c r="DR12" s="432">
        <v>8967.9463670000005</v>
      </c>
      <c r="DS12" s="432">
        <v>12684.537419</v>
      </c>
      <c r="DT12" s="432">
        <v>12808.011503</v>
      </c>
      <c r="DU12" s="432">
        <v>19445.473526999998</v>
      </c>
      <c r="DV12" s="432">
        <v>19577.783243000002</v>
      </c>
      <c r="DW12" s="432">
        <v>10259.514665000001</v>
      </c>
      <c r="DX12" s="432">
        <v>10384.84403</v>
      </c>
    </row>
    <row r="13" spans="1:128" ht="15">
      <c r="B13" s="442" t="s">
        <v>562</v>
      </c>
      <c r="C13" s="266" t="s">
        <v>563</v>
      </c>
      <c r="D13" s="266" t="s">
        <v>537</v>
      </c>
      <c r="E13" s="443">
        <v>15</v>
      </c>
      <c r="F13" s="444" t="s">
        <v>538</v>
      </c>
      <c r="G13" s="445" t="s">
        <v>552</v>
      </c>
      <c r="H13" t="s">
        <v>562</v>
      </c>
      <c r="I13" s="31">
        <v>4321.6595129999996</v>
      </c>
      <c r="J13" s="31">
        <v>4589.3530270000001</v>
      </c>
      <c r="K13" s="431">
        <v>2232.3823529411766</v>
      </c>
      <c r="L13" s="31">
        <v>4221.8850769999999</v>
      </c>
      <c r="M13" s="31">
        <v>4493.4390960000001</v>
      </c>
      <c r="N13" s="431">
        <v>2197.9235294117643</v>
      </c>
      <c r="O13" s="31">
        <v>4702.7665129999996</v>
      </c>
      <c r="P13" s="31">
        <v>4995.5264809999999</v>
      </c>
      <c r="Q13" s="431">
        <v>2420.7058823529414</v>
      </c>
      <c r="R13" s="31">
        <v>4591.6281159999999</v>
      </c>
      <c r="S13" s="31">
        <v>4888.4903000000004</v>
      </c>
      <c r="T13" s="431">
        <v>2382.3000000000002</v>
      </c>
      <c r="U13" s="31">
        <v>8906.4527880000005</v>
      </c>
      <c r="V13" s="31">
        <v>9384.1003180000007</v>
      </c>
      <c r="W13" s="431">
        <v>4976.2588235294115</v>
      </c>
      <c r="X13" s="31">
        <v>8760.1333279999999</v>
      </c>
      <c r="Y13" s="31">
        <v>9250.866446</v>
      </c>
      <c r="Z13" s="431">
        <v>4925.3294117647056</v>
      </c>
      <c r="AA13" s="31">
        <v>6294.0749189999997</v>
      </c>
      <c r="AB13" s="31">
        <v>6657.9916290000001</v>
      </c>
      <c r="AC13" s="431">
        <v>3607.9529411764706</v>
      </c>
      <c r="AD13" s="31">
        <v>6171.9408540000004</v>
      </c>
      <c r="AE13" s="31">
        <v>6544.4374950000001</v>
      </c>
      <c r="AF13" s="431">
        <v>3564.017647058824</v>
      </c>
      <c r="AG13" s="31">
        <v>11048.423494999999</v>
      </c>
      <c r="AH13" s="31">
        <v>11597.042919</v>
      </c>
      <c r="AI13" s="431">
        <v>6672.0705882352941</v>
      </c>
      <c r="AJ13" s="31">
        <v>10876.853951999999</v>
      </c>
      <c r="AK13" s="31">
        <v>11442.884349</v>
      </c>
      <c r="AL13" s="431">
        <v>6611.6117647058818</v>
      </c>
      <c r="AM13" s="31">
        <v>4371.4606869999998</v>
      </c>
      <c r="AN13" s="31">
        <v>4598.3255669999999</v>
      </c>
      <c r="AO13" s="431">
        <v>2462.5882352941176</v>
      </c>
      <c r="AP13" s="31">
        <v>4371.4606869999998</v>
      </c>
      <c r="AQ13" s="31">
        <v>4598.3255669999999</v>
      </c>
      <c r="AR13" s="431">
        <v>2462.5882352941176</v>
      </c>
      <c r="AS13" s="31">
        <v>4768.6037120000001</v>
      </c>
      <c r="AT13" s="31">
        <v>5018.3332879999998</v>
      </c>
      <c r="AU13" s="431">
        <v>2673.2529411764708</v>
      </c>
      <c r="AV13" s="31">
        <v>4768.6037120000001</v>
      </c>
      <c r="AW13" s="31">
        <v>5018.3332879999998</v>
      </c>
      <c r="AX13" s="431">
        <v>2673.2529411764708</v>
      </c>
      <c r="AY13" s="31">
        <v>9058.1124999999993</v>
      </c>
      <c r="AZ13" s="31">
        <v>9535.5001520000005</v>
      </c>
      <c r="BA13" s="431">
        <v>5687.6411764705881</v>
      </c>
      <c r="BB13" s="31">
        <v>9058.1124999999993</v>
      </c>
      <c r="BC13" s="31">
        <v>9535.5001520000005</v>
      </c>
      <c r="BD13" s="431">
        <v>5687.6411764705881</v>
      </c>
      <c r="BE13" s="31">
        <v>6407.4293980000002</v>
      </c>
      <c r="BF13" s="31">
        <v>6745.1643119999999</v>
      </c>
      <c r="BG13" s="431">
        <v>4091.0941176470587</v>
      </c>
      <c r="BH13" s="31">
        <v>6407.4293980000002</v>
      </c>
      <c r="BI13" s="31">
        <v>6745.1643119999999</v>
      </c>
      <c r="BJ13" s="431">
        <v>4091.0941176470587</v>
      </c>
      <c r="BK13" s="31">
        <v>11348.958909999999</v>
      </c>
      <c r="BL13" s="31">
        <v>11944.385966</v>
      </c>
      <c r="BM13" s="431">
        <v>7743.5705882352941</v>
      </c>
      <c r="BN13" s="31">
        <v>11348.958909999999</v>
      </c>
      <c r="BO13" s="31">
        <v>11944.385966</v>
      </c>
      <c r="BP13" s="431">
        <v>7743.5705882352941</v>
      </c>
      <c r="BQ13" s="31">
        <v>32559.894031</v>
      </c>
      <c r="BR13" s="31">
        <v>32913.011894000003</v>
      </c>
      <c r="BS13" s="431">
        <v>17662.876470588235</v>
      </c>
      <c r="BT13" s="31">
        <v>31418.347715</v>
      </c>
      <c r="BU13" s="31">
        <v>31757.808937999998</v>
      </c>
      <c r="BV13" s="431">
        <v>17160.758823529413</v>
      </c>
      <c r="BW13" s="31">
        <v>35743.192243999998</v>
      </c>
      <c r="BX13" s="31">
        <v>36152.460702999997</v>
      </c>
      <c r="BY13" s="431">
        <v>19252.588235294119</v>
      </c>
      <c r="BZ13" s="31">
        <v>34478.866479999997</v>
      </c>
      <c r="CA13" s="31">
        <v>34871.810876000003</v>
      </c>
      <c r="CB13" s="431">
        <v>18705.176470588238</v>
      </c>
      <c r="CC13" s="31">
        <v>85617.597922999994</v>
      </c>
      <c r="CD13" s="31">
        <v>86300.979963000005</v>
      </c>
      <c r="CE13" s="431">
        <v>46035.058823529413</v>
      </c>
      <c r="CF13" s="31">
        <v>83840.959436000005</v>
      </c>
      <c r="CG13" s="31">
        <v>84505.117429999998</v>
      </c>
      <c r="CH13" s="431">
        <v>45170.529411764706</v>
      </c>
      <c r="CI13" s="31">
        <v>55093.414178999999</v>
      </c>
      <c r="CJ13" s="31">
        <v>55613.482293000001</v>
      </c>
      <c r="CK13" s="431">
        <v>30699.647058823532</v>
      </c>
      <c r="CL13" s="31">
        <v>53707.997384000002</v>
      </c>
      <c r="CM13" s="31">
        <v>54212.670298999998</v>
      </c>
      <c r="CN13" s="431">
        <v>30004.235294117647</v>
      </c>
      <c r="CO13" s="31">
        <v>110253.831255</v>
      </c>
      <c r="CP13" s="31">
        <v>110956.83458900001</v>
      </c>
      <c r="CQ13" s="431">
        <v>63431.529411764699</v>
      </c>
      <c r="CR13" s="31">
        <v>108163.594392</v>
      </c>
      <c r="CS13" s="31">
        <v>108843.770899</v>
      </c>
      <c r="CT13" s="431">
        <v>62360.529411764706</v>
      </c>
      <c r="CU13" s="432">
        <v>659.42141300000003</v>
      </c>
      <c r="CV13" s="432">
        <v>671.359148</v>
      </c>
      <c r="CW13" s="432">
        <v>354.695449</v>
      </c>
      <c r="CX13" s="432">
        <v>365.07796000000002</v>
      </c>
      <c r="CY13" s="432">
        <v>672.90607599999998</v>
      </c>
      <c r="CZ13" s="432">
        <v>683.83346700000004</v>
      </c>
      <c r="DA13" s="432">
        <v>1111.9637929999999</v>
      </c>
      <c r="DB13" s="432">
        <v>1123.978662</v>
      </c>
      <c r="DC13" s="432">
        <v>497.33077200000002</v>
      </c>
      <c r="DD13" s="432">
        <v>508.07855499999999</v>
      </c>
      <c r="DE13" s="432">
        <v>634.61415099999999</v>
      </c>
      <c r="DF13" s="432">
        <v>634.61415099999999</v>
      </c>
      <c r="DG13" s="432">
        <v>331.726136</v>
      </c>
      <c r="DH13" s="432">
        <v>331.726136</v>
      </c>
      <c r="DI13" s="432">
        <v>632.91651999999999</v>
      </c>
      <c r="DJ13" s="432">
        <v>632.91651999999999</v>
      </c>
      <c r="DK13" s="432">
        <v>1100.3090549999999</v>
      </c>
      <c r="DL13" s="432">
        <v>1100.3090549999999</v>
      </c>
      <c r="DM13" s="432">
        <v>450.77968900000002</v>
      </c>
      <c r="DN13" s="432">
        <v>450.77968900000002</v>
      </c>
      <c r="DO13" s="432">
        <v>13471.718504</v>
      </c>
      <c r="DP13" s="432">
        <v>13748.94744</v>
      </c>
      <c r="DQ13" s="432">
        <v>8841.3423679999996</v>
      </c>
      <c r="DR13" s="432">
        <v>9104.5277569999998</v>
      </c>
      <c r="DS13" s="432">
        <v>12684.537419</v>
      </c>
      <c r="DT13" s="432">
        <v>12941.520455</v>
      </c>
      <c r="DU13" s="432">
        <v>19445.473526999998</v>
      </c>
      <c r="DV13" s="432">
        <v>19721.380465999999</v>
      </c>
      <c r="DW13" s="432">
        <v>10259.514665000001</v>
      </c>
      <c r="DX13" s="432">
        <v>10521.112767000001</v>
      </c>
    </row>
    <row r="14" spans="1:128" ht="15">
      <c r="B14" s="442" t="s">
        <v>565</v>
      </c>
      <c r="C14" s="266" t="s">
        <v>566</v>
      </c>
      <c r="D14" s="266" t="s">
        <v>537</v>
      </c>
      <c r="E14" s="443">
        <v>16</v>
      </c>
      <c r="F14" s="266" t="s">
        <v>538</v>
      </c>
      <c r="G14" s="269" t="s">
        <v>556</v>
      </c>
      <c r="H14" t="s">
        <v>565</v>
      </c>
      <c r="I14" s="31">
        <v>4321.6595129999996</v>
      </c>
      <c r="J14" s="31">
        <v>4589.3530270000001</v>
      </c>
      <c r="K14" s="431">
        <v>2232.3823529411766</v>
      </c>
      <c r="L14" s="31">
        <v>4208.3932100000002</v>
      </c>
      <c r="M14" s="31">
        <v>4480.4399350000003</v>
      </c>
      <c r="N14" s="431">
        <v>2193.4</v>
      </c>
      <c r="O14" s="31">
        <v>4702.7665129999996</v>
      </c>
      <c r="P14" s="31">
        <v>4995.5264809999999</v>
      </c>
      <c r="Q14" s="431">
        <v>2420.7058823529414</v>
      </c>
      <c r="R14" s="31">
        <v>4576.5693709999996</v>
      </c>
      <c r="S14" s="31">
        <v>4873.9762229999997</v>
      </c>
      <c r="T14" s="431">
        <v>2376.829411764706</v>
      </c>
      <c r="U14" s="31">
        <v>8906.4527880000005</v>
      </c>
      <c r="V14" s="31">
        <v>9384.1003180000007</v>
      </c>
      <c r="W14" s="431">
        <v>4976.2588235294115</v>
      </c>
      <c r="X14" s="31">
        <v>8740.2480660000001</v>
      </c>
      <c r="Y14" s="31">
        <v>9232.7390460000006</v>
      </c>
      <c r="Z14" s="431">
        <v>4918.8588235294119</v>
      </c>
      <c r="AA14" s="31">
        <v>6294.0749189999997</v>
      </c>
      <c r="AB14" s="31">
        <v>6657.9916290000001</v>
      </c>
      <c r="AC14" s="431">
        <v>3607.9529411764706</v>
      </c>
      <c r="AD14" s="31">
        <v>6155.3620140000003</v>
      </c>
      <c r="AE14" s="31">
        <v>6529.0045040000005</v>
      </c>
      <c r="AF14" s="431">
        <v>3558.5470588235294</v>
      </c>
      <c r="AG14" s="31">
        <v>11048.423494999999</v>
      </c>
      <c r="AH14" s="31">
        <v>11597.042919</v>
      </c>
      <c r="AI14" s="431">
        <v>6672.0705882352941</v>
      </c>
      <c r="AJ14" s="31">
        <v>10853.544357000001</v>
      </c>
      <c r="AK14" s="31">
        <v>11421.927489</v>
      </c>
      <c r="AL14" s="431">
        <v>6602.6647058823528</v>
      </c>
      <c r="AM14" s="31">
        <v>4371.4606869999998</v>
      </c>
      <c r="AN14" s="31">
        <v>4598.3255669999999</v>
      </c>
      <c r="AO14" s="431">
        <v>2462.5882352941176</v>
      </c>
      <c r="AP14" s="31">
        <v>4371.4606869999998</v>
      </c>
      <c r="AQ14" s="31">
        <v>4598.3255669999999</v>
      </c>
      <c r="AR14" s="431">
        <v>2462.5882352941176</v>
      </c>
      <c r="AS14" s="31">
        <v>4768.6037120000001</v>
      </c>
      <c r="AT14" s="31">
        <v>5018.3332879999998</v>
      </c>
      <c r="AU14" s="431">
        <v>2673.2529411764708</v>
      </c>
      <c r="AV14" s="31">
        <v>4768.6037120000001</v>
      </c>
      <c r="AW14" s="31">
        <v>5018.3332879999998</v>
      </c>
      <c r="AX14" s="431">
        <v>2673.2529411764708</v>
      </c>
      <c r="AY14" s="31">
        <v>9058.1124999999993</v>
      </c>
      <c r="AZ14" s="31">
        <v>9535.5001520000005</v>
      </c>
      <c r="BA14" s="431">
        <v>5687.6411764705881</v>
      </c>
      <c r="BB14" s="31">
        <v>9058.1124999999993</v>
      </c>
      <c r="BC14" s="31">
        <v>9535.5001520000005</v>
      </c>
      <c r="BD14" s="431">
        <v>5687.6411764705881</v>
      </c>
      <c r="BE14" s="31">
        <v>6407.4293980000002</v>
      </c>
      <c r="BF14" s="31">
        <v>6745.1643119999999</v>
      </c>
      <c r="BG14" s="431">
        <v>4091.0941176470587</v>
      </c>
      <c r="BH14" s="31">
        <v>6407.4293980000002</v>
      </c>
      <c r="BI14" s="31">
        <v>6745.1643119999999</v>
      </c>
      <c r="BJ14" s="431">
        <v>4091.0941176470587</v>
      </c>
      <c r="BK14" s="31">
        <v>11348.958909999999</v>
      </c>
      <c r="BL14" s="31">
        <v>11944.385966</v>
      </c>
      <c r="BM14" s="431">
        <v>7743.5705882352941</v>
      </c>
      <c r="BN14" s="31">
        <v>11348.958909999999</v>
      </c>
      <c r="BO14" s="31">
        <v>11944.385966</v>
      </c>
      <c r="BP14" s="431">
        <v>7743.5705882352941</v>
      </c>
      <c r="BQ14" s="31">
        <v>32559.894031</v>
      </c>
      <c r="BR14" s="31">
        <v>32913.011894000003</v>
      </c>
      <c r="BS14" s="431">
        <v>17662.876470588235</v>
      </c>
      <c r="BT14" s="31">
        <v>31262.846736</v>
      </c>
      <c r="BU14" s="31">
        <v>31600.439640000001</v>
      </c>
      <c r="BV14" s="431">
        <v>17092.052941176473</v>
      </c>
      <c r="BW14" s="31">
        <v>35743.192243999998</v>
      </c>
      <c r="BX14" s="31">
        <v>36152.460702999997</v>
      </c>
      <c r="BY14" s="431">
        <v>19252.588235294119</v>
      </c>
      <c r="BZ14" s="31">
        <v>34306.721717</v>
      </c>
      <c r="CA14" s="31">
        <v>34697.441910000001</v>
      </c>
      <c r="CB14" s="431">
        <v>18635.941176470587</v>
      </c>
      <c r="CC14" s="31">
        <v>85617.597922999994</v>
      </c>
      <c r="CD14" s="31">
        <v>86300.979963000005</v>
      </c>
      <c r="CE14" s="431">
        <v>46035.058823529413</v>
      </c>
      <c r="CF14" s="31">
        <v>83597.105756999998</v>
      </c>
      <c r="CG14" s="31">
        <v>84258.605391000005</v>
      </c>
      <c r="CH14" s="431">
        <v>45051.352941176468</v>
      </c>
      <c r="CI14" s="31">
        <v>55093.414178999999</v>
      </c>
      <c r="CJ14" s="31">
        <v>55613.482293000001</v>
      </c>
      <c r="CK14" s="431">
        <v>30699.647058823532</v>
      </c>
      <c r="CL14" s="31">
        <v>53518.100412</v>
      </c>
      <c r="CM14" s="31">
        <v>54020.645429999997</v>
      </c>
      <c r="CN14" s="431">
        <v>29908.529411764706</v>
      </c>
      <c r="CO14" s="31">
        <v>110253.831255</v>
      </c>
      <c r="CP14" s="31">
        <v>110956.83458900001</v>
      </c>
      <c r="CQ14" s="431">
        <v>63431.529411764699</v>
      </c>
      <c r="CR14" s="31">
        <v>107876.43010500001</v>
      </c>
      <c r="CS14" s="31">
        <v>108553.458144</v>
      </c>
      <c r="CT14" s="431">
        <v>62213.882352941175</v>
      </c>
      <c r="CU14" s="432">
        <v>659.42141300000003</v>
      </c>
      <c r="CV14" s="432">
        <v>673.00425199999995</v>
      </c>
      <c r="CW14" s="432">
        <v>354.695449</v>
      </c>
      <c r="CX14" s="432">
        <v>366.52304700000002</v>
      </c>
      <c r="CY14" s="432">
        <v>672.90607599999998</v>
      </c>
      <c r="CZ14" s="432">
        <v>685.34452799999997</v>
      </c>
      <c r="DA14" s="432">
        <v>1111.9637929999999</v>
      </c>
      <c r="DB14" s="432">
        <v>1125.633834</v>
      </c>
      <c r="DC14" s="432">
        <v>497.33077200000002</v>
      </c>
      <c r="DD14" s="432">
        <v>509.56482</v>
      </c>
      <c r="DE14" s="432">
        <v>634.61415099999999</v>
      </c>
      <c r="DF14" s="432">
        <v>634.61415099999999</v>
      </c>
      <c r="DG14" s="432">
        <v>331.726136</v>
      </c>
      <c r="DH14" s="432">
        <v>331.726136</v>
      </c>
      <c r="DI14" s="432">
        <v>632.91651999999999</v>
      </c>
      <c r="DJ14" s="432">
        <v>632.91651999999999</v>
      </c>
      <c r="DK14" s="432">
        <v>1100.3090549999999</v>
      </c>
      <c r="DL14" s="432">
        <v>1100.3090549999999</v>
      </c>
      <c r="DM14" s="432">
        <v>450.77968900000002</v>
      </c>
      <c r="DN14" s="432">
        <v>450.77968900000002</v>
      </c>
      <c r="DO14" s="432">
        <v>13471.718504</v>
      </c>
      <c r="DP14" s="432">
        <v>13787.75872</v>
      </c>
      <c r="DQ14" s="432">
        <v>8841.3423679999996</v>
      </c>
      <c r="DR14" s="432">
        <v>9141.3815979999999</v>
      </c>
      <c r="DS14" s="432">
        <v>12684.537419</v>
      </c>
      <c r="DT14" s="432">
        <v>12977.695852000001</v>
      </c>
      <c r="DU14" s="432">
        <v>19445.473526999998</v>
      </c>
      <c r="DV14" s="432">
        <v>19760.277104000001</v>
      </c>
      <c r="DW14" s="432">
        <v>10259.514665000001</v>
      </c>
      <c r="DX14" s="432">
        <v>10558.013267</v>
      </c>
    </row>
    <row r="15" spans="1:128" ht="15">
      <c r="B15" s="442" t="s">
        <v>568</v>
      </c>
      <c r="C15" s="266" t="s">
        <v>569</v>
      </c>
      <c r="D15" s="266" t="s">
        <v>537</v>
      </c>
      <c r="E15" s="443">
        <v>17</v>
      </c>
      <c r="F15" s="266" t="s">
        <v>528</v>
      </c>
      <c r="G15" s="269" t="s">
        <v>552</v>
      </c>
      <c r="H15" t="s">
        <v>568</v>
      </c>
      <c r="I15" s="31">
        <v>5261.4053750000003</v>
      </c>
      <c r="J15" s="31">
        <v>5479.6188549999997</v>
      </c>
      <c r="K15" s="431">
        <v>2550.2941176470586</v>
      </c>
      <c r="L15" s="31">
        <v>4221.8850769999999</v>
      </c>
      <c r="M15" s="31">
        <v>4493.4390960000001</v>
      </c>
      <c r="N15" s="431">
        <v>2197.9235294117643</v>
      </c>
      <c r="O15" s="31">
        <v>5733.6143890000003</v>
      </c>
      <c r="P15" s="31">
        <v>5972.6277280000004</v>
      </c>
      <c r="Q15" s="431">
        <v>2767.2705882352939</v>
      </c>
      <c r="R15" s="31">
        <v>4591.6281159999999</v>
      </c>
      <c r="S15" s="31">
        <v>4888.4903000000004</v>
      </c>
      <c r="T15" s="431">
        <v>2382.3000000000002</v>
      </c>
      <c r="U15" s="31">
        <v>10242.426095999999</v>
      </c>
      <c r="V15" s="31">
        <v>10584.934309</v>
      </c>
      <c r="W15" s="431">
        <v>5433.9117647058829</v>
      </c>
      <c r="X15" s="31">
        <v>8760.1333279999999</v>
      </c>
      <c r="Y15" s="31">
        <v>9250.866446</v>
      </c>
      <c r="Z15" s="431">
        <v>4925.3294117647056</v>
      </c>
      <c r="AA15" s="31">
        <v>7406.3455299999996</v>
      </c>
      <c r="AB15" s="31">
        <v>7677.544809</v>
      </c>
      <c r="AC15" s="431">
        <v>4000.035294117647</v>
      </c>
      <c r="AD15" s="31">
        <v>6171.9408540000004</v>
      </c>
      <c r="AE15" s="31">
        <v>6544.4374950000001</v>
      </c>
      <c r="AF15" s="431">
        <v>3564.017647058824</v>
      </c>
      <c r="AG15" s="31">
        <v>12605.724767</v>
      </c>
      <c r="AH15" s="31">
        <v>12980.620424000001</v>
      </c>
      <c r="AI15" s="431">
        <v>7226.2529411764708</v>
      </c>
      <c r="AJ15" s="31">
        <v>10876.853951999999</v>
      </c>
      <c r="AK15" s="31">
        <v>11442.884349</v>
      </c>
      <c r="AL15" s="431">
        <v>6611.6117647058818</v>
      </c>
      <c r="AM15" s="31">
        <v>4371.4606869999998</v>
      </c>
      <c r="AN15" s="31">
        <v>4598.3255669999999</v>
      </c>
      <c r="AO15" s="431">
        <v>2462.5882352941176</v>
      </c>
      <c r="AP15" s="31">
        <v>4371.4606869999998</v>
      </c>
      <c r="AQ15" s="31">
        <v>4598.3255669999999</v>
      </c>
      <c r="AR15" s="431">
        <v>2462.5882352941176</v>
      </c>
      <c r="AS15" s="31">
        <v>4768.6037120000001</v>
      </c>
      <c r="AT15" s="31">
        <v>5018.3332879999998</v>
      </c>
      <c r="AU15" s="431">
        <v>2673.2529411764708</v>
      </c>
      <c r="AV15" s="31">
        <v>4768.6037120000001</v>
      </c>
      <c r="AW15" s="31">
        <v>5018.3332879999998</v>
      </c>
      <c r="AX15" s="431">
        <v>2673.2529411764708</v>
      </c>
      <c r="AY15" s="31">
        <v>9058.1124999999993</v>
      </c>
      <c r="AZ15" s="31">
        <v>9535.5001520000005</v>
      </c>
      <c r="BA15" s="431">
        <v>5687.6411764705881</v>
      </c>
      <c r="BB15" s="31">
        <v>9058.1124999999993</v>
      </c>
      <c r="BC15" s="31">
        <v>9535.5001520000005</v>
      </c>
      <c r="BD15" s="431">
        <v>5687.6411764705881</v>
      </c>
      <c r="BE15" s="31">
        <v>6407.4293980000002</v>
      </c>
      <c r="BF15" s="31">
        <v>6745.1643119999999</v>
      </c>
      <c r="BG15" s="431">
        <v>4091.0941176470587</v>
      </c>
      <c r="BH15" s="31">
        <v>6407.4293980000002</v>
      </c>
      <c r="BI15" s="31">
        <v>6745.1643119999999</v>
      </c>
      <c r="BJ15" s="431">
        <v>4091.0941176470587</v>
      </c>
      <c r="BK15" s="31">
        <v>11348.958909999999</v>
      </c>
      <c r="BL15" s="31">
        <v>11944.385966</v>
      </c>
      <c r="BM15" s="431">
        <v>7743.5705882352941</v>
      </c>
      <c r="BN15" s="31">
        <v>11348.958909999999</v>
      </c>
      <c r="BO15" s="31">
        <v>11944.385966</v>
      </c>
      <c r="BP15" s="431">
        <v>7743.5705882352941</v>
      </c>
      <c r="BQ15" s="31">
        <v>42562.199591999997</v>
      </c>
      <c r="BR15" s="31">
        <v>43030.416864999999</v>
      </c>
      <c r="BS15" s="431">
        <v>21927.147058823532</v>
      </c>
      <c r="BT15" s="31">
        <v>31418.347715</v>
      </c>
      <c r="BU15" s="31">
        <v>31757.808937999998</v>
      </c>
      <c r="BV15" s="431">
        <v>17160.758823529413</v>
      </c>
      <c r="BW15" s="31">
        <v>46755.571727000002</v>
      </c>
      <c r="BX15" s="31">
        <v>47302.279990000003</v>
      </c>
      <c r="BY15" s="431">
        <v>23886.564705882352</v>
      </c>
      <c r="BZ15" s="31">
        <v>34478.866479999997</v>
      </c>
      <c r="CA15" s="31">
        <v>34871.810876000003</v>
      </c>
      <c r="CB15" s="431">
        <v>18705.176470588238</v>
      </c>
      <c r="CC15" s="31">
        <v>100396.164416</v>
      </c>
      <c r="CD15" s="31">
        <v>101233.294282</v>
      </c>
      <c r="CE15" s="431">
        <v>53127.647058823524</v>
      </c>
      <c r="CF15" s="31">
        <v>83840.959436000005</v>
      </c>
      <c r="CG15" s="31">
        <v>84505.117429999998</v>
      </c>
      <c r="CH15" s="431">
        <v>45170.529411764706</v>
      </c>
      <c r="CI15" s="31">
        <v>66610.376346000005</v>
      </c>
      <c r="CJ15" s="31">
        <v>67250.297395000001</v>
      </c>
      <c r="CK15" s="431">
        <v>36442.529411764706</v>
      </c>
      <c r="CL15" s="31">
        <v>53707.997384000002</v>
      </c>
      <c r="CM15" s="31">
        <v>54212.670298999998</v>
      </c>
      <c r="CN15" s="431">
        <v>30004.235294117647</v>
      </c>
      <c r="CO15" s="31">
        <v>127413.18192</v>
      </c>
      <c r="CP15" s="31">
        <v>128294.613566</v>
      </c>
      <c r="CQ15" s="431">
        <v>72315.558823529427</v>
      </c>
      <c r="CR15" s="31">
        <v>108163.594392</v>
      </c>
      <c r="CS15" s="31">
        <v>108843.770899</v>
      </c>
      <c r="CT15" s="431">
        <v>62360.529411764706</v>
      </c>
      <c r="CU15" s="432">
        <v>565.49379899999997</v>
      </c>
      <c r="CV15" s="432">
        <v>671.359148</v>
      </c>
      <c r="CW15" s="432">
        <v>277.00134400000002</v>
      </c>
      <c r="CX15" s="432">
        <v>365.07796000000002</v>
      </c>
      <c r="CY15" s="432">
        <v>587.13293699999997</v>
      </c>
      <c r="CZ15" s="432">
        <v>683.83346700000004</v>
      </c>
      <c r="DA15" s="432">
        <v>1016.541031</v>
      </c>
      <c r="DB15" s="432">
        <v>1123.978662</v>
      </c>
      <c r="DC15" s="432">
        <v>417.343208</v>
      </c>
      <c r="DD15" s="432">
        <v>508.07855499999999</v>
      </c>
      <c r="DE15" s="432">
        <v>634.61415099999999</v>
      </c>
      <c r="DF15" s="432">
        <v>634.61415099999999</v>
      </c>
      <c r="DG15" s="432">
        <v>331.726136</v>
      </c>
      <c r="DH15" s="432">
        <v>331.726136</v>
      </c>
      <c r="DI15" s="432">
        <v>632.91651999999999</v>
      </c>
      <c r="DJ15" s="432">
        <v>632.91651999999999</v>
      </c>
      <c r="DK15" s="432">
        <v>1100.3090549999999</v>
      </c>
      <c r="DL15" s="432">
        <v>1100.3090549999999</v>
      </c>
      <c r="DM15" s="432">
        <v>450.77968900000002</v>
      </c>
      <c r="DN15" s="432">
        <v>450.77968900000002</v>
      </c>
      <c r="DO15" s="432">
        <v>11496.740384999999</v>
      </c>
      <c r="DP15" s="432">
        <v>13748.94744</v>
      </c>
      <c r="DQ15" s="432">
        <v>6991.3944320000001</v>
      </c>
      <c r="DR15" s="432">
        <v>9104.5277569999998</v>
      </c>
      <c r="DS15" s="432">
        <v>10941.882173</v>
      </c>
      <c r="DT15" s="432">
        <v>12941.520455</v>
      </c>
      <c r="DU15" s="432">
        <v>17588.946021</v>
      </c>
      <c r="DV15" s="432">
        <v>19721.380465999999</v>
      </c>
      <c r="DW15" s="432">
        <v>8543.4873960000004</v>
      </c>
      <c r="DX15" s="432">
        <v>10521.112767000001</v>
      </c>
    </row>
    <row r="16" spans="1:128" ht="15.75" thickBot="1">
      <c r="B16" s="442" t="s">
        <v>570</v>
      </c>
      <c r="C16" s="266" t="s">
        <v>571</v>
      </c>
      <c r="D16" s="266" t="s">
        <v>537</v>
      </c>
      <c r="E16" s="443">
        <v>18</v>
      </c>
      <c r="F16" s="266" t="s">
        <v>527</v>
      </c>
      <c r="G16" s="269" t="s">
        <v>538</v>
      </c>
      <c r="H16" t="s">
        <v>570</v>
      </c>
      <c r="I16" s="31">
        <v>4665.8157950000004</v>
      </c>
      <c r="J16" s="31">
        <v>4918.0006190000004</v>
      </c>
      <c r="K16" s="431">
        <v>2351.1235294117646</v>
      </c>
      <c r="L16" s="31">
        <v>4321.6595129999996</v>
      </c>
      <c r="M16" s="31">
        <v>4589.3530270000001</v>
      </c>
      <c r="N16" s="431">
        <v>2232.3823529411766</v>
      </c>
      <c r="O16" s="31">
        <v>5082.0386470000003</v>
      </c>
      <c r="P16" s="31">
        <v>5358.2407249999997</v>
      </c>
      <c r="Q16" s="431">
        <v>2549.5882352941176</v>
      </c>
      <c r="R16" s="31">
        <v>4702.7665129999996</v>
      </c>
      <c r="S16" s="31">
        <v>4995.5264809999999</v>
      </c>
      <c r="T16" s="431">
        <v>2420.7058823529414</v>
      </c>
      <c r="U16" s="31">
        <v>9402.1102499999997</v>
      </c>
      <c r="V16" s="31">
        <v>9832.7188229999992</v>
      </c>
      <c r="W16" s="431">
        <v>5147.8941176470598</v>
      </c>
      <c r="X16" s="31">
        <v>8906.4527880000005</v>
      </c>
      <c r="Y16" s="31">
        <v>9384.1003180000007</v>
      </c>
      <c r="Z16" s="431">
        <v>4976.2588235294115</v>
      </c>
      <c r="AA16" s="31">
        <v>6708.3033169999999</v>
      </c>
      <c r="AB16" s="31">
        <v>7040.69416</v>
      </c>
      <c r="AC16" s="431">
        <v>3755.588235294118</v>
      </c>
      <c r="AD16" s="31">
        <v>6294.0749189999997</v>
      </c>
      <c r="AE16" s="31">
        <v>6657.9916290000001</v>
      </c>
      <c r="AF16" s="431">
        <v>3607.9529411764706</v>
      </c>
      <c r="AG16" s="31">
        <v>11629.747611000001</v>
      </c>
      <c r="AH16" s="31">
        <v>12116.856196000001</v>
      </c>
      <c r="AI16" s="431">
        <v>6879.6588235294112</v>
      </c>
      <c r="AJ16" s="31">
        <v>11048.423494999999</v>
      </c>
      <c r="AK16" s="31">
        <v>11597.042919</v>
      </c>
      <c r="AL16" s="431">
        <v>6672.0705882352941</v>
      </c>
      <c r="AM16" s="31">
        <v>4371.4606869999998</v>
      </c>
      <c r="AN16" s="31">
        <v>4598.3255669999999</v>
      </c>
      <c r="AO16" s="431">
        <v>2462.5882352941176</v>
      </c>
      <c r="AP16" s="31">
        <v>4371.4606869999998</v>
      </c>
      <c r="AQ16" s="31">
        <v>4598.3255669999999</v>
      </c>
      <c r="AR16" s="431">
        <v>2462.5882352941176</v>
      </c>
      <c r="AS16" s="31">
        <v>4768.6037120000001</v>
      </c>
      <c r="AT16" s="31">
        <v>5018.3332879999998</v>
      </c>
      <c r="AU16" s="431">
        <v>2673.2529411764708</v>
      </c>
      <c r="AV16" s="31">
        <v>4768.6037120000001</v>
      </c>
      <c r="AW16" s="31">
        <v>5018.3332879999998</v>
      </c>
      <c r="AX16" s="431">
        <v>2673.2529411764708</v>
      </c>
      <c r="AY16" s="31">
        <v>9058.1124999999993</v>
      </c>
      <c r="AZ16" s="31">
        <v>9535.5001520000005</v>
      </c>
      <c r="BA16" s="431">
        <v>5687.6411764705881</v>
      </c>
      <c r="BB16" s="31">
        <v>9058.1124999999993</v>
      </c>
      <c r="BC16" s="31">
        <v>9535.5001520000005</v>
      </c>
      <c r="BD16" s="431">
        <v>5687.6411764705881</v>
      </c>
      <c r="BE16" s="31">
        <v>6407.4293980000002</v>
      </c>
      <c r="BF16" s="31">
        <v>6745.1643119999999</v>
      </c>
      <c r="BG16" s="431">
        <v>4091.0941176470587</v>
      </c>
      <c r="BH16" s="31">
        <v>6407.4293980000002</v>
      </c>
      <c r="BI16" s="31">
        <v>6745.1643119999999</v>
      </c>
      <c r="BJ16" s="431">
        <v>4091.0941176470587</v>
      </c>
      <c r="BK16" s="31">
        <v>11348.958909999999</v>
      </c>
      <c r="BL16" s="31">
        <v>11944.385966</v>
      </c>
      <c r="BM16" s="431">
        <v>7743.5705882352941</v>
      </c>
      <c r="BN16" s="31">
        <v>11348.958909999999</v>
      </c>
      <c r="BO16" s="31">
        <v>11944.385966</v>
      </c>
      <c r="BP16" s="431">
        <v>7743.5705882352941</v>
      </c>
      <c r="BQ16" s="31">
        <v>36376.793575000003</v>
      </c>
      <c r="BR16" s="31">
        <v>36774.846667999998</v>
      </c>
      <c r="BS16" s="431">
        <v>19313.623529411765</v>
      </c>
      <c r="BT16" s="31">
        <v>32559.894031</v>
      </c>
      <c r="BU16" s="31">
        <v>32913.011894000003</v>
      </c>
      <c r="BV16" s="431">
        <v>17662.876470588235</v>
      </c>
      <c r="BW16" s="31">
        <v>39967.991449000001</v>
      </c>
      <c r="BX16" s="31">
        <v>40431.165932000004</v>
      </c>
      <c r="BY16" s="431">
        <v>21050.817647058822</v>
      </c>
      <c r="BZ16" s="31">
        <v>35743.192243999998</v>
      </c>
      <c r="CA16" s="31">
        <v>36152.460702999997</v>
      </c>
      <c r="CB16" s="431">
        <v>19252.588235294119</v>
      </c>
      <c r="CC16" s="31">
        <v>91413.234475000005</v>
      </c>
      <c r="CD16" s="31">
        <v>92158.393377</v>
      </c>
      <c r="CE16" s="431">
        <v>48816.705882352937</v>
      </c>
      <c r="CF16" s="31">
        <v>85617.597922999994</v>
      </c>
      <c r="CG16" s="31">
        <v>86300.979963000005</v>
      </c>
      <c r="CH16" s="431">
        <v>46035.058823529413</v>
      </c>
      <c r="CI16" s="31">
        <v>59603.353667000003</v>
      </c>
      <c r="CJ16" s="31">
        <v>60172.42368</v>
      </c>
      <c r="CK16" s="431">
        <v>32963.882352941175</v>
      </c>
      <c r="CL16" s="31">
        <v>55093.414178999999</v>
      </c>
      <c r="CM16" s="31">
        <v>55613.482293000001</v>
      </c>
      <c r="CN16" s="431">
        <v>30699.647058823532</v>
      </c>
      <c r="CO16" s="31">
        <v>117030.307549</v>
      </c>
      <c r="CP16" s="31">
        <v>117805.43702100001</v>
      </c>
      <c r="CQ16" s="431">
        <v>66919.523529411759</v>
      </c>
      <c r="CR16" s="31">
        <v>110253.831255</v>
      </c>
      <c r="CS16" s="31">
        <v>110956.83458900001</v>
      </c>
      <c r="CT16" s="431">
        <v>63431.529411764699</v>
      </c>
      <c r="CU16" s="432">
        <v>621.67434900000001</v>
      </c>
      <c r="CV16" s="432">
        <v>659.42141300000003</v>
      </c>
      <c r="CW16" s="432">
        <v>322.36064599999997</v>
      </c>
      <c r="CX16" s="432">
        <v>354.695449</v>
      </c>
      <c r="CY16" s="432">
        <v>638.07311000000004</v>
      </c>
      <c r="CZ16" s="432">
        <v>672.90607599999998</v>
      </c>
      <c r="DA16" s="432">
        <v>1073.5020280000001</v>
      </c>
      <c r="DB16" s="432">
        <v>1111.9637929999999</v>
      </c>
      <c r="DC16" s="432">
        <v>463.52071899999999</v>
      </c>
      <c r="DD16" s="432">
        <v>497.33077200000002</v>
      </c>
      <c r="DE16" s="432">
        <v>634.61415099999999</v>
      </c>
      <c r="DF16" s="432">
        <v>634.61415099999999</v>
      </c>
      <c r="DG16" s="432">
        <v>331.726136</v>
      </c>
      <c r="DH16" s="432">
        <v>331.726136</v>
      </c>
      <c r="DI16" s="432">
        <v>632.91651999999999</v>
      </c>
      <c r="DJ16" s="432">
        <v>632.91651999999999</v>
      </c>
      <c r="DK16" s="432">
        <v>1100.3090549999999</v>
      </c>
      <c r="DL16" s="432">
        <v>1100.3090549999999</v>
      </c>
      <c r="DM16" s="432">
        <v>450.77968900000002</v>
      </c>
      <c r="DN16" s="432">
        <v>450.77968900000002</v>
      </c>
      <c r="DO16" s="432">
        <v>12632.464929</v>
      </c>
      <c r="DP16" s="432">
        <v>13471.718504</v>
      </c>
      <c r="DQ16" s="432">
        <v>8048.6591689999996</v>
      </c>
      <c r="DR16" s="432">
        <v>8841.3423679999996</v>
      </c>
      <c r="DS16" s="432">
        <v>11922.031591000001</v>
      </c>
      <c r="DT16" s="432">
        <v>12684.537419</v>
      </c>
      <c r="DU16" s="432">
        <v>18632.309633000001</v>
      </c>
      <c r="DV16" s="432">
        <v>19445.473526999998</v>
      </c>
      <c r="DW16" s="432">
        <v>9495.2585909999998</v>
      </c>
      <c r="DX16" s="432">
        <v>10259.514665000001</v>
      </c>
    </row>
    <row r="17" spans="2:128" ht="15">
      <c r="B17" s="446" t="s">
        <v>573</v>
      </c>
      <c r="C17" s="260" t="s">
        <v>574</v>
      </c>
      <c r="D17" s="260" t="s">
        <v>540</v>
      </c>
      <c r="E17" s="447">
        <v>10</v>
      </c>
      <c r="F17" s="448" t="s">
        <v>527</v>
      </c>
      <c r="G17" s="449" t="s">
        <v>538</v>
      </c>
      <c r="H17" t="s">
        <v>573</v>
      </c>
      <c r="I17" s="31">
        <v>4559.9560270000002</v>
      </c>
      <c r="J17" s="31">
        <v>4847.755091</v>
      </c>
      <c r="K17" s="431">
        <v>2333.2411764705885</v>
      </c>
      <c r="L17" s="31">
        <v>4349.416671</v>
      </c>
      <c r="M17" s="31">
        <v>4623.8945729999996</v>
      </c>
      <c r="N17" s="431">
        <v>2246.8529411764707</v>
      </c>
      <c r="O17" s="31">
        <v>4985.8557499999997</v>
      </c>
      <c r="P17" s="31">
        <v>5301.8094540000002</v>
      </c>
      <c r="Q17" s="431">
        <v>2536.6529411764704</v>
      </c>
      <c r="R17" s="31">
        <v>4738.7353899999998</v>
      </c>
      <c r="S17" s="31">
        <v>5039.2105780000002</v>
      </c>
      <c r="T17" s="431">
        <v>2437.2235294117645</v>
      </c>
      <c r="U17" s="31">
        <v>9130.4001000000007</v>
      </c>
      <c r="V17" s="31">
        <v>9636.3555610000003</v>
      </c>
      <c r="W17" s="431">
        <v>5090.6470588235297</v>
      </c>
      <c r="X17" s="31">
        <v>8914.2748090000005</v>
      </c>
      <c r="Y17" s="31">
        <v>9404.2200319999993</v>
      </c>
      <c r="Z17" s="431">
        <v>4988.7823529411762</v>
      </c>
      <c r="AA17" s="31">
        <v>6493.8326790000001</v>
      </c>
      <c r="AB17" s="31">
        <v>6880.770117</v>
      </c>
      <c r="AC17" s="431">
        <v>3712.7647058823532</v>
      </c>
      <c r="AD17" s="31">
        <v>6303.8412580000004</v>
      </c>
      <c r="AE17" s="31">
        <v>6677.0178839999999</v>
      </c>
      <c r="AF17" s="431">
        <v>3620.4235294117648</v>
      </c>
      <c r="AG17" s="31">
        <v>11212.753333000001</v>
      </c>
      <c r="AH17" s="31">
        <v>11793.57035</v>
      </c>
      <c r="AI17" s="431">
        <v>6766.4117647058829</v>
      </c>
      <c r="AJ17" s="31">
        <v>11031.38421</v>
      </c>
      <c r="AK17" s="31">
        <v>11594.868651000001</v>
      </c>
      <c r="AL17" s="431">
        <v>6675.1176470588234</v>
      </c>
      <c r="AM17" s="31">
        <v>4693.6333249999998</v>
      </c>
      <c r="AN17" s="31">
        <v>4930.6884520000003</v>
      </c>
      <c r="AO17" s="431">
        <v>2568.1058823529411</v>
      </c>
      <c r="AP17" s="31">
        <v>4457.6882230000001</v>
      </c>
      <c r="AQ17" s="31">
        <v>4687.2882360000003</v>
      </c>
      <c r="AR17" s="431">
        <v>2491.0470588235294</v>
      </c>
      <c r="AS17" s="31">
        <v>5161.8280379999997</v>
      </c>
      <c r="AT17" s="31">
        <v>5423.9651270000004</v>
      </c>
      <c r="AU17" s="431">
        <v>2799.2352941176473</v>
      </c>
      <c r="AV17" s="31">
        <v>4873.8323780000001</v>
      </c>
      <c r="AW17" s="31">
        <v>5126.9145259999996</v>
      </c>
      <c r="AX17" s="431">
        <v>2707.2352941176468</v>
      </c>
      <c r="AY17" s="31">
        <v>9418.4029470000005</v>
      </c>
      <c r="AZ17" s="31">
        <v>9908.0311490000004</v>
      </c>
      <c r="BA17" s="431">
        <v>5780.9529411764706</v>
      </c>
      <c r="BB17" s="31">
        <v>9154.8846059999996</v>
      </c>
      <c r="BC17" s="31">
        <v>9635.4336370000001</v>
      </c>
      <c r="BD17" s="431">
        <v>5713.0470588235294</v>
      </c>
      <c r="BE17" s="31">
        <v>6696.0580049999999</v>
      </c>
      <c r="BF17" s="31">
        <v>7045.3705330000003</v>
      </c>
      <c r="BG17" s="431">
        <v>4177.7941176470595</v>
      </c>
      <c r="BH17" s="31">
        <v>6484.5631530000001</v>
      </c>
      <c r="BI17" s="31">
        <v>6825.2881550000002</v>
      </c>
      <c r="BJ17" s="431">
        <v>4114.5058823529416</v>
      </c>
      <c r="BK17" s="31">
        <v>11639.475498</v>
      </c>
      <c r="BL17" s="31">
        <v>12248.099643</v>
      </c>
      <c r="BM17" s="431">
        <v>7781.7823529411762</v>
      </c>
      <c r="BN17" s="31">
        <v>11427.030301999999</v>
      </c>
      <c r="BO17" s="31">
        <v>12025.774454</v>
      </c>
      <c r="BP17" s="431">
        <v>7756.5058823529416</v>
      </c>
      <c r="BQ17" s="31">
        <v>36691.424143999997</v>
      </c>
      <c r="BR17" s="31">
        <v>37092.552873000001</v>
      </c>
      <c r="BS17" s="431">
        <v>19315.682352941178</v>
      </c>
      <c r="BT17" s="31">
        <v>33235.201616999999</v>
      </c>
      <c r="BU17" s="31">
        <v>33596.214054999997</v>
      </c>
      <c r="BV17" s="431">
        <v>17921.405882352941</v>
      </c>
      <c r="BW17" s="31">
        <v>40680.331964999998</v>
      </c>
      <c r="BX17" s="31">
        <v>41150.789058000002</v>
      </c>
      <c r="BY17" s="431">
        <v>21173.98823529412</v>
      </c>
      <c r="BZ17" s="31">
        <v>36587.198900000003</v>
      </c>
      <c r="CA17" s="31">
        <v>37006.986835000003</v>
      </c>
      <c r="CB17" s="431">
        <v>19568.411764705881</v>
      </c>
      <c r="CC17" s="31">
        <v>90500.150624999995</v>
      </c>
      <c r="CD17" s="31">
        <v>91242.616792000001</v>
      </c>
      <c r="CE17" s="431">
        <v>48134.882352941175</v>
      </c>
      <c r="CF17" s="31">
        <v>86277.764320000002</v>
      </c>
      <c r="CG17" s="31">
        <v>86970.236308000007</v>
      </c>
      <c r="CH17" s="431">
        <v>46287.647058823532</v>
      </c>
      <c r="CI17" s="31">
        <v>59045.824845000003</v>
      </c>
      <c r="CJ17" s="31">
        <v>59614.018309999999</v>
      </c>
      <c r="CK17" s="431">
        <v>32566.176470588238</v>
      </c>
      <c r="CL17" s="31">
        <v>55647.374811000002</v>
      </c>
      <c r="CM17" s="31">
        <v>56174.933561999998</v>
      </c>
      <c r="CN17" s="431">
        <v>30945.823529411762</v>
      </c>
      <c r="CO17" s="31">
        <v>114534.122432</v>
      </c>
      <c r="CP17" s="31">
        <v>115302.55641600001</v>
      </c>
      <c r="CQ17" s="431">
        <v>65358.935294117648</v>
      </c>
      <c r="CR17" s="31">
        <v>110653.638295</v>
      </c>
      <c r="CS17" s="31">
        <v>111366.353053</v>
      </c>
      <c r="CT17" s="431">
        <v>63563.76470588235</v>
      </c>
      <c r="CU17" s="432">
        <v>734.08731499999999</v>
      </c>
      <c r="CV17" s="432">
        <v>683.74883</v>
      </c>
      <c r="CW17" s="432">
        <v>407.62773199999998</v>
      </c>
      <c r="CX17" s="432">
        <v>372.52975900000001</v>
      </c>
      <c r="CY17" s="432">
        <v>758.03111000000001</v>
      </c>
      <c r="CZ17" s="432">
        <v>699.77434600000004</v>
      </c>
      <c r="DA17" s="432">
        <v>1238.8541889999999</v>
      </c>
      <c r="DB17" s="432">
        <v>1150.5725870000001</v>
      </c>
      <c r="DC17" s="432">
        <v>573.19377799999995</v>
      </c>
      <c r="DD17" s="432">
        <v>521.556735</v>
      </c>
      <c r="DE17" s="432">
        <v>691.529808</v>
      </c>
      <c r="DF17" s="432">
        <v>650.09659899999997</v>
      </c>
      <c r="DG17" s="432">
        <v>374.12330400000002</v>
      </c>
      <c r="DH17" s="432">
        <v>343.08768500000002</v>
      </c>
      <c r="DI17" s="432">
        <v>698.50764300000003</v>
      </c>
      <c r="DJ17" s="432">
        <v>650.78114600000004</v>
      </c>
      <c r="DK17" s="432">
        <v>1192.5133229999999</v>
      </c>
      <c r="DL17" s="432">
        <v>1125.527859</v>
      </c>
      <c r="DM17" s="432">
        <v>512.705736</v>
      </c>
      <c r="DN17" s="432">
        <v>467.473005</v>
      </c>
      <c r="DO17" s="432">
        <v>14468.030395</v>
      </c>
      <c r="DP17" s="432">
        <v>13836.273499000001</v>
      </c>
      <c r="DQ17" s="432">
        <v>9489.5396330000003</v>
      </c>
      <c r="DR17" s="432">
        <v>9104.1879310000004</v>
      </c>
      <c r="DS17" s="432">
        <v>13928.215962</v>
      </c>
      <c r="DT17" s="432">
        <v>13110.187765999999</v>
      </c>
      <c r="DU17" s="432">
        <v>21366.530280999999</v>
      </c>
      <c r="DV17" s="432">
        <v>20062.064929</v>
      </c>
      <c r="DW17" s="432">
        <v>11373.259635</v>
      </c>
      <c r="DX17" s="432">
        <v>10650.784441</v>
      </c>
    </row>
    <row r="18" spans="2:128" ht="15">
      <c r="B18" s="442" t="s">
        <v>576</v>
      </c>
      <c r="C18" s="266" t="s">
        <v>577</v>
      </c>
      <c r="D18" s="266" t="s">
        <v>540</v>
      </c>
      <c r="E18" s="443">
        <v>11</v>
      </c>
      <c r="F18" s="444" t="s">
        <v>527</v>
      </c>
      <c r="G18" s="445" t="s">
        <v>556</v>
      </c>
      <c r="H18" t="s">
        <v>576</v>
      </c>
      <c r="I18" s="31">
        <v>4559.9560270000002</v>
      </c>
      <c r="J18" s="31">
        <v>4847.755091</v>
      </c>
      <c r="K18" s="431">
        <v>2333.2411764705885</v>
      </c>
      <c r="L18" s="31">
        <v>4272.867886</v>
      </c>
      <c r="M18" s="31">
        <v>4542.4800240000004</v>
      </c>
      <c r="N18" s="431">
        <v>2215.3882352941173</v>
      </c>
      <c r="O18" s="31">
        <v>4985.8557499999997</v>
      </c>
      <c r="P18" s="31">
        <v>5301.8094540000002</v>
      </c>
      <c r="Q18" s="431">
        <v>2536.6529411764704</v>
      </c>
      <c r="R18" s="31">
        <v>4648.4807280000005</v>
      </c>
      <c r="S18" s="31">
        <v>4943.277478</v>
      </c>
      <c r="T18" s="431">
        <v>2402.2411764705885</v>
      </c>
      <c r="U18" s="31">
        <v>9130.4001000000007</v>
      </c>
      <c r="V18" s="31">
        <v>9636.3555610000003</v>
      </c>
      <c r="W18" s="431">
        <v>5090.6470588235297</v>
      </c>
      <c r="X18" s="31">
        <v>8835.0592809999998</v>
      </c>
      <c r="Y18" s="31">
        <v>9319.136724</v>
      </c>
      <c r="Z18" s="431">
        <v>4951.3705882352942</v>
      </c>
      <c r="AA18" s="31">
        <v>6493.8326790000001</v>
      </c>
      <c r="AB18" s="31">
        <v>6880.770117</v>
      </c>
      <c r="AC18" s="431">
        <v>3712.7647058823532</v>
      </c>
      <c r="AD18" s="31">
        <v>6234.4732780000004</v>
      </c>
      <c r="AE18" s="31">
        <v>6602.6290870000003</v>
      </c>
      <c r="AF18" s="431">
        <v>3586.535294117647</v>
      </c>
      <c r="AG18" s="31">
        <v>11212.753333000001</v>
      </c>
      <c r="AH18" s="31">
        <v>11793.57035</v>
      </c>
      <c r="AI18" s="431">
        <v>6766.4117647058829</v>
      </c>
      <c r="AJ18" s="31">
        <v>10964.710396</v>
      </c>
      <c r="AK18" s="31">
        <v>11521.854078</v>
      </c>
      <c r="AL18" s="431">
        <v>6643.0764705882357</v>
      </c>
      <c r="AM18" s="31">
        <v>4693.6333249999998</v>
      </c>
      <c r="AN18" s="31">
        <v>4930.6884520000003</v>
      </c>
      <c r="AO18" s="431">
        <v>2568.1058823529411</v>
      </c>
      <c r="AP18" s="31">
        <v>4371.4606869999998</v>
      </c>
      <c r="AQ18" s="31">
        <v>4598.3255669999999</v>
      </c>
      <c r="AR18" s="431">
        <v>2462.5882352941176</v>
      </c>
      <c r="AS18" s="31">
        <v>5161.8280379999997</v>
      </c>
      <c r="AT18" s="31">
        <v>5423.9651270000004</v>
      </c>
      <c r="AU18" s="431">
        <v>2799.2352941176473</v>
      </c>
      <c r="AV18" s="31">
        <v>4768.6037120000001</v>
      </c>
      <c r="AW18" s="31">
        <v>5018.3332879999998</v>
      </c>
      <c r="AX18" s="431">
        <v>2673.2529411764708</v>
      </c>
      <c r="AY18" s="31">
        <v>9418.4029470000005</v>
      </c>
      <c r="AZ18" s="31">
        <v>9908.0311490000004</v>
      </c>
      <c r="BA18" s="431">
        <v>5780.9529411764706</v>
      </c>
      <c r="BB18" s="31">
        <v>9058.1124999999993</v>
      </c>
      <c r="BC18" s="31">
        <v>9535.5001520000005</v>
      </c>
      <c r="BD18" s="431">
        <v>5687.6411764705881</v>
      </c>
      <c r="BE18" s="31">
        <v>6696.0580049999999</v>
      </c>
      <c r="BF18" s="31">
        <v>7045.3705330000003</v>
      </c>
      <c r="BG18" s="431">
        <v>4177.7941176470595</v>
      </c>
      <c r="BH18" s="31">
        <v>6407.4293980000002</v>
      </c>
      <c r="BI18" s="31">
        <v>6745.1643119999999</v>
      </c>
      <c r="BJ18" s="431">
        <v>4091.0941176470587</v>
      </c>
      <c r="BK18" s="31">
        <v>11639.475498</v>
      </c>
      <c r="BL18" s="31">
        <v>12248.099643</v>
      </c>
      <c r="BM18" s="431">
        <v>7781.7823529411762</v>
      </c>
      <c r="BN18" s="31">
        <v>11348.958909999999</v>
      </c>
      <c r="BO18" s="31">
        <v>11944.385966</v>
      </c>
      <c r="BP18" s="431">
        <v>7743.5705882352941</v>
      </c>
      <c r="BQ18" s="31">
        <v>36691.424143999997</v>
      </c>
      <c r="BR18" s="31">
        <v>37092.552873000001</v>
      </c>
      <c r="BS18" s="431">
        <v>19315.682352941178</v>
      </c>
      <c r="BT18" s="31">
        <v>32003.720119000001</v>
      </c>
      <c r="BU18" s="31">
        <v>32350.19454</v>
      </c>
      <c r="BV18" s="431">
        <v>17417.341176470589</v>
      </c>
      <c r="BW18" s="31">
        <v>40680.331964999998</v>
      </c>
      <c r="BX18" s="31">
        <v>41150.789058000002</v>
      </c>
      <c r="BY18" s="431">
        <v>21173.98823529412</v>
      </c>
      <c r="BZ18" s="31">
        <v>35126.680893999997</v>
      </c>
      <c r="CA18" s="31">
        <v>35528.008306999996</v>
      </c>
      <c r="CB18" s="431">
        <v>18987.588235294119</v>
      </c>
      <c r="CC18" s="31">
        <v>90500.150624999995</v>
      </c>
      <c r="CD18" s="31">
        <v>91242.616792000001</v>
      </c>
      <c r="CE18" s="431">
        <v>48134.882352941175</v>
      </c>
      <c r="CF18" s="31">
        <v>84754.713910999999</v>
      </c>
      <c r="CG18" s="31">
        <v>85428.768639000002</v>
      </c>
      <c r="CH18" s="431">
        <v>45615.76470588235</v>
      </c>
      <c r="CI18" s="31">
        <v>59045.824845000003</v>
      </c>
      <c r="CJ18" s="31">
        <v>59614.018309999999</v>
      </c>
      <c r="CK18" s="431">
        <v>32566.176470588238</v>
      </c>
      <c r="CL18" s="31">
        <v>54420.602316999997</v>
      </c>
      <c r="CM18" s="31">
        <v>54933.227989999999</v>
      </c>
      <c r="CN18" s="431">
        <v>30362.176470588238</v>
      </c>
      <c r="CO18" s="31">
        <v>114534.122432</v>
      </c>
      <c r="CP18" s="31">
        <v>115302.55641600001</v>
      </c>
      <c r="CQ18" s="431">
        <v>65358.935294117648</v>
      </c>
      <c r="CR18" s="31">
        <v>109239.138315</v>
      </c>
      <c r="CS18" s="31">
        <v>109931.07737299999</v>
      </c>
      <c r="CT18" s="431">
        <v>62911.23529411765</v>
      </c>
      <c r="CU18" s="432">
        <v>734.08731499999999</v>
      </c>
      <c r="CV18" s="432">
        <v>665.197362</v>
      </c>
      <c r="CW18" s="432">
        <v>407.62773199999998</v>
      </c>
      <c r="CX18" s="432">
        <v>359.70813700000002</v>
      </c>
      <c r="CY18" s="432">
        <v>758.03111000000001</v>
      </c>
      <c r="CZ18" s="432">
        <v>678.19654400000002</v>
      </c>
      <c r="DA18" s="432">
        <v>1238.8541889999999</v>
      </c>
      <c r="DB18" s="432">
        <v>1117.7915069999999</v>
      </c>
      <c r="DC18" s="432">
        <v>573.19377799999995</v>
      </c>
      <c r="DD18" s="432">
        <v>502.53154499999999</v>
      </c>
      <c r="DE18" s="432">
        <v>691.529808</v>
      </c>
      <c r="DF18" s="432">
        <v>634.61415099999999</v>
      </c>
      <c r="DG18" s="432">
        <v>374.12330400000002</v>
      </c>
      <c r="DH18" s="432">
        <v>331.726136</v>
      </c>
      <c r="DI18" s="432">
        <v>698.50764300000003</v>
      </c>
      <c r="DJ18" s="432">
        <v>632.91651999999999</v>
      </c>
      <c r="DK18" s="432">
        <v>1192.5133229999999</v>
      </c>
      <c r="DL18" s="432">
        <v>1100.3090549999999</v>
      </c>
      <c r="DM18" s="432">
        <v>512.705736</v>
      </c>
      <c r="DN18" s="432">
        <v>450.77968900000002</v>
      </c>
      <c r="DO18" s="432">
        <v>14468.030395</v>
      </c>
      <c r="DP18" s="432">
        <v>13605.137261</v>
      </c>
      <c r="DQ18" s="432">
        <v>9489.5396330000003</v>
      </c>
      <c r="DR18" s="432">
        <v>8967.9463670000005</v>
      </c>
      <c r="DS18" s="432">
        <v>13928.215962</v>
      </c>
      <c r="DT18" s="432">
        <v>12808.011503</v>
      </c>
      <c r="DU18" s="432">
        <v>21366.530280999999</v>
      </c>
      <c r="DV18" s="432">
        <v>19577.783243000002</v>
      </c>
      <c r="DW18" s="432">
        <v>11373.259635</v>
      </c>
      <c r="DX18" s="432">
        <v>10384.84403</v>
      </c>
    </row>
    <row r="19" spans="2:128" ht="15">
      <c r="B19" s="442" t="s">
        <v>579</v>
      </c>
      <c r="C19" s="266" t="s">
        <v>580</v>
      </c>
      <c r="D19" s="266" t="s">
        <v>540</v>
      </c>
      <c r="E19" s="443">
        <v>12</v>
      </c>
      <c r="F19" s="444" t="s">
        <v>527</v>
      </c>
      <c r="G19" s="445" t="s">
        <v>581</v>
      </c>
      <c r="H19" t="s">
        <v>579</v>
      </c>
      <c r="I19" s="31">
        <v>4559.9560270000002</v>
      </c>
      <c r="J19" s="31">
        <v>4847.755091</v>
      </c>
      <c r="K19" s="431">
        <v>2333.2411764705885</v>
      </c>
      <c r="L19" s="31">
        <v>4255.0862580000003</v>
      </c>
      <c r="M19" s="31">
        <v>4523.5764040000004</v>
      </c>
      <c r="N19" s="431">
        <v>2208.8176470588237</v>
      </c>
      <c r="O19" s="31">
        <v>4985.8557499999997</v>
      </c>
      <c r="P19" s="31">
        <v>5301.8094540000002</v>
      </c>
      <c r="Q19" s="431">
        <v>2536.6529411764704</v>
      </c>
      <c r="R19" s="31">
        <v>4627.4964389999996</v>
      </c>
      <c r="S19" s="31">
        <v>4920.9699389999996</v>
      </c>
      <c r="T19" s="431">
        <v>2393.7705882352943</v>
      </c>
      <c r="U19" s="31">
        <v>9130.4001000000007</v>
      </c>
      <c r="V19" s="31">
        <v>9636.3555610000003</v>
      </c>
      <c r="W19" s="431">
        <v>5090.6470588235297</v>
      </c>
      <c r="X19" s="31">
        <v>8816.6090910000003</v>
      </c>
      <c r="Y19" s="31">
        <v>9299.3191409999999</v>
      </c>
      <c r="Z19" s="431">
        <v>4942.8</v>
      </c>
      <c r="AA19" s="31">
        <v>6493.8326790000001</v>
      </c>
      <c r="AB19" s="31">
        <v>6880.770117</v>
      </c>
      <c r="AC19" s="431">
        <v>3712.7647058823532</v>
      </c>
      <c r="AD19" s="31">
        <v>6218.3567110000004</v>
      </c>
      <c r="AE19" s="31">
        <v>6585.334793</v>
      </c>
      <c r="AF19" s="431">
        <v>3578.4882352941177</v>
      </c>
      <c r="AG19" s="31">
        <v>11212.753333000001</v>
      </c>
      <c r="AH19" s="31">
        <v>11793.57035</v>
      </c>
      <c r="AI19" s="431">
        <v>6766.4117647058829</v>
      </c>
      <c r="AJ19" s="31">
        <v>10949.183835</v>
      </c>
      <c r="AK19" s="31">
        <v>11504.855615</v>
      </c>
      <c r="AL19" s="431">
        <v>6634.6058823529411</v>
      </c>
      <c r="AM19" s="31">
        <v>4693.6333249999998</v>
      </c>
      <c r="AN19" s="31">
        <v>4930.6884520000003</v>
      </c>
      <c r="AO19" s="431">
        <v>2568.1058823529411</v>
      </c>
      <c r="AP19" s="31">
        <v>4351.3868910000001</v>
      </c>
      <c r="AQ19" s="31">
        <v>4577.6115920000002</v>
      </c>
      <c r="AR19" s="431">
        <v>2456.1176470588234</v>
      </c>
      <c r="AS19" s="31">
        <v>5161.8280379999997</v>
      </c>
      <c r="AT19" s="31">
        <v>5423.9651270000004</v>
      </c>
      <c r="AU19" s="431">
        <v>2799.2352941176473</v>
      </c>
      <c r="AV19" s="31">
        <v>4744.1289729999999</v>
      </c>
      <c r="AW19" s="31">
        <v>4993.0735350000004</v>
      </c>
      <c r="AX19" s="431">
        <v>2665.6823529411768</v>
      </c>
      <c r="AY19" s="31">
        <v>9418.4029470000005</v>
      </c>
      <c r="AZ19" s="31">
        <v>9908.0311490000004</v>
      </c>
      <c r="BA19" s="431">
        <v>5780.9529411764706</v>
      </c>
      <c r="BB19" s="31">
        <v>9035.5619289999995</v>
      </c>
      <c r="BC19" s="31">
        <v>9512.2218790000006</v>
      </c>
      <c r="BD19" s="431">
        <v>5682.1705882352944</v>
      </c>
      <c r="BE19" s="31">
        <v>6696.0580049999999</v>
      </c>
      <c r="BF19" s="31">
        <v>7045.3705330000003</v>
      </c>
      <c r="BG19" s="431">
        <v>4177.7941176470595</v>
      </c>
      <c r="BH19" s="31">
        <v>6389.4931130000004</v>
      </c>
      <c r="BI19" s="31">
        <v>6726.5404040000003</v>
      </c>
      <c r="BJ19" s="431">
        <v>4085.5705882352945</v>
      </c>
      <c r="BK19" s="31">
        <v>11639.475498</v>
      </c>
      <c r="BL19" s="31">
        <v>12248.099643</v>
      </c>
      <c r="BM19" s="431">
        <v>7781.7823529411762</v>
      </c>
      <c r="BN19" s="31">
        <v>11330.778649</v>
      </c>
      <c r="BO19" s="31">
        <v>11925.452499999999</v>
      </c>
      <c r="BP19" s="431">
        <v>7741.1</v>
      </c>
      <c r="BQ19" s="31">
        <v>36691.424143999997</v>
      </c>
      <c r="BR19" s="31">
        <v>37092.552873000001</v>
      </c>
      <c r="BS19" s="431">
        <v>19315.682352941178</v>
      </c>
      <c r="BT19" s="31">
        <v>31719.395340999999</v>
      </c>
      <c r="BU19" s="31">
        <v>32062.496024</v>
      </c>
      <c r="BV19" s="431">
        <v>17300.805882352943</v>
      </c>
      <c r="BW19" s="31">
        <v>40680.331964999998</v>
      </c>
      <c r="BX19" s="31">
        <v>41150.789058000002</v>
      </c>
      <c r="BY19" s="431">
        <v>21173.98823529412</v>
      </c>
      <c r="BZ19" s="31">
        <v>34790.743243999998</v>
      </c>
      <c r="CA19" s="31">
        <v>35187.786081999999</v>
      </c>
      <c r="CB19" s="431">
        <v>18856.117647058825</v>
      </c>
      <c r="CC19" s="31">
        <v>90500.150624999995</v>
      </c>
      <c r="CD19" s="31">
        <v>91242.616792000001</v>
      </c>
      <c r="CE19" s="431">
        <v>48134.882352941175</v>
      </c>
      <c r="CF19" s="31">
        <v>84401.430626999994</v>
      </c>
      <c r="CG19" s="31">
        <v>85071.189872999996</v>
      </c>
      <c r="CH19" s="431">
        <v>45459.23529411765</v>
      </c>
      <c r="CI19" s="31">
        <v>59045.824845000003</v>
      </c>
      <c r="CJ19" s="31">
        <v>59614.018309999999</v>
      </c>
      <c r="CK19" s="431">
        <v>32566.176470588238</v>
      </c>
      <c r="CL19" s="31">
        <v>54137.075032000001</v>
      </c>
      <c r="CM19" s="31">
        <v>54646.214593999997</v>
      </c>
      <c r="CN19" s="431">
        <v>30226.588235294119</v>
      </c>
      <c r="CO19" s="31">
        <v>114534.122432</v>
      </c>
      <c r="CP19" s="31">
        <v>115302.55641600001</v>
      </c>
      <c r="CQ19" s="431">
        <v>65358.935294117648</v>
      </c>
      <c r="CR19" s="31">
        <v>108910.56215</v>
      </c>
      <c r="CS19" s="31">
        <v>109597.640592</v>
      </c>
      <c r="CT19" s="431">
        <v>62759.705882352937</v>
      </c>
      <c r="CU19" s="432">
        <v>734.08731499999999</v>
      </c>
      <c r="CV19" s="432">
        <v>660.86021400000004</v>
      </c>
      <c r="CW19" s="432">
        <v>407.62773199999998</v>
      </c>
      <c r="CX19" s="432">
        <v>356.72119500000002</v>
      </c>
      <c r="CY19" s="432">
        <v>758.03111000000001</v>
      </c>
      <c r="CZ19" s="432">
        <v>673.14270699999997</v>
      </c>
      <c r="DA19" s="432">
        <v>1238.8541889999999</v>
      </c>
      <c r="DB19" s="432">
        <v>1110.106442</v>
      </c>
      <c r="DC19" s="432">
        <v>573.19377799999995</v>
      </c>
      <c r="DD19" s="432">
        <v>498.081073</v>
      </c>
      <c r="DE19" s="432">
        <v>691.529808</v>
      </c>
      <c r="DF19" s="432">
        <v>630.98474399999998</v>
      </c>
      <c r="DG19" s="432">
        <v>374.12330400000002</v>
      </c>
      <c r="DH19" s="432">
        <v>329.058359</v>
      </c>
      <c r="DI19" s="432">
        <v>698.50764300000003</v>
      </c>
      <c r="DJ19" s="432">
        <v>628.71879000000001</v>
      </c>
      <c r="DK19" s="432">
        <v>1192.5133229999999</v>
      </c>
      <c r="DL19" s="432">
        <v>1094.36724</v>
      </c>
      <c r="DM19" s="432">
        <v>512.705736</v>
      </c>
      <c r="DN19" s="432">
        <v>446.86039399999999</v>
      </c>
      <c r="DO19" s="432">
        <v>14468.030395</v>
      </c>
      <c r="DP19" s="432">
        <v>13551.322732000001</v>
      </c>
      <c r="DQ19" s="432">
        <v>9489.5396330000003</v>
      </c>
      <c r="DR19" s="432">
        <v>8936.5183770000003</v>
      </c>
      <c r="DS19" s="432">
        <v>13928.215962</v>
      </c>
      <c r="DT19" s="432">
        <v>12737.234549999999</v>
      </c>
      <c r="DU19" s="432">
        <v>21366.530280999999</v>
      </c>
      <c r="DV19" s="432">
        <v>19464.292835</v>
      </c>
      <c r="DW19" s="432">
        <v>11373.259635</v>
      </c>
      <c r="DX19" s="432">
        <v>10322.654877999999</v>
      </c>
    </row>
    <row r="20" spans="2:128" ht="15">
      <c r="B20" s="442" t="s">
        <v>583</v>
      </c>
      <c r="C20" s="266" t="s">
        <v>584</v>
      </c>
      <c r="D20" s="266" t="s">
        <v>540</v>
      </c>
      <c r="E20" s="443">
        <v>13</v>
      </c>
      <c r="F20" s="444" t="s">
        <v>552</v>
      </c>
      <c r="G20" s="445" t="s">
        <v>556</v>
      </c>
      <c r="H20" t="s">
        <v>583</v>
      </c>
      <c r="I20" s="31">
        <v>4293.966359</v>
      </c>
      <c r="J20" s="31">
        <v>4564.9175340000002</v>
      </c>
      <c r="K20" s="431">
        <v>2224.3882352941173</v>
      </c>
      <c r="L20" s="31">
        <v>4272.867886</v>
      </c>
      <c r="M20" s="31">
        <v>4542.4800240000004</v>
      </c>
      <c r="N20" s="431">
        <v>2215.3882352941173</v>
      </c>
      <c r="O20" s="31">
        <v>4673.376784</v>
      </c>
      <c r="P20" s="31">
        <v>4969.732532</v>
      </c>
      <c r="Q20" s="431">
        <v>2411.758823529412</v>
      </c>
      <c r="R20" s="31">
        <v>4648.4807280000005</v>
      </c>
      <c r="S20" s="31">
        <v>4943.277478</v>
      </c>
      <c r="T20" s="431">
        <v>2402.2411764705885</v>
      </c>
      <c r="U20" s="31">
        <v>8856.9235809999991</v>
      </c>
      <c r="V20" s="31">
        <v>9342.6204409999991</v>
      </c>
      <c r="W20" s="431">
        <v>4961.7941176470595</v>
      </c>
      <c r="X20" s="31">
        <v>8835.0592809999998</v>
      </c>
      <c r="Y20" s="31">
        <v>9319.136724</v>
      </c>
      <c r="Z20" s="431">
        <v>4951.3705882352942</v>
      </c>
      <c r="AA20" s="31">
        <v>6253.5821720000004</v>
      </c>
      <c r="AB20" s="31">
        <v>6623.1244889999998</v>
      </c>
      <c r="AC20" s="431">
        <v>3595.9588235294123</v>
      </c>
      <c r="AD20" s="31">
        <v>6234.4732780000004</v>
      </c>
      <c r="AE20" s="31">
        <v>6602.6290870000003</v>
      </c>
      <c r="AF20" s="431">
        <v>3586.535294117647</v>
      </c>
      <c r="AG20" s="31">
        <v>10983.111215999999</v>
      </c>
      <c r="AH20" s="31">
        <v>11542.00468</v>
      </c>
      <c r="AI20" s="431">
        <v>6652.0764705882357</v>
      </c>
      <c r="AJ20" s="31">
        <v>10964.710396</v>
      </c>
      <c r="AK20" s="31">
        <v>11521.854078</v>
      </c>
      <c r="AL20" s="431">
        <v>6643.0764705882357</v>
      </c>
      <c r="AM20" s="31">
        <v>4395.2493379999996</v>
      </c>
      <c r="AN20" s="31">
        <v>4622.870911</v>
      </c>
      <c r="AO20" s="431">
        <v>2470.1117647058823</v>
      </c>
      <c r="AP20" s="31">
        <v>4371.4606869999998</v>
      </c>
      <c r="AQ20" s="31">
        <v>4598.3255669999999</v>
      </c>
      <c r="AR20" s="431">
        <v>2462.5882352941176</v>
      </c>
      <c r="AS20" s="31">
        <v>4797.6280649999999</v>
      </c>
      <c r="AT20" s="31">
        <v>5048.2857690000001</v>
      </c>
      <c r="AU20" s="431">
        <v>2682.7235294117645</v>
      </c>
      <c r="AV20" s="31">
        <v>4768.6037120000001</v>
      </c>
      <c r="AW20" s="31">
        <v>5018.3332879999998</v>
      </c>
      <c r="AX20" s="431">
        <v>2673.2529411764708</v>
      </c>
      <c r="AY20" s="31">
        <v>9084.8262880000002</v>
      </c>
      <c r="AZ20" s="31">
        <v>9563.0798439999999</v>
      </c>
      <c r="BA20" s="431">
        <v>5695.1117647058827</v>
      </c>
      <c r="BB20" s="31">
        <v>9058.1124999999993</v>
      </c>
      <c r="BC20" s="31">
        <v>9535.5001520000005</v>
      </c>
      <c r="BD20" s="431">
        <v>5687.6411764705881</v>
      </c>
      <c r="BE20" s="31">
        <v>6428.7004889999998</v>
      </c>
      <c r="BF20" s="31">
        <v>6767.2539180000003</v>
      </c>
      <c r="BG20" s="431">
        <v>4097.517647058824</v>
      </c>
      <c r="BH20" s="31">
        <v>6407.4293980000002</v>
      </c>
      <c r="BI20" s="31">
        <v>6745.1643119999999</v>
      </c>
      <c r="BJ20" s="431">
        <v>4091.0941176470587</v>
      </c>
      <c r="BK20" s="31">
        <v>11370.510177</v>
      </c>
      <c r="BL20" s="31">
        <v>11966.838521</v>
      </c>
      <c r="BM20" s="431">
        <v>7746.0941176470587</v>
      </c>
      <c r="BN20" s="31">
        <v>11348.958909999999</v>
      </c>
      <c r="BO20" s="31">
        <v>11944.385966</v>
      </c>
      <c r="BP20" s="431">
        <v>7743.5705882352941</v>
      </c>
      <c r="BQ20" s="31">
        <v>32342.038573000002</v>
      </c>
      <c r="BR20" s="31">
        <v>32692.516793999999</v>
      </c>
      <c r="BS20" s="431">
        <v>17556.28823529412</v>
      </c>
      <c r="BT20" s="31">
        <v>32003.720119000001</v>
      </c>
      <c r="BU20" s="31">
        <v>32350.19454</v>
      </c>
      <c r="BV20" s="431">
        <v>17417.341176470589</v>
      </c>
      <c r="BW20" s="31">
        <v>35527.187056000002</v>
      </c>
      <c r="BX20" s="31">
        <v>35933.600216999999</v>
      </c>
      <c r="BY20" s="431">
        <v>19149</v>
      </c>
      <c r="BZ20" s="31">
        <v>35126.680893999997</v>
      </c>
      <c r="CA20" s="31">
        <v>35528.008306999996</v>
      </c>
      <c r="CB20" s="431">
        <v>18987.588235294119</v>
      </c>
      <c r="CC20" s="31">
        <v>85174.183688000005</v>
      </c>
      <c r="CD20" s="31">
        <v>85853.329908</v>
      </c>
      <c r="CE20" s="431">
        <v>45801.176470588238</v>
      </c>
      <c r="CF20" s="31">
        <v>84754.713910999999</v>
      </c>
      <c r="CG20" s="31">
        <v>85428.768639000002</v>
      </c>
      <c r="CH20" s="431">
        <v>45615.76470588235</v>
      </c>
      <c r="CI20" s="31">
        <v>54757.408755999997</v>
      </c>
      <c r="CJ20" s="31">
        <v>55274.153018999998</v>
      </c>
      <c r="CK20" s="431">
        <v>30522.647058823532</v>
      </c>
      <c r="CL20" s="31">
        <v>54420.602316999997</v>
      </c>
      <c r="CM20" s="31">
        <v>54933.227989999999</v>
      </c>
      <c r="CN20" s="431">
        <v>30362.176470588238</v>
      </c>
      <c r="CO20" s="31">
        <v>109628.967254</v>
      </c>
      <c r="CP20" s="31">
        <v>110326.660472</v>
      </c>
      <c r="CQ20" s="431">
        <v>63091.176470588238</v>
      </c>
      <c r="CR20" s="31">
        <v>109239.138315</v>
      </c>
      <c r="CS20" s="31">
        <v>109931.07737299999</v>
      </c>
      <c r="CT20" s="431">
        <v>62911.23529411765</v>
      </c>
      <c r="CU20" s="432">
        <v>670.32757600000002</v>
      </c>
      <c r="CV20" s="432">
        <v>665.197362</v>
      </c>
      <c r="CW20" s="432">
        <v>363.25017500000001</v>
      </c>
      <c r="CX20" s="432">
        <v>359.70813700000002</v>
      </c>
      <c r="CY20" s="432">
        <v>684.16862600000002</v>
      </c>
      <c r="CZ20" s="432">
        <v>678.19654400000002</v>
      </c>
      <c r="DA20" s="432">
        <v>1126.866837</v>
      </c>
      <c r="DB20" s="432">
        <v>1117.7915069999999</v>
      </c>
      <c r="DC20" s="432">
        <v>507.79630700000001</v>
      </c>
      <c r="DD20" s="432">
        <v>502.53154499999999</v>
      </c>
      <c r="DE20" s="432">
        <v>638.90140699999995</v>
      </c>
      <c r="DF20" s="432">
        <v>634.61415099999999</v>
      </c>
      <c r="DG20" s="432">
        <v>334.87180999999998</v>
      </c>
      <c r="DH20" s="432">
        <v>331.726136</v>
      </c>
      <c r="DI20" s="432">
        <v>637.87411399999996</v>
      </c>
      <c r="DJ20" s="432">
        <v>632.91651999999999</v>
      </c>
      <c r="DK20" s="432">
        <v>1107.3109240000001</v>
      </c>
      <c r="DL20" s="432">
        <v>1100.3090549999999</v>
      </c>
      <c r="DM20" s="432">
        <v>455.40973300000002</v>
      </c>
      <c r="DN20" s="432">
        <v>450.77968900000002</v>
      </c>
      <c r="DO20" s="432">
        <v>13668.902808000001</v>
      </c>
      <c r="DP20" s="432">
        <v>13605.137261</v>
      </c>
      <c r="DQ20" s="432">
        <v>9005.3659150000003</v>
      </c>
      <c r="DR20" s="432">
        <v>8967.9463670000005</v>
      </c>
      <c r="DS20" s="432">
        <v>12891.642889999999</v>
      </c>
      <c r="DT20" s="432">
        <v>12808.011503</v>
      </c>
      <c r="DU20" s="432">
        <v>19711.906283</v>
      </c>
      <c r="DV20" s="432">
        <v>19577.783243000002</v>
      </c>
      <c r="DW20" s="432">
        <v>10458.425767999999</v>
      </c>
      <c r="DX20" s="432">
        <v>10384.84403</v>
      </c>
    </row>
    <row r="21" spans="2:128" ht="15">
      <c r="B21" s="442" t="s">
        <v>586</v>
      </c>
      <c r="C21" s="266" t="s">
        <v>587</v>
      </c>
      <c r="D21" s="266" t="s">
        <v>540</v>
      </c>
      <c r="E21" s="443">
        <v>14</v>
      </c>
      <c r="F21" s="444" t="s">
        <v>552</v>
      </c>
      <c r="G21" s="445" t="s">
        <v>581</v>
      </c>
      <c r="H21" t="s">
        <v>586</v>
      </c>
      <c r="I21" s="31">
        <v>4293.966359</v>
      </c>
      <c r="J21" s="31">
        <v>4564.9175340000002</v>
      </c>
      <c r="K21" s="431">
        <v>2224.3882352941173</v>
      </c>
      <c r="L21" s="31">
        <v>4255.0862580000003</v>
      </c>
      <c r="M21" s="31">
        <v>4523.5764040000004</v>
      </c>
      <c r="N21" s="431">
        <v>2208.8176470588237</v>
      </c>
      <c r="O21" s="31">
        <v>4673.376784</v>
      </c>
      <c r="P21" s="31">
        <v>4969.732532</v>
      </c>
      <c r="Q21" s="431">
        <v>2411.758823529412</v>
      </c>
      <c r="R21" s="31">
        <v>4627.4964389999996</v>
      </c>
      <c r="S21" s="31">
        <v>4920.9699389999996</v>
      </c>
      <c r="T21" s="431">
        <v>2393.7705882352943</v>
      </c>
      <c r="U21" s="31">
        <v>8856.9235809999991</v>
      </c>
      <c r="V21" s="31">
        <v>9342.6204409999991</v>
      </c>
      <c r="W21" s="431">
        <v>4961.7941176470595</v>
      </c>
      <c r="X21" s="31">
        <v>8816.6090910000003</v>
      </c>
      <c r="Y21" s="31">
        <v>9299.3191409999999</v>
      </c>
      <c r="Z21" s="431">
        <v>4942.8</v>
      </c>
      <c r="AA21" s="31">
        <v>6253.5821720000004</v>
      </c>
      <c r="AB21" s="31">
        <v>6623.1244889999998</v>
      </c>
      <c r="AC21" s="431">
        <v>3595.9588235294123</v>
      </c>
      <c r="AD21" s="31">
        <v>6218.3567110000004</v>
      </c>
      <c r="AE21" s="31">
        <v>6585.334793</v>
      </c>
      <c r="AF21" s="431">
        <v>3578.4882352941177</v>
      </c>
      <c r="AG21" s="31">
        <v>10983.111215999999</v>
      </c>
      <c r="AH21" s="31">
        <v>11542.00468</v>
      </c>
      <c r="AI21" s="431">
        <v>6652.0764705882357</v>
      </c>
      <c r="AJ21" s="31">
        <v>10949.183835</v>
      </c>
      <c r="AK21" s="31">
        <v>11504.855615</v>
      </c>
      <c r="AL21" s="431">
        <v>6634.6058823529411</v>
      </c>
      <c r="AM21" s="31">
        <v>4395.2493379999996</v>
      </c>
      <c r="AN21" s="31">
        <v>4622.870911</v>
      </c>
      <c r="AO21" s="431">
        <v>2470.1117647058823</v>
      </c>
      <c r="AP21" s="31">
        <v>4351.3868910000001</v>
      </c>
      <c r="AQ21" s="31">
        <v>4577.6115920000002</v>
      </c>
      <c r="AR21" s="431">
        <v>2456.1176470588234</v>
      </c>
      <c r="AS21" s="31">
        <v>4797.6280649999999</v>
      </c>
      <c r="AT21" s="31">
        <v>5048.2857690000001</v>
      </c>
      <c r="AU21" s="431">
        <v>2682.7235294117645</v>
      </c>
      <c r="AV21" s="31">
        <v>4744.1289729999999</v>
      </c>
      <c r="AW21" s="31">
        <v>4993.0735350000004</v>
      </c>
      <c r="AX21" s="431">
        <v>2665.6823529411768</v>
      </c>
      <c r="AY21" s="31">
        <v>9084.8262880000002</v>
      </c>
      <c r="AZ21" s="31">
        <v>9563.0798439999999</v>
      </c>
      <c r="BA21" s="431">
        <v>5695.1117647058827</v>
      </c>
      <c r="BB21" s="31">
        <v>9035.5619289999995</v>
      </c>
      <c r="BC21" s="31">
        <v>9512.2218790000006</v>
      </c>
      <c r="BD21" s="431">
        <v>5682.1705882352944</v>
      </c>
      <c r="BE21" s="31">
        <v>6428.7004889999998</v>
      </c>
      <c r="BF21" s="31">
        <v>6767.2539180000003</v>
      </c>
      <c r="BG21" s="431">
        <v>4097.517647058824</v>
      </c>
      <c r="BH21" s="31">
        <v>6389.4931130000004</v>
      </c>
      <c r="BI21" s="31">
        <v>6726.5404040000003</v>
      </c>
      <c r="BJ21" s="431">
        <v>4085.5705882352945</v>
      </c>
      <c r="BK21" s="31">
        <v>11370.510177</v>
      </c>
      <c r="BL21" s="31">
        <v>11966.838521</v>
      </c>
      <c r="BM21" s="431">
        <v>7746.0941176470587</v>
      </c>
      <c r="BN21" s="31">
        <v>11330.778649</v>
      </c>
      <c r="BO21" s="31">
        <v>11925.452499999999</v>
      </c>
      <c r="BP21" s="431">
        <v>7741.1</v>
      </c>
      <c r="BQ21" s="31">
        <v>32342.038573000002</v>
      </c>
      <c r="BR21" s="31">
        <v>32692.516793999999</v>
      </c>
      <c r="BS21" s="431">
        <v>17556.28823529412</v>
      </c>
      <c r="BT21" s="31">
        <v>31719.395340999999</v>
      </c>
      <c r="BU21" s="31">
        <v>32062.496024</v>
      </c>
      <c r="BV21" s="431">
        <v>17300.805882352943</v>
      </c>
      <c r="BW21" s="31">
        <v>35527.187056000002</v>
      </c>
      <c r="BX21" s="31">
        <v>35933.600216999999</v>
      </c>
      <c r="BY21" s="431">
        <v>19149</v>
      </c>
      <c r="BZ21" s="31">
        <v>34790.743243999998</v>
      </c>
      <c r="CA21" s="31">
        <v>35187.786081999999</v>
      </c>
      <c r="CB21" s="431">
        <v>18856.117647058825</v>
      </c>
      <c r="CC21" s="31">
        <v>85174.183688000005</v>
      </c>
      <c r="CD21" s="31">
        <v>85853.329908</v>
      </c>
      <c r="CE21" s="431">
        <v>45801.176470588238</v>
      </c>
      <c r="CF21" s="31">
        <v>84401.430626999994</v>
      </c>
      <c r="CG21" s="31">
        <v>85071.189872999996</v>
      </c>
      <c r="CH21" s="431">
        <v>45459.23529411765</v>
      </c>
      <c r="CI21" s="31">
        <v>54757.408755999997</v>
      </c>
      <c r="CJ21" s="31">
        <v>55274.153018999998</v>
      </c>
      <c r="CK21" s="431">
        <v>30522.647058823532</v>
      </c>
      <c r="CL21" s="31">
        <v>54137.075032000001</v>
      </c>
      <c r="CM21" s="31">
        <v>54646.214593999997</v>
      </c>
      <c r="CN21" s="431">
        <v>30226.588235294119</v>
      </c>
      <c r="CO21" s="31">
        <v>109628.967254</v>
      </c>
      <c r="CP21" s="31">
        <v>110326.660472</v>
      </c>
      <c r="CQ21" s="431">
        <v>63091.176470588238</v>
      </c>
      <c r="CR21" s="31">
        <v>108910.56215</v>
      </c>
      <c r="CS21" s="31">
        <v>109597.640592</v>
      </c>
      <c r="CT21" s="431">
        <v>62759.705882352937</v>
      </c>
      <c r="CU21" s="432">
        <v>670.32757600000002</v>
      </c>
      <c r="CV21" s="432">
        <v>660.86021400000004</v>
      </c>
      <c r="CW21" s="432">
        <v>363.25017500000001</v>
      </c>
      <c r="CX21" s="432">
        <v>356.72119500000002</v>
      </c>
      <c r="CY21" s="432">
        <v>684.16862600000002</v>
      </c>
      <c r="CZ21" s="432">
        <v>673.14270699999997</v>
      </c>
      <c r="DA21" s="432">
        <v>1126.866837</v>
      </c>
      <c r="DB21" s="432">
        <v>1110.106442</v>
      </c>
      <c r="DC21" s="432">
        <v>507.79630700000001</v>
      </c>
      <c r="DD21" s="432">
        <v>498.081073</v>
      </c>
      <c r="DE21" s="432">
        <v>638.90140699999995</v>
      </c>
      <c r="DF21" s="432">
        <v>630.98474399999998</v>
      </c>
      <c r="DG21" s="432">
        <v>334.87180999999998</v>
      </c>
      <c r="DH21" s="432">
        <v>329.058359</v>
      </c>
      <c r="DI21" s="432">
        <v>637.87411399999996</v>
      </c>
      <c r="DJ21" s="432">
        <v>628.71879000000001</v>
      </c>
      <c r="DK21" s="432">
        <v>1107.3109240000001</v>
      </c>
      <c r="DL21" s="432">
        <v>1094.36724</v>
      </c>
      <c r="DM21" s="432">
        <v>455.40973300000002</v>
      </c>
      <c r="DN21" s="432">
        <v>446.86039399999999</v>
      </c>
      <c r="DO21" s="432">
        <v>13668.902808000001</v>
      </c>
      <c r="DP21" s="432">
        <v>13551.322732000001</v>
      </c>
      <c r="DQ21" s="432">
        <v>9005.3659150000003</v>
      </c>
      <c r="DR21" s="432">
        <v>8936.5183770000003</v>
      </c>
      <c r="DS21" s="432">
        <v>12891.642889999999</v>
      </c>
      <c r="DT21" s="432">
        <v>12737.234549999999</v>
      </c>
      <c r="DU21" s="432">
        <v>19711.906283</v>
      </c>
      <c r="DV21" s="432">
        <v>19464.292835</v>
      </c>
      <c r="DW21" s="432">
        <v>10458.425767999999</v>
      </c>
      <c r="DX21" s="432">
        <v>10322.654877999999</v>
      </c>
    </row>
    <row r="22" spans="2:128" ht="15">
      <c r="B22" s="442" t="s">
        <v>589</v>
      </c>
      <c r="C22" s="266" t="s">
        <v>590</v>
      </c>
      <c r="D22" s="266" t="s">
        <v>540</v>
      </c>
      <c r="E22" s="443">
        <v>15</v>
      </c>
      <c r="F22" s="450" t="s">
        <v>538</v>
      </c>
      <c r="G22" s="451" t="s">
        <v>552</v>
      </c>
      <c r="H22" t="s">
        <v>589</v>
      </c>
      <c r="I22" s="31">
        <v>4349.416671</v>
      </c>
      <c r="J22" s="31">
        <v>4623.8945729999996</v>
      </c>
      <c r="K22" s="431">
        <v>2246.8529411764707</v>
      </c>
      <c r="L22" s="31">
        <v>4293.966359</v>
      </c>
      <c r="M22" s="31">
        <v>4564.9175340000002</v>
      </c>
      <c r="N22" s="431">
        <v>2224.3882352941173</v>
      </c>
      <c r="O22" s="31">
        <v>4738.7353899999998</v>
      </c>
      <c r="P22" s="31">
        <v>5039.2105780000002</v>
      </c>
      <c r="Q22" s="431">
        <v>2437.2235294117645</v>
      </c>
      <c r="R22" s="31">
        <v>4673.376784</v>
      </c>
      <c r="S22" s="31">
        <v>4969.732532</v>
      </c>
      <c r="T22" s="431">
        <v>2411.758823529412</v>
      </c>
      <c r="U22" s="31">
        <v>8914.2748090000005</v>
      </c>
      <c r="V22" s="31">
        <v>9404.2200319999993</v>
      </c>
      <c r="W22" s="431">
        <v>4988.7823529411762</v>
      </c>
      <c r="X22" s="31">
        <v>8856.9235809999991</v>
      </c>
      <c r="Y22" s="31">
        <v>9342.6204409999991</v>
      </c>
      <c r="Z22" s="431">
        <v>4961.7941176470595</v>
      </c>
      <c r="AA22" s="31">
        <v>6303.8412580000004</v>
      </c>
      <c r="AB22" s="31">
        <v>6677.0178839999999</v>
      </c>
      <c r="AC22" s="431">
        <v>3620.4235294117648</v>
      </c>
      <c r="AD22" s="31">
        <v>6253.5821720000004</v>
      </c>
      <c r="AE22" s="31">
        <v>6623.1244889999998</v>
      </c>
      <c r="AF22" s="431">
        <v>3595.9588235294123</v>
      </c>
      <c r="AG22" s="31">
        <v>11031.38421</v>
      </c>
      <c r="AH22" s="31">
        <v>11594.868651000001</v>
      </c>
      <c r="AI22" s="431">
        <v>6675.1176470588234</v>
      </c>
      <c r="AJ22" s="31">
        <v>10983.111215999999</v>
      </c>
      <c r="AK22" s="31">
        <v>11542.00468</v>
      </c>
      <c r="AL22" s="431">
        <v>6652.0764705882357</v>
      </c>
      <c r="AM22" s="31">
        <v>4457.6882230000001</v>
      </c>
      <c r="AN22" s="31">
        <v>4687.2882360000003</v>
      </c>
      <c r="AO22" s="431">
        <v>2491.0470588235294</v>
      </c>
      <c r="AP22" s="31">
        <v>4395.2493379999996</v>
      </c>
      <c r="AQ22" s="31">
        <v>4622.870911</v>
      </c>
      <c r="AR22" s="431">
        <v>2470.1117647058823</v>
      </c>
      <c r="AS22" s="31">
        <v>4873.8323780000001</v>
      </c>
      <c r="AT22" s="31">
        <v>5126.9145259999996</v>
      </c>
      <c r="AU22" s="431">
        <v>2707.2352941176468</v>
      </c>
      <c r="AV22" s="31">
        <v>4797.6280649999999</v>
      </c>
      <c r="AW22" s="31">
        <v>5048.2857690000001</v>
      </c>
      <c r="AX22" s="431">
        <v>2682.7235294117645</v>
      </c>
      <c r="AY22" s="31">
        <v>9154.8846059999996</v>
      </c>
      <c r="AZ22" s="31">
        <v>9635.4336370000001</v>
      </c>
      <c r="BA22" s="431">
        <v>5713.0470588235294</v>
      </c>
      <c r="BB22" s="31">
        <v>9084.8262880000002</v>
      </c>
      <c r="BC22" s="31">
        <v>9563.0798439999999</v>
      </c>
      <c r="BD22" s="431">
        <v>5695.1117647058827</v>
      </c>
      <c r="BE22" s="31">
        <v>6484.5631530000001</v>
      </c>
      <c r="BF22" s="31">
        <v>6825.2881550000002</v>
      </c>
      <c r="BG22" s="431">
        <v>4114.5058823529416</v>
      </c>
      <c r="BH22" s="31">
        <v>6428.7004889999998</v>
      </c>
      <c r="BI22" s="31">
        <v>6767.2539180000003</v>
      </c>
      <c r="BJ22" s="431">
        <v>4097.517647058824</v>
      </c>
      <c r="BK22" s="31">
        <v>11427.030301999999</v>
      </c>
      <c r="BL22" s="31">
        <v>12025.774454</v>
      </c>
      <c r="BM22" s="431">
        <v>7756.5058823529416</v>
      </c>
      <c r="BN22" s="31">
        <v>11370.510177</v>
      </c>
      <c r="BO22" s="31">
        <v>11966.838521</v>
      </c>
      <c r="BP22" s="431">
        <v>7746.0941176470587</v>
      </c>
      <c r="BQ22" s="31">
        <v>33235.201616999999</v>
      </c>
      <c r="BR22" s="31">
        <v>33596.214054999997</v>
      </c>
      <c r="BS22" s="431">
        <v>17921.405882352941</v>
      </c>
      <c r="BT22" s="31">
        <v>32342.038573000002</v>
      </c>
      <c r="BU22" s="31">
        <v>32692.516793999999</v>
      </c>
      <c r="BV22" s="431">
        <v>17556.28823529412</v>
      </c>
      <c r="BW22" s="31">
        <v>36587.198900000003</v>
      </c>
      <c r="BX22" s="31">
        <v>37006.986835000003</v>
      </c>
      <c r="BY22" s="431">
        <v>19568.411764705881</v>
      </c>
      <c r="BZ22" s="31">
        <v>35527.187056000002</v>
      </c>
      <c r="CA22" s="31">
        <v>35933.600216999999</v>
      </c>
      <c r="CB22" s="431">
        <v>19149</v>
      </c>
      <c r="CC22" s="31">
        <v>86277.764320000002</v>
      </c>
      <c r="CD22" s="31">
        <v>86970.236308000007</v>
      </c>
      <c r="CE22" s="431">
        <v>46287.647058823532</v>
      </c>
      <c r="CF22" s="31">
        <v>85174.183688000005</v>
      </c>
      <c r="CG22" s="31">
        <v>85853.329908</v>
      </c>
      <c r="CH22" s="431">
        <v>45801.176470588238</v>
      </c>
      <c r="CI22" s="31">
        <v>55647.374811000002</v>
      </c>
      <c r="CJ22" s="31">
        <v>56174.933561999998</v>
      </c>
      <c r="CK22" s="431">
        <v>30945.823529411762</v>
      </c>
      <c r="CL22" s="31">
        <v>54757.408755999997</v>
      </c>
      <c r="CM22" s="31">
        <v>55274.153018999998</v>
      </c>
      <c r="CN22" s="431">
        <v>30522.647058823532</v>
      </c>
      <c r="CO22" s="31">
        <v>110653.638295</v>
      </c>
      <c r="CP22" s="31">
        <v>111366.353053</v>
      </c>
      <c r="CQ22" s="431">
        <v>63563.76470588235</v>
      </c>
      <c r="CR22" s="31">
        <v>109628.967254</v>
      </c>
      <c r="CS22" s="31">
        <v>110326.660472</v>
      </c>
      <c r="CT22" s="431">
        <v>63091.176470588238</v>
      </c>
      <c r="CU22" s="432">
        <v>683.74883</v>
      </c>
      <c r="CV22" s="432">
        <v>670.32757600000002</v>
      </c>
      <c r="CW22" s="432">
        <v>372.52975900000001</v>
      </c>
      <c r="CX22" s="432">
        <v>363.25017500000001</v>
      </c>
      <c r="CY22" s="432">
        <v>699.77434600000004</v>
      </c>
      <c r="CZ22" s="432">
        <v>684.16862600000002</v>
      </c>
      <c r="DA22" s="432">
        <v>1150.5725870000001</v>
      </c>
      <c r="DB22" s="432">
        <v>1126.866837</v>
      </c>
      <c r="DC22" s="432">
        <v>521.556735</v>
      </c>
      <c r="DD22" s="432">
        <v>507.79630700000001</v>
      </c>
      <c r="DE22" s="432">
        <v>650.09659899999997</v>
      </c>
      <c r="DF22" s="432">
        <v>638.90140699999995</v>
      </c>
      <c r="DG22" s="432">
        <v>343.08768500000002</v>
      </c>
      <c r="DH22" s="432">
        <v>334.87180999999998</v>
      </c>
      <c r="DI22" s="432">
        <v>650.78114600000004</v>
      </c>
      <c r="DJ22" s="432">
        <v>637.87411399999996</v>
      </c>
      <c r="DK22" s="432">
        <v>1125.527859</v>
      </c>
      <c r="DL22" s="432">
        <v>1107.3109240000001</v>
      </c>
      <c r="DM22" s="432">
        <v>467.473005</v>
      </c>
      <c r="DN22" s="432">
        <v>455.40973300000002</v>
      </c>
      <c r="DO22" s="432">
        <v>13836.273499000001</v>
      </c>
      <c r="DP22" s="432">
        <v>13668.902808000001</v>
      </c>
      <c r="DQ22" s="432">
        <v>9104.1879310000004</v>
      </c>
      <c r="DR22" s="432">
        <v>9005.3659150000003</v>
      </c>
      <c r="DS22" s="432">
        <v>13110.187765999999</v>
      </c>
      <c r="DT22" s="432">
        <v>12891.642889999999</v>
      </c>
      <c r="DU22" s="432">
        <v>20062.064929</v>
      </c>
      <c r="DV22" s="432">
        <v>19711.906283</v>
      </c>
      <c r="DW22" s="432">
        <v>10650.784441</v>
      </c>
      <c r="DX22" s="432">
        <v>10458.425767999999</v>
      </c>
    </row>
    <row r="23" spans="2:128" ht="15">
      <c r="B23" s="442" t="s">
        <v>592</v>
      </c>
      <c r="C23" s="266" t="s">
        <v>593</v>
      </c>
      <c r="D23" s="266" t="s">
        <v>540</v>
      </c>
      <c r="E23" s="443">
        <v>16</v>
      </c>
      <c r="F23" s="444" t="s">
        <v>538</v>
      </c>
      <c r="G23" s="445" t="s">
        <v>556</v>
      </c>
      <c r="H23" t="s">
        <v>592</v>
      </c>
      <c r="I23" s="31">
        <v>4349.416671</v>
      </c>
      <c r="J23" s="31">
        <v>4623.8945729999996</v>
      </c>
      <c r="K23" s="431">
        <v>2246.8529411764707</v>
      </c>
      <c r="L23" s="31">
        <v>4272.867886</v>
      </c>
      <c r="M23" s="31">
        <v>4542.4800240000004</v>
      </c>
      <c r="N23" s="431">
        <v>2215.3882352941173</v>
      </c>
      <c r="O23" s="31">
        <v>4738.7353899999998</v>
      </c>
      <c r="P23" s="31">
        <v>5039.2105780000002</v>
      </c>
      <c r="Q23" s="431">
        <v>2437.2235294117645</v>
      </c>
      <c r="R23" s="31">
        <v>4648.4807280000005</v>
      </c>
      <c r="S23" s="31">
        <v>4943.277478</v>
      </c>
      <c r="T23" s="431">
        <v>2402.2411764705885</v>
      </c>
      <c r="U23" s="31">
        <v>8914.2748090000005</v>
      </c>
      <c r="V23" s="31">
        <v>9404.2200319999993</v>
      </c>
      <c r="W23" s="431">
        <v>4988.7823529411762</v>
      </c>
      <c r="X23" s="31">
        <v>8835.0592809999998</v>
      </c>
      <c r="Y23" s="31">
        <v>9319.136724</v>
      </c>
      <c r="Z23" s="431">
        <v>4951.3705882352942</v>
      </c>
      <c r="AA23" s="31">
        <v>6303.8412580000004</v>
      </c>
      <c r="AB23" s="31">
        <v>6677.0178839999999</v>
      </c>
      <c r="AC23" s="431">
        <v>3620.4235294117648</v>
      </c>
      <c r="AD23" s="31">
        <v>6234.4732780000004</v>
      </c>
      <c r="AE23" s="31">
        <v>6602.6290870000003</v>
      </c>
      <c r="AF23" s="431">
        <v>3586.535294117647</v>
      </c>
      <c r="AG23" s="31">
        <v>11031.38421</v>
      </c>
      <c r="AH23" s="31">
        <v>11594.868651000001</v>
      </c>
      <c r="AI23" s="431">
        <v>6675.1176470588234</v>
      </c>
      <c r="AJ23" s="31">
        <v>10964.710396</v>
      </c>
      <c r="AK23" s="31">
        <v>11521.854078</v>
      </c>
      <c r="AL23" s="431">
        <v>6643.0764705882357</v>
      </c>
      <c r="AM23" s="31">
        <v>4457.6882230000001</v>
      </c>
      <c r="AN23" s="31">
        <v>4687.2882360000003</v>
      </c>
      <c r="AO23" s="431">
        <v>2491.0470588235294</v>
      </c>
      <c r="AP23" s="31">
        <v>4371.4606869999998</v>
      </c>
      <c r="AQ23" s="31">
        <v>4598.3255669999999</v>
      </c>
      <c r="AR23" s="431">
        <v>2462.5882352941176</v>
      </c>
      <c r="AS23" s="31">
        <v>4873.8323780000001</v>
      </c>
      <c r="AT23" s="31">
        <v>5126.9145259999996</v>
      </c>
      <c r="AU23" s="431">
        <v>2707.2352941176468</v>
      </c>
      <c r="AV23" s="31">
        <v>4768.6037120000001</v>
      </c>
      <c r="AW23" s="31">
        <v>5018.3332879999998</v>
      </c>
      <c r="AX23" s="431">
        <v>2673.2529411764708</v>
      </c>
      <c r="AY23" s="31">
        <v>9154.8846059999996</v>
      </c>
      <c r="AZ23" s="31">
        <v>9635.4336370000001</v>
      </c>
      <c r="BA23" s="431">
        <v>5713.0470588235294</v>
      </c>
      <c r="BB23" s="31">
        <v>9058.1124999999993</v>
      </c>
      <c r="BC23" s="31">
        <v>9535.5001520000005</v>
      </c>
      <c r="BD23" s="431">
        <v>5687.6411764705881</v>
      </c>
      <c r="BE23" s="31">
        <v>6484.5631530000001</v>
      </c>
      <c r="BF23" s="31">
        <v>6825.2881550000002</v>
      </c>
      <c r="BG23" s="431">
        <v>4114.5058823529416</v>
      </c>
      <c r="BH23" s="31">
        <v>6407.4293980000002</v>
      </c>
      <c r="BI23" s="31">
        <v>6745.1643119999999</v>
      </c>
      <c r="BJ23" s="431">
        <v>4091.0941176470587</v>
      </c>
      <c r="BK23" s="31">
        <v>11427.030301999999</v>
      </c>
      <c r="BL23" s="31">
        <v>12025.774454</v>
      </c>
      <c r="BM23" s="431">
        <v>7756.5058823529416</v>
      </c>
      <c r="BN23" s="31">
        <v>11348.958909999999</v>
      </c>
      <c r="BO23" s="31">
        <v>11944.385966</v>
      </c>
      <c r="BP23" s="431">
        <v>7743.5705882352941</v>
      </c>
      <c r="BQ23" s="31">
        <v>33235.201616999999</v>
      </c>
      <c r="BR23" s="31">
        <v>33596.214054999997</v>
      </c>
      <c r="BS23" s="431">
        <v>17921.405882352941</v>
      </c>
      <c r="BT23" s="31">
        <v>32003.720119000001</v>
      </c>
      <c r="BU23" s="31">
        <v>32350.19454</v>
      </c>
      <c r="BV23" s="431">
        <v>17417.341176470589</v>
      </c>
      <c r="BW23" s="31">
        <v>36587.198900000003</v>
      </c>
      <c r="BX23" s="31">
        <v>37006.986835000003</v>
      </c>
      <c r="BY23" s="431">
        <v>19568.411764705881</v>
      </c>
      <c r="BZ23" s="31">
        <v>35126.680893999997</v>
      </c>
      <c r="CA23" s="31">
        <v>35528.008306999996</v>
      </c>
      <c r="CB23" s="431">
        <v>18987.588235294119</v>
      </c>
      <c r="CC23" s="31">
        <v>86277.764320000002</v>
      </c>
      <c r="CD23" s="31">
        <v>86970.236308000007</v>
      </c>
      <c r="CE23" s="431">
        <v>46287.647058823532</v>
      </c>
      <c r="CF23" s="31">
        <v>84754.713910999999</v>
      </c>
      <c r="CG23" s="31">
        <v>85428.768639000002</v>
      </c>
      <c r="CH23" s="431">
        <v>45615.76470588235</v>
      </c>
      <c r="CI23" s="31">
        <v>55647.374811000002</v>
      </c>
      <c r="CJ23" s="31">
        <v>56174.933561999998</v>
      </c>
      <c r="CK23" s="431">
        <v>30945.823529411762</v>
      </c>
      <c r="CL23" s="31">
        <v>54420.602316999997</v>
      </c>
      <c r="CM23" s="31">
        <v>54933.227989999999</v>
      </c>
      <c r="CN23" s="431">
        <v>30362.176470588238</v>
      </c>
      <c r="CO23" s="31">
        <v>110653.638295</v>
      </c>
      <c r="CP23" s="31">
        <v>111366.353053</v>
      </c>
      <c r="CQ23" s="431">
        <v>63563.76470588235</v>
      </c>
      <c r="CR23" s="31">
        <v>109239.138315</v>
      </c>
      <c r="CS23" s="31">
        <v>109931.07737299999</v>
      </c>
      <c r="CT23" s="431">
        <v>62911.23529411765</v>
      </c>
      <c r="CU23" s="432">
        <v>683.74883</v>
      </c>
      <c r="CV23" s="432">
        <v>665.197362</v>
      </c>
      <c r="CW23" s="432">
        <v>372.52975900000001</v>
      </c>
      <c r="CX23" s="432">
        <v>359.70813700000002</v>
      </c>
      <c r="CY23" s="432">
        <v>699.77434600000004</v>
      </c>
      <c r="CZ23" s="432">
        <v>678.19654400000002</v>
      </c>
      <c r="DA23" s="432">
        <v>1150.5725870000001</v>
      </c>
      <c r="DB23" s="432">
        <v>1117.7915069999999</v>
      </c>
      <c r="DC23" s="432">
        <v>521.556735</v>
      </c>
      <c r="DD23" s="432">
        <v>502.53154499999999</v>
      </c>
      <c r="DE23" s="432">
        <v>650.09659899999997</v>
      </c>
      <c r="DF23" s="432">
        <v>634.61415099999999</v>
      </c>
      <c r="DG23" s="432">
        <v>343.08768500000002</v>
      </c>
      <c r="DH23" s="432">
        <v>331.726136</v>
      </c>
      <c r="DI23" s="432">
        <v>650.78114600000004</v>
      </c>
      <c r="DJ23" s="432">
        <v>632.91651999999999</v>
      </c>
      <c r="DK23" s="432">
        <v>1125.527859</v>
      </c>
      <c r="DL23" s="432">
        <v>1100.3090549999999</v>
      </c>
      <c r="DM23" s="432">
        <v>467.473005</v>
      </c>
      <c r="DN23" s="432">
        <v>450.77968900000002</v>
      </c>
      <c r="DO23" s="432">
        <v>13836.273499000001</v>
      </c>
      <c r="DP23" s="432">
        <v>13605.137261</v>
      </c>
      <c r="DQ23" s="432">
        <v>9104.1879310000004</v>
      </c>
      <c r="DR23" s="432">
        <v>8967.9463670000005</v>
      </c>
      <c r="DS23" s="432">
        <v>13110.187765999999</v>
      </c>
      <c r="DT23" s="432">
        <v>12808.011503</v>
      </c>
      <c r="DU23" s="432">
        <v>20062.064929</v>
      </c>
      <c r="DV23" s="432">
        <v>19577.783243000002</v>
      </c>
      <c r="DW23" s="432">
        <v>10650.784441</v>
      </c>
      <c r="DX23" s="432">
        <v>10384.84403</v>
      </c>
    </row>
    <row r="24" spans="2:128" ht="15">
      <c r="B24" s="442" t="s">
        <v>595</v>
      </c>
      <c r="C24" s="266" t="s">
        <v>596</v>
      </c>
      <c r="D24" s="266" t="s">
        <v>540</v>
      </c>
      <c r="E24" s="443">
        <v>17</v>
      </c>
      <c r="F24" s="444" t="s">
        <v>538</v>
      </c>
      <c r="G24" s="445" t="s">
        <v>581</v>
      </c>
      <c r="H24" t="s">
        <v>595</v>
      </c>
      <c r="I24" s="31">
        <v>4349.416671</v>
      </c>
      <c r="J24" s="31">
        <v>4623.8945729999996</v>
      </c>
      <c r="K24" s="431">
        <v>2246.8529411764707</v>
      </c>
      <c r="L24" s="31">
        <v>4255.0862580000003</v>
      </c>
      <c r="M24" s="31">
        <v>4523.5764040000004</v>
      </c>
      <c r="N24" s="431">
        <v>2208.8176470588237</v>
      </c>
      <c r="O24" s="31">
        <v>4738.7353899999998</v>
      </c>
      <c r="P24" s="31">
        <v>5039.2105780000002</v>
      </c>
      <c r="Q24" s="431">
        <v>2437.2235294117645</v>
      </c>
      <c r="R24" s="31">
        <v>4627.4964389999996</v>
      </c>
      <c r="S24" s="31">
        <v>4920.9699389999996</v>
      </c>
      <c r="T24" s="431">
        <v>2393.7705882352943</v>
      </c>
      <c r="U24" s="31">
        <v>8914.2748090000005</v>
      </c>
      <c r="V24" s="31">
        <v>9404.2200319999993</v>
      </c>
      <c r="W24" s="431">
        <v>4988.7823529411762</v>
      </c>
      <c r="X24" s="31">
        <v>8816.6090910000003</v>
      </c>
      <c r="Y24" s="31">
        <v>9299.3191409999999</v>
      </c>
      <c r="Z24" s="431">
        <v>4942.8</v>
      </c>
      <c r="AA24" s="31">
        <v>6303.8412580000004</v>
      </c>
      <c r="AB24" s="31">
        <v>6677.0178839999999</v>
      </c>
      <c r="AC24" s="431">
        <v>3620.4235294117648</v>
      </c>
      <c r="AD24" s="31">
        <v>6218.3567110000004</v>
      </c>
      <c r="AE24" s="31">
        <v>6585.334793</v>
      </c>
      <c r="AF24" s="431">
        <v>3578.4882352941177</v>
      </c>
      <c r="AG24" s="31">
        <v>11031.38421</v>
      </c>
      <c r="AH24" s="31">
        <v>11594.868651000001</v>
      </c>
      <c r="AI24" s="431">
        <v>6675.1176470588234</v>
      </c>
      <c r="AJ24" s="31">
        <v>10949.183835</v>
      </c>
      <c r="AK24" s="31">
        <v>11504.855615</v>
      </c>
      <c r="AL24" s="431">
        <v>6634.6058823529411</v>
      </c>
      <c r="AM24" s="31">
        <v>4457.6882230000001</v>
      </c>
      <c r="AN24" s="31">
        <v>4687.2882360000003</v>
      </c>
      <c r="AO24" s="431">
        <v>2491.0470588235294</v>
      </c>
      <c r="AP24" s="31">
        <v>4351.3868910000001</v>
      </c>
      <c r="AQ24" s="31">
        <v>4577.6115920000002</v>
      </c>
      <c r="AR24" s="431">
        <v>2456.1176470588234</v>
      </c>
      <c r="AS24" s="31">
        <v>4873.8323780000001</v>
      </c>
      <c r="AT24" s="31">
        <v>5126.9145259999996</v>
      </c>
      <c r="AU24" s="431">
        <v>2707.2352941176468</v>
      </c>
      <c r="AV24" s="31">
        <v>4744.1289729999999</v>
      </c>
      <c r="AW24" s="31">
        <v>4993.0735350000004</v>
      </c>
      <c r="AX24" s="431">
        <v>2665.6823529411768</v>
      </c>
      <c r="AY24" s="31">
        <v>9154.8846059999996</v>
      </c>
      <c r="AZ24" s="31">
        <v>9635.4336370000001</v>
      </c>
      <c r="BA24" s="431">
        <v>5713.0470588235294</v>
      </c>
      <c r="BB24" s="31">
        <v>9035.5619289999995</v>
      </c>
      <c r="BC24" s="31">
        <v>9512.2218790000006</v>
      </c>
      <c r="BD24" s="431">
        <v>5682.1705882352944</v>
      </c>
      <c r="BE24" s="31">
        <v>6484.5631530000001</v>
      </c>
      <c r="BF24" s="31">
        <v>6825.2881550000002</v>
      </c>
      <c r="BG24" s="431">
        <v>4114.5058823529416</v>
      </c>
      <c r="BH24" s="31">
        <v>6389.4931130000004</v>
      </c>
      <c r="BI24" s="31">
        <v>6726.5404040000003</v>
      </c>
      <c r="BJ24" s="431">
        <v>4085.5705882352945</v>
      </c>
      <c r="BK24" s="31">
        <v>11427.030301999999</v>
      </c>
      <c r="BL24" s="31">
        <v>12025.774454</v>
      </c>
      <c r="BM24" s="431">
        <v>7756.5058823529416</v>
      </c>
      <c r="BN24" s="31">
        <v>11330.778649</v>
      </c>
      <c r="BO24" s="31">
        <v>11925.452499999999</v>
      </c>
      <c r="BP24" s="431">
        <v>7741.1</v>
      </c>
      <c r="BQ24" s="31">
        <v>33235.201616999999</v>
      </c>
      <c r="BR24" s="31">
        <v>33596.214054999997</v>
      </c>
      <c r="BS24" s="431">
        <v>17921.405882352941</v>
      </c>
      <c r="BT24" s="31">
        <v>31719.395340999999</v>
      </c>
      <c r="BU24" s="31">
        <v>32062.496024</v>
      </c>
      <c r="BV24" s="431">
        <v>17300.805882352943</v>
      </c>
      <c r="BW24" s="31">
        <v>36587.198900000003</v>
      </c>
      <c r="BX24" s="31">
        <v>37006.986835000003</v>
      </c>
      <c r="BY24" s="431">
        <v>19568.411764705881</v>
      </c>
      <c r="BZ24" s="31">
        <v>34790.743243999998</v>
      </c>
      <c r="CA24" s="31">
        <v>35187.786081999999</v>
      </c>
      <c r="CB24" s="431">
        <v>18856.117647058825</v>
      </c>
      <c r="CC24" s="31">
        <v>86277.764320000002</v>
      </c>
      <c r="CD24" s="31">
        <v>86970.236308000007</v>
      </c>
      <c r="CE24" s="431">
        <v>46287.647058823532</v>
      </c>
      <c r="CF24" s="31">
        <v>84401.430626999994</v>
      </c>
      <c r="CG24" s="31">
        <v>85071.189872999996</v>
      </c>
      <c r="CH24" s="431">
        <v>45459.23529411765</v>
      </c>
      <c r="CI24" s="31">
        <v>55647.374811000002</v>
      </c>
      <c r="CJ24" s="31">
        <v>56174.933561999998</v>
      </c>
      <c r="CK24" s="431">
        <v>30945.823529411762</v>
      </c>
      <c r="CL24" s="31">
        <v>54137.075032000001</v>
      </c>
      <c r="CM24" s="31">
        <v>54646.214593999997</v>
      </c>
      <c r="CN24" s="431">
        <v>30226.588235294119</v>
      </c>
      <c r="CO24" s="31">
        <v>110653.638295</v>
      </c>
      <c r="CP24" s="31">
        <v>111366.353053</v>
      </c>
      <c r="CQ24" s="431">
        <v>63563.76470588235</v>
      </c>
      <c r="CR24" s="31">
        <v>108910.56215</v>
      </c>
      <c r="CS24" s="31">
        <v>109597.640592</v>
      </c>
      <c r="CT24" s="431">
        <v>62759.705882352937</v>
      </c>
      <c r="CU24" s="432">
        <v>683.74883</v>
      </c>
      <c r="CV24" s="432">
        <v>660.86021400000004</v>
      </c>
      <c r="CW24" s="432">
        <v>372.52975900000001</v>
      </c>
      <c r="CX24" s="432">
        <v>356.72119500000002</v>
      </c>
      <c r="CY24" s="432">
        <v>699.77434600000004</v>
      </c>
      <c r="CZ24" s="432">
        <v>673.14270699999997</v>
      </c>
      <c r="DA24" s="432">
        <v>1150.5725870000001</v>
      </c>
      <c r="DB24" s="432">
        <v>1110.106442</v>
      </c>
      <c r="DC24" s="432">
        <v>521.556735</v>
      </c>
      <c r="DD24" s="432">
        <v>498.081073</v>
      </c>
      <c r="DE24" s="432">
        <v>650.09659899999997</v>
      </c>
      <c r="DF24" s="432">
        <v>630.98474399999998</v>
      </c>
      <c r="DG24" s="432">
        <v>343.08768500000002</v>
      </c>
      <c r="DH24" s="432">
        <v>329.058359</v>
      </c>
      <c r="DI24" s="432">
        <v>650.78114600000004</v>
      </c>
      <c r="DJ24" s="432">
        <v>628.71879000000001</v>
      </c>
      <c r="DK24" s="432">
        <v>1125.527859</v>
      </c>
      <c r="DL24" s="432">
        <v>1094.36724</v>
      </c>
      <c r="DM24" s="432">
        <v>467.473005</v>
      </c>
      <c r="DN24" s="432">
        <v>446.86039399999999</v>
      </c>
      <c r="DO24" s="432">
        <v>13836.273499000001</v>
      </c>
      <c r="DP24" s="432">
        <v>13551.322732000001</v>
      </c>
      <c r="DQ24" s="432">
        <v>9104.1879310000004</v>
      </c>
      <c r="DR24" s="432">
        <v>8936.5183770000003</v>
      </c>
      <c r="DS24" s="432">
        <v>13110.187765999999</v>
      </c>
      <c r="DT24" s="432">
        <v>12737.234549999999</v>
      </c>
      <c r="DU24" s="432">
        <v>20062.064929</v>
      </c>
      <c r="DV24" s="432">
        <v>19464.292835</v>
      </c>
      <c r="DW24" s="432">
        <v>10650.784441</v>
      </c>
      <c r="DX24" s="432">
        <v>10322.654877999999</v>
      </c>
    </row>
    <row r="25" spans="2:128" ht="15.75" thickBot="1">
      <c r="B25" s="452" t="s">
        <v>598</v>
      </c>
      <c r="C25" s="272" t="s">
        <v>599</v>
      </c>
      <c r="D25" s="272" t="s">
        <v>540</v>
      </c>
      <c r="E25" s="453">
        <v>18</v>
      </c>
      <c r="F25" s="454" t="s">
        <v>556</v>
      </c>
      <c r="G25" s="455" t="s">
        <v>581</v>
      </c>
      <c r="H25" t="s">
        <v>598</v>
      </c>
      <c r="I25" s="31">
        <v>4272.867886</v>
      </c>
      <c r="J25" s="31">
        <v>4542.4800240000004</v>
      </c>
      <c r="K25" s="431">
        <v>2215.3882352941173</v>
      </c>
      <c r="L25" s="31">
        <v>4255.0862580000003</v>
      </c>
      <c r="M25" s="31">
        <v>4523.5764040000004</v>
      </c>
      <c r="N25" s="431">
        <v>2208.8176470588237</v>
      </c>
      <c r="O25" s="31">
        <v>4648.4807280000005</v>
      </c>
      <c r="P25" s="31">
        <v>4943.277478</v>
      </c>
      <c r="Q25" s="431">
        <v>2402.2411764705885</v>
      </c>
      <c r="R25" s="31">
        <v>4627.4964389999996</v>
      </c>
      <c r="S25" s="31">
        <v>4920.9699389999996</v>
      </c>
      <c r="T25" s="431">
        <v>2393.7705882352943</v>
      </c>
      <c r="U25" s="31">
        <v>8835.0592809999998</v>
      </c>
      <c r="V25" s="31">
        <v>9319.136724</v>
      </c>
      <c r="W25" s="431">
        <v>4951.3705882352942</v>
      </c>
      <c r="X25" s="31">
        <v>8816.6090910000003</v>
      </c>
      <c r="Y25" s="31">
        <v>9299.3191409999999</v>
      </c>
      <c r="Z25" s="431">
        <v>4942.8</v>
      </c>
      <c r="AA25" s="31">
        <v>6234.4732780000004</v>
      </c>
      <c r="AB25" s="31">
        <v>6602.6290870000003</v>
      </c>
      <c r="AC25" s="431">
        <v>3586.535294117647</v>
      </c>
      <c r="AD25" s="31">
        <v>6218.3567110000004</v>
      </c>
      <c r="AE25" s="31">
        <v>6585.334793</v>
      </c>
      <c r="AF25" s="431">
        <v>3578.4882352941177</v>
      </c>
      <c r="AG25" s="31">
        <v>10964.710396</v>
      </c>
      <c r="AH25" s="31">
        <v>11521.854078</v>
      </c>
      <c r="AI25" s="431">
        <v>6643.0764705882357</v>
      </c>
      <c r="AJ25" s="31">
        <v>10949.183835</v>
      </c>
      <c r="AK25" s="31">
        <v>11504.855615</v>
      </c>
      <c r="AL25" s="431">
        <v>6634.6058823529411</v>
      </c>
      <c r="AM25" s="31">
        <v>4371.4606869999998</v>
      </c>
      <c r="AN25" s="31">
        <v>4598.3255669999999</v>
      </c>
      <c r="AO25" s="431">
        <v>2462.5882352941176</v>
      </c>
      <c r="AP25" s="31">
        <v>4351.3868910000001</v>
      </c>
      <c r="AQ25" s="31">
        <v>4577.6115920000002</v>
      </c>
      <c r="AR25" s="431">
        <v>2456.1176470588234</v>
      </c>
      <c r="AS25" s="31">
        <v>4768.6037120000001</v>
      </c>
      <c r="AT25" s="31">
        <v>5018.3332879999998</v>
      </c>
      <c r="AU25" s="431">
        <v>2673.2529411764708</v>
      </c>
      <c r="AV25" s="31">
        <v>4744.1289729999999</v>
      </c>
      <c r="AW25" s="31">
        <v>4993.0735350000004</v>
      </c>
      <c r="AX25" s="431">
        <v>2665.6823529411768</v>
      </c>
      <c r="AY25" s="31">
        <v>9058.1124999999993</v>
      </c>
      <c r="AZ25" s="31">
        <v>9535.5001520000005</v>
      </c>
      <c r="BA25" s="431">
        <v>5687.6411764705881</v>
      </c>
      <c r="BB25" s="31">
        <v>9035.5619289999995</v>
      </c>
      <c r="BC25" s="31">
        <v>9512.2218790000006</v>
      </c>
      <c r="BD25" s="431">
        <v>5682.1705882352944</v>
      </c>
      <c r="BE25" s="31">
        <v>6407.4293980000002</v>
      </c>
      <c r="BF25" s="31">
        <v>6745.1643119999999</v>
      </c>
      <c r="BG25" s="431">
        <v>4091.0941176470587</v>
      </c>
      <c r="BH25" s="31">
        <v>6389.4931130000004</v>
      </c>
      <c r="BI25" s="31">
        <v>6726.5404040000003</v>
      </c>
      <c r="BJ25" s="431">
        <v>4085.5705882352945</v>
      </c>
      <c r="BK25" s="31">
        <v>11348.958909999999</v>
      </c>
      <c r="BL25" s="31">
        <v>11944.385966</v>
      </c>
      <c r="BM25" s="431">
        <v>7743.5705882352941</v>
      </c>
      <c r="BN25" s="31">
        <v>11330.778649</v>
      </c>
      <c r="BO25" s="31">
        <v>11925.452499999999</v>
      </c>
      <c r="BP25" s="431">
        <v>7741.1</v>
      </c>
      <c r="BQ25" s="31">
        <v>32003.720119000001</v>
      </c>
      <c r="BR25" s="31">
        <v>32350.19454</v>
      </c>
      <c r="BS25" s="431">
        <v>17417.341176470589</v>
      </c>
      <c r="BT25" s="31">
        <v>31719.395340999999</v>
      </c>
      <c r="BU25" s="31">
        <v>32062.496024</v>
      </c>
      <c r="BV25" s="431">
        <v>17300.805882352943</v>
      </c>
      <c r="BW25" s="31">
        <v>35126.680893999997</v>
      </c>
      <c r="BX25" s="31">
        <v>35528.008306999996</v>
      </c>
      <c r="BY25" s="431">
        <v>18987.588235294119</v>
      </c>
      <c r="BZ25" s="31">
        <v>34790.743243999998</v>
      </c>
      <c r="CA25" s="31">
        <v>35187.786081999999</v>
      </c>
      <c r="CB25" s="431">
        <v>18856.117647058825</v>
      </c>
      <c r="CC25" s="31">
        <v>84754.713910999999</v>
      </c>
      <c r="CD25" s="31">
        <v>85428.768639000002</v>
      </c>
      <c r="CE25" s="431">
        <v>45615.76470588235</v>
      </c>
      <c r="CF25" s="31">
        <v>84401.430626999994</v>
      </c>
      <c r="CG25" s="31">
        <v>85071.189872999996</v>
      </c>
      <c r="CH25" s="431">
        <v>45459.23529411765</v>
      </c>
      <c r="CI25" s="31">
        <v>54420.602316999997</v>
      </c>
      <c r="CJ25" s="31">
        <v>54933.227989999999</v>
      </c>
      <c r="CK25" s="431">
        <v>30362.176470588238</v>
      </c>
      <c r="CL25" s="31">
        <v>54137.075032000001</v>
      </c>
      <c r="CM25" s="31">
        <v>54646.214593999997</v>
      </c>
      <c r="CN25" s="431">
        <v>30226.588235294119</v>
      </c>
      <c r="CO25" s="31">
        <v>109239.138315</v>
      </c>
      <c r="CP25" s="31">
        <v>109931.07737299999</v>
      </c>
      <c r="CQ25" s="431">
        <v>62911.23529411765</v>
      </c>
      <c r="CR25" s="31">
        <v>108910.56215</v>
      </c>
      <c r="CS25" s="31">
        <v>109597.640592</v>
      </c>
      <c r="CT25" s="431">
        <v>62759.705882352937</v>
      </c>
      <c r="CU25" s="432">
        <v>665.197362</v>
      </c>
      <c r="CV25" s="432">
        <v>660.86021400000004</v>
      </c>
      <c r="CW25" s="432">
        <v>359.70813700000002</v>
      </c>
      <c r="CX25" s="432">
        <v>356.72119500000002</v>
      </c>
      <c r="CY25" s="432">
        <v>678.19654400000002</v>
      </c>
      <c r="CZ25" s="432">
        <v>673.14270699999997</v>
      </c>
      <c r="DA25" s="432">
        <v>1117.7915069999999</v>
      </c>
      <c r="DB25" s="432">
        <v>1110.106442</v>
      </c>
      <c r="DC25" s="432">
        <v>502.53154499999999</v>
      </c>
      <c r="DD25" s="432">
        <v>498.081073</v>
      </c>
      <c r="DE25" s="432">
        <v>634.61415099999999</v>
      </c>
      <c r="DF25" s="432">
        <v>630.98474399999998</v>
      </c>
      <c r="DG25" s="432">
        <v>331.726136</v>
      </c>
      <c r="DH25" s="432">
        <v>329.058359</v>
      </c>
      <c r="DI25" s="432">
        <v>632.91651999999999</v>
      </c>
      <c r="DJ25" s="432">
        <v>628.71879000000001</v>
      </c>
      <c r="DK25" s="432">
        <v>1100.3090549999999</v>
      </c>
      <c r="DL25" s="432">
        <v>1094.36724</v>
      </c>
      <c r="DM25" s="432">
        <v>450.77968900000002</v>
      </c>
      <c r="DN25" s="432">
        <v>446.86039399999999</v>
      </c>
      <c r="DO25" s="432">
        <v>13605.137261</v>
      </c>
      <c r="DP25" s="432">
        <v>13551.322732000001</v>
      </c>
      <c r="DQ25" s="432">
        <v>8967.9463670000005</v>
      </c>
      <c r="DR25" s="432">
        <v>8936.5183770000003</v>
      </c>
      <c r="DS25" s="432">
        <v>12808.011503</v>
      </c>
      <c r="DT25" s="432">
        <v>12737.234549999999</v>
      </c>
      <c r="DU25" s="432">
        <v>19577.783243000002</v>
      </c>
      <c r="DV25" s="432">
        <v>19464.292835</v>
      </c>
      <c r="DW25" s="432">
        <v>10384.84403</v>
      </c>
      <c r="DX25" s="432">
        <v>10322.654877999999</v>
      </c>
    </row>
    <row r="26" spans="2:128" ht="15">
      <c r="B26" s="437" t="s">
        <v>601</v>
      </c>
      <c r="C26" s="438" t="s">
        <v>602</v>
      </c>
      <c r="D26" s="438" t="s">
        <v>176</v>
      </c>
      <c r="E26" s="439">
        <v>10</v>
      </c>
      <c r="F26" s="438" t="s">
        <v>603</v>
      </c>
      <c r="G26" s="456" t="s">
        <v>604</v>
      </c>
      <c r="H26" t="s">
        <v>601</v>
      </c>
      <c r="I26" s="31">
        <v>3308.5724799999998</v>
      </c>
      <c r="J26" s="31">
        <v>3515.5789439999999</v>
      </c>
      <c r="K26" s="431">
        <v>1765.9235294117648</v>
      </c>
      <c r="L26" s="31">
        <v>4491.1412019999998</v>
      </c>
      <c r="M26" s="31">
        <v>4774.8140670000003</v>
      </c>
      <c r="N26" s="431">
        <v>2314.7764705882355</v>
      </c>
      <c r="O26" s="31">
        <v>3584.9206439999998</v>
      </c>
      <c r="P26" s="31">
        <v>3810.228259</v>
      </c>
      <c r="Q26" s="431">
        <v>1916.9176470588236</v>
      </c>
      <c r="R26" s="31">
        <v>4888.0242909999997</v>
      </c>
      <c r="S26" s="31">
        <v>5198.4150200000004</v>
      </c>
      <c r="T26" s="431">
        <v>2508.1999999999998</v>
      </c>
      <c r="U26" s="31">
        <v>7164.6111369999999</v>
      </c>
      <c r="V26" s="31">
        <v>7554.8875710000002</v>
      </c>
      <c r="W26" s="431">
        <v>3983.9411764705883</v>
      </c>
      <c r="X26" s="31">
        <v>9193.5438790000007</v>
      </c>
      <c r="Y26" s="31">
        <v>9698.1407359999994</v>
      </c>
      <c r="Z26" s="431">
        <v>5153.088235294118</v>
      </c>
      <c r="AA26" s="31">
        <v>4994.4289639999997</v>
      </c>
      <c r="AB26" s="31">
        <v>5287.3726839999999</v>
      </c>
      <c r="AC26" s="431">
        <v>2847.8823529411766</v>
      </c>
      <c r="AD26" s="31">
        <v>6519.3356750000003</v>
      </c>
      <c r="AE26" s="31">
        <v>6904.9604660000005</v>
      </c>
      <c r="AF26" s="431">
        <v>3746.3</v>
      </c>
      <c r="AG26" s="31">
        <v>8882.9151720000009</v>
      </c>
      <c r="AH26" s="31">
        <v>9331.5183770000003</v>
      </c>
      <c r="AI26" s="431">
        <v>5267.9294117647059</v>
      </c>
      <c r="AJ26" s="31">
        <v>11395.732352000001</v>
      </c>
      <c r="AK26" s="31">
        <v>11975.966630000001</v>
      </c>
      <c r="AL26" s="431">
        <v>6918.0588235294126</v>
      </c>
      <c r="AM26" s="31">
        <v>3431.8644899999999</v>
      </c>
      <c r="AN26" s="31">
        <v>3609.2593870000001</v>
      </c>
      <c r="AO26" s="431">
        <v>1979.7</v>
      </c>
      <c r="AP26" s="31">
        <v>4588.4417720000001</v>
      </c>
      <c r="AQ26" s="31">
        <v>4826.523083</v>
      </c>
      <c r="AR26" s="431">
        <v>2569.6058823529411</v>
      </c>
      <c r="AS26" s="31">
        <v>3735.5381120000002</v>
      </c>
      <c r="AT26" s="31">
        <v>3930.351099</v>
      </c>
      <c r="AU26" s="431">
        <v>2155.3058823529414</v>
      </c>
      <c r="AV26" s="31">
        <v>5006.6838500000003</v>
      </c>
      <c r="AW26" s="31">
        <v>5268.8204079999996</v>
      </c>
      <c r="AX26" s="431">
        <v>2788.7882352941178</v>
      </c>
      <c r="AY26" s="31">
        <v>7433.9208060000001</v>
      </c>
      <c r="AZ26" s="31">
        <v>7824.4259439999996</v>
      </c>
      <c r="BA26" s="431">
        <v>4580.876470588235</v>
      </c>
      <c r="BB26" s="31">
        <v>9415.4472979999991</v>
      </c>
      <c r="BC26" s="31">
        <v>9911.644096</v>
      </c>
      <c r="BD26" s="431">
        <v>5923.2058823529414</v>
      </c>
      <c r="BE26" s="31">
        <v>5202.1957490000004</v>
      </c>
      <c r="BF26" s="31">
        <v>5475.233072</v>
      </c>
      <c r="BG26" s="431">
        <v>3272.1058823529411</v>
      </c>
      <c r="BH26" s="31">
        <v>6688.8165079999999</v>
      </c>
      <c r="BI26" s="31">
        <v>7041.3598709999997</v>
      </c>
      <c r="BJ26" s="431">
        <v>4268.4941176470584</v>
      </c>
      <c r="BK26" s="31">
        <v>9317.7348569999995</v>
      </c>
      <c r="BL26" s="31">
        <v>9805.5885679999992</v>
      </c>
      <c r="BM26" s="431">
        <v>6159.8058823529409</v>
      </c>
      <c r="BN26" s="31">
        <v>11777.349455</v>
      </c>
      <c r="BO26" s="31">
        <v>12395.239799000001</v>
      </c>
      <c r="BP26" s="431">
        <v>8065.7235294117645</v>
      </c>
      <c r="BQ26" s="31">
        <v>13769.977032999999</v>
      </c>
      <c r="BR26" s="31">
        <v>13916.483915999999</v>
      </c>
      <c r="BS26" s="431">
        <v>9380.4117647058829</v>
      </c>
      <c r="BT26" s="31">
        <v>35933.262398999999</v>
      </c>
      <c r="BU26" s="31">
        <v>36308.919177999996</v>
      </c>
      <c r="BV26" s="431">
        <v>19108.329411764709</v>
      </c>
      <c r="BW26" s="31">
        <v>15016.426993999999</v>
      </c>
      <c r="BX26" s="31">
        <v>15187.317593</v>
      </c>
      <c r="BY26" s="431">
        <v>10123.705882352941</v>
      </c>
      <c r="BZ26" s="31">
        <v>39464.943986999999</v>
      </c>
      <c r="CA26" s="31">
        <v>39902.781065000003</v>
      </c>
      <c r="CB26" s="431">
        <v>20821.647058823528</v>
      </c>
      <c r="CC26" s="31">
        <v>50578.354311000003</v>
      </c>
      <c r="CD26" s="31">
        <v>51070.467827</v>
      </c>
      <c r="CE26" s="431">
        <v>28568.647058823532</v>
      </c>
      <c r="CF26" s="31">
        <v>91763.197927000001</v>
      </c>
      <c r="CG26" s="31">
        <v>92456.838692000005</v>
      </c>
      <c r="CH26" s="431">
        <v>49073.058823529413</v>
      </c>
      <c r="CI26" s="31">
        <v>29638.179040999999</v>
      </c>
      <c r="CJ26" s="31">
        <v>29963.801334</v>
      </c>
      <c r="CK26" s="431">
        <v>17804.882352941175</v>
      </c>
      <c r="CL26" s="31">
        <v>59724.736821999999</v>
      </c>
      <c r="CM26" s="31">
        <v>60258.746227000003</v>
      </c>
      <c r="CN26" s="431">
        <v>33047.588235294112</v>
      </c>
      <c r="CO26" s="31">
        <v>66385.301047000001</v>
      </c>
      <c r="CP26" s="31">
        <v>66913.042042000001</v>
      </c>
      <c r="CQ26" s="431">
        <v>39395.411764705888</v>
      </c>
      <c r="CR26" s="31">
        <v>117753.272501</v>
      </c>
      <c r="CS26" s="31">
        <v>118464.167489</v>
      </c>
      <c r="CT26" s="431">
        <v>67615.876470588235</v>
      </c>
      <c r="CU26" s="432">
        <v>438.91682100000003</v>
      </c>
      <c r="CV26" s="432">
        <v>671.79127000000005</v>
      </c>
      <c r="CW26" s="432">
        <v>203.30705800000001</v>
      </c>
      <c r="CX26" s="432">
        <v>361.81509299999999</v>
      </c>
      <c r="CY26" s="432">
        <v>431.69985500000001</v>
      </c>
      <c r="CZ26" s="432">
        <v>688.334476</v>
      </c>
      <c r="DA26" s="432">
        <v>760.60805000000005</v>
      </c>
      <c r="DB26" s="432">
        <v>1136.272913</v>
      </c>
      <c r="DC26" s="432">
        <v>300.79265500000002</v>
      </c>
      <c r="DD26" s="432">
        <v>509.38924200000002</v>
      </c>
      <c r="DE26" s="432">
        <v>393.24364400000002</v>
      </c>
      <c r="DF26" s="432">
        <v>642.22999100000004</v>
      </c>
      <c r="DG26" s="432">
        <v>167.46432999999999</v>
      </c>
      <c r="DH26" s="432">
        <v>334.67110000000002</v>
      </c>
      <c r="DI26" s="432">
        <v>372.79019299999999</v>
      </c>
      <c r="DJ26" s="432">
        <v>644.13638100000003</v>
      </c>
      <c r="DK26" s="432">
        <v>718.16269499999999</v>
      </c>
      <c r="DL26" s="432">
        <v>1119.956042</v>
      </c>
      <c r="DM26" s="432">
        <v>235.589324</v>
      </c>
      <c r="DN26" s="432">
        <v>459.24388499999998</v>
      </c>
      <c r="DO26" s="432">
        <v>9643.3384540000006</v>
      </c>
      <c r="DP26" s="432">
        <v>13591.201026999999</v>
      </c>
      <c r="DQ26" s="432">
        <v>6091.6468450000002</v>
      </c>
      <c r="DR26" s="432">
        <v>8875.375806</v>
      </c>
      <c r="DS26" s="432">
        <v>8185.5548909999998</v>
      </c>
      <c r="DT26" s="432">
        <v>12893.380217</v>
      </c>
      <c r="DU26" s="432">
        <v>12841.029756</v>
      </c>
      <c r="DV26" s="432">
        <v>19797.514985999998</v>
      </c>
      <c r="DW26" s="432">
        <v>6643.2819079999999</v>
      </c>
      <c r="DX26" s="432">
        <v>10415.786873999999</v>
      </c>
    </row>
    <row r="27" spans="2:128" ht="15">
      <c r="B27" s="442" t="s">
        <v>606</v>
      </c>
      <c r="C27" s="266" t="s">
        <v>607</v>
      </c>
      <c r="D27" s="266" t="s">
        <v>176</v>
      </c>
      <c r="E27" s="443">
        <v>11</v>
      </c>
      <c r="F27" s="266" t="s">
        <v>603</v>
      </c>
      <c r="G27" s="269" t="s">
        <v>608</v>
      </c>
      <c r="H27" t="s">
        <v>606</v>
      </c>
      <c r="I27" s="31">
        <v>3308.5724799999998</v>
      </c>
      <c r="J27" s="31">
        <v>3515.5789439999999</v>
      </c>
      <c r="K27" s="431">
        <v>1765.9235294117648</v>
      </c>
      <c r="L27" s="31">
        <v>4272.867886</v>
      </c>
      <c r="M27" s="31">
        <v>4542.4800240000004</v>
      </c>
      <c r="N27" s="431">
        <v>2215.3882352941173</v>
      </c>
      <c r="O27" s="31">
        <v>3584.9206439999998</v>
      </c>
      <c r="P27" s="31">
        <v>3810.228259</v>
      </c>
      <c r="Q27" s="431">
        <v>1916.9176470588236</v>
      </c>
      <c r="R27" s="31">
        <v>4648.4807280000005</v>
      </c>
      <c r="S27" s="31">
        <v>4943.277478</v>
      </c>
      <c r="T27" s="431">
        <v>2402.2411764705885</v>
      </c>
      <c r="U27" s="31">
        <v>7164.6111369999999</v>
      </c>
      <c r="V27" s="31">
        <v>7554.8875710000002</v>
      </c>
      <c r="W27" s="431">
        <v>3983.9411764705883</v>
      </c>
      <c r="X27" s="31">
        <v>8835.0592809999998</v>
      </c>
      <c r="Y27" s="31">
        <v>9319.136724</v>
      </c>
      <c r="Z27" s="431">
        <v>4951.3705882352942</v>
      </c>
      <c r="AA27" s="31">
        <v>4994.4289639999997</v>
      </c>
      <c r="AB27" s="31">
        <v>5287.3726839999999</v>
      </c>
      <c r="AC27" s="431">
        <v>2847.8823529411766</v>
      </c>
      <c r="AD27" s="31">
        <v>6234.4732780000004</v>
      </c>
      <c r="AE27" s="31">
        <v>6602.6290870000003</v>
      </c>
      <c r="AF27" s="431">
        <v>3586.535294117647</v>
      </c>
      <c r="AG27" s="31">
        <v>8882.9151720000009</v>
      </c>
      <c r="AH27" s="31">
        <v>9331.5183770000003</v>
      </c>
      <c r="AI27" s="431">
        <v>5267.9294117647059</v>
      </c>
      <c r="AJ27" s="31">
        <v>10964.710396</v>
      </c>
      <c r="AK27" s="31">
        <v>11521.854078</v>
      </c>
      <c r="AL27" s="431">
        <v>6643.0764705882357</v>
      </c>
      <c r="AM27" s="31">
        <v>3431.8644899999999</v>
      </c>
      <c r="AN27" s="31">
        <v>3609.2593870000001</v>
      </c>
      <c r="AO27" s="431">
        <v>1979.7</v>
      </c>
      <c r="AP27" s="31">
        <v>4371.4606869999998</v>
      </c>
      <c r="AQ27" s="31">
        <v>4598.3255669999999</v>
      </c>
      <c r="AR27" s="431">
        <v>2462.5882352941176</v>
      </c>
      <c r="AS27" s="31">
        <v>3735.5381120000002</v>
      </c>
      <c r="AT27" s="31">
        <v>3930.351099</v>
      </c>
      <c r="AU27" s="431">
        <v>2155.3058823529414</v>
      </c>
      <c r="AV27" s="31">
        <v>4768.6037120000001</v>
      </c>
      <c r="AW27" s="31">
        <v>5018.3332879999998</v>
      </c>
      <c r="AX27" s="431">
        <v>2673.2529411764708</v>
      </c>
      <c r="AY27" s="31">
        <v>7433.9208060000001</v>
      </c>
      <c r="AZ27" s="31">
        <v>7824.4259439999996</v>
      </c>
      <c r="BA27" s="431">
        <v>4580.876470588235</v>
      </c>
      <c r="BB27" s="31">
        <v>9058.1124999999993</v>
      </c>
      <c r="BC27" s="31">
        <v>9535.5001520000005</v>
      </c>
      <c r="BD27" s="431">
        <v>5687.6411764705881</v>
      </c>
      <c r="BE27" s="31">
        <v>5202.1957490000004</v>
      </c>
      <c r="BF27" s="31">
        <v>5475.233072</v>
      </c>
      <c r="BG27" s="431">
        <v>3272.1058823529411</v>
      </c>
      <c r="BH27" s="31">
        <v>6407.4293980000002</v>
      </c>
      <c r="BI27" s="31">
        <v>6745.1643119999999</v>
      </c>
      <c r="BJ27" s="431">
        <v>4091.0941176470587</v>
      </c>
      <c r="BK27" s="31">
        <v>9317.7348569999995</v>
      </c>
      <c r="BL27" s="31">
        <v>9805.5885679999992</v>
      </c>
      <c r="BM27" s="431">
        <v>6159.8058823529409</v>
      </c>
      <c r="BN27" s="31">
        <v>11348.958909999999</v>
      </c>
      <c r="BO27" s="31">
        <v>11944.385966</v>
      </c>
      <c r="BP27" s="431">
        <v>7743.5705882352941</v>
      </c>
      <c r="BQ27" s="31">
        <v>13769.977032999999</v>
      </c>
      <c r="BR27" s="31">
        <v>13916.483915999999</v>
      </c>
      <c r="BS27" s="431">
        <v>9380.4117647058829</v>
      </c>
      <c r="BT27" s="31">
        <v>32003.720119000001</v>
      </c>
      <c r="BU27" s="31">
        <v>32350.19454</v>
      </c>
      <c r="BV27" s="431">
        <v>17417.341176470589</v>
      </c>
      <c r="BW27" s="31">
        <v>15016.426993999999</v>
      </c>
      <c r="BX27" s="31">
        <v>15187.317593</v>
      </c>
      <c r="BY27" s="431">
        <v>10123.705882352941</v>
      </c>
      <c r="BZ27" s="31">
        <v>35126.680893999997</v>
      </c>
      <c r="CA27" s="31">
        <v>35528.008306999996</v>
      </c>
      <c r="CB27" s="431">
        <v>18987.588235294119</v>
      </c>
      <c r="CC27" s="31">
        <v>50578.354311000003</v>
      </c>
      <c r="CD27" s="31">
        <v>51070.467827</v>
      </c>
      <c r="CE27" s="431">
        <v>28568.647058823532</v>
      </c>
      <c r="CF27" s="31">
        <v>84754.713910999999</v>
      </c>
      <c r="CG27" s="31">
        <v>85428.768639000002</v>
      </c>
      <c r="CH27" s="431">
        <v>45615.76470588235</v>
      </c>
      <c r="CI27" s="31">
        <v>29638.179040999999</v>
      </c>
      <c r="CJ27" s="31">
        <v>29963.801334</v>
      </c>
      <c r="CK27" s="431">
        <v>17804.882352941175</v>
      </c>
      <c r="CL27" s="31">
        <v>54420.602316999997</v>
      </c>
      <c r="CM27" s="31">
        <v>54933.227989999999</v>
      </c>
      <c r="CN27" s="431">
        <v>30362.176470588238</v>
      </c>
      <c r="CO27" s="31">
        <v>66385.301047000001</v>
      </c>
      <c r="CP27" s="31">
        <v>66913.042042000001</v>
      </c>
      <c r="CQ27" s="431">
        <v>39395.411764705888</v>
      </c>
      <c r="CR27" s="31">
        <v>109239.138315</v>
      </c>
      <c r="CS27" s="31">
        <v>109931.07737299999</v>
      </c>
      <c r="CT27" s="431">
        <v>62911.23529411765</v>
      </c>
      <c r="CU27" s="432">
        <v>438.91682100000003</v>
      </c>
      <c r="CV27" s="432">
        <v>665.197362</v>
      </c>
      <c r="CW27" s="432">
        <v>203.30705800000001</v>
      </c>
      <c r="CX27" s="432">
        <v>359.70813700000002</v>
      </c>
      <c r="CY27" s="432">
        <v>431.69985500000001</v>
      </c>
      <c r="CZ27" s="432">
        <v>678.19654400000002</v>
      </c>
      <c r="DA27" s="432">
        <v>760.60805000000005</v>
      </c>
      <c r="DB27" s="432">
        <v>1117.7915069999999</v>
      </c>
      <c r="DC27" s="432">
        <v>300.79265500000002</v>
      </c>
      <c r="DD27" s="432">
        <v>502.53154499999999</v>
      </c>
      <c r="DE27" s="432">
        <v>393.24364400000002</v>
      </c>
      <c r="DF27" s="432">
        <v>634.61415099999999</v>
      </c>
      <c r="DG27" s="432">
        <v>167.46432999999999</v>
      </c>
      <c r="DH27" s="432">
        <v>331.726136</v>
      </c>
      <c r="DI27" s="432">
        <v>372.79019299999999</v>
      </c>
      <c r="DJ27" s="432">
        <v>632.91651999999999</v>
      </c>
      <c r="DK27" s="432">
        <v>718.16269499999999</v>
      </c>
      <c r="DL27" s="432">
        <v>1100.3090549999999</v>
      </c>
      <c r="DM27" s="432">
        <v>235.589324</v>
      </c>
      <c r="DN27" s="432">
        <v>450.77968900000002</v>
      </c>
      <c r="DO27" s="432">
        <v>9643.3384540000006</v>
      </c>
      <c r="DP27" s="432">
        <v>13605.137261</v>
      </c>
      <c r="DQ27" s="432">
        <v>6091.6468450000002</v>
      </c>
      <c r="DR27" s="432">
        <v>8967.9463670000005</v>
      </c>
      <c r="DS27" s="432">
        <v>8185.5548909999998</v>
      </c>
      <c r="DT27" s="432">
        <v>12808.011503</v>
      </c>
      <c r="DU27" s="432">
        <v>12841.029756</v>
      </c>
      <c r="DV27" s="432">
        <v>19577.783243000002</v>
      </c>
      <c r="DW27" s="432">
        <v>6643.2819079999999</v>
      </c>
      <c r="DX27" s="432">
        <v>10384.84403</v>
      </c>
    </row>
    <row r="28" spans="2:128" ht="15">
      <c r="B28" s="442" t="s">
        <v>610</v>
      </c>
      <c r="C28" s="266" t="s">
        <v>611</v>
      </c>
      <c r="D28" s="266" t="s">
        <v>176</v>
      </c>
      <c r="E28" s="443">
        <v>12</v>
      </c>
      <c r="F28" s="266" t="s">
        <v>603</v>
      </c>
      <c r="G28" s="269" t="s">
        <v>612</v>
      </c>
      <c r="H28" t="s">
        <v>610</v>
      </c>
      <c r="I28" s="31">
        <v>3308.5724799999998</v>
      </c>
      <c r="J28" s="31">
        <v>3515.5789439999999</v>
      </c>
      <c r="K28" s="431">
        <v>1765.9235294117648</v>
      </c>
      <c r="L28" s="31">
        <v>3308.5724799999998</v>
      </c>
      <c r="M28" s="31">
        <v>3515.5789439999999</v>
      </c>
      <c r="N28" s="431">
        <v>1765.9235294117648</v>
      </c>
      <c r="O28" s="31">
        <v>3584.9206439999998</v>
      </c>
      <c r="P28" s="31">
        <v>3810.228259</v>
      </c>
      <c r="Q28" s="431">
        <v>1916.9176470588236</v>
      </c>
      <c r="R28" s="31">
        <v>3584.9206439999998</v>
      </c>
      <c r="S28" s="31">
        <v>3810.228259</v>
      </c>
      <c r="T28" s="431">
        <v>1916.9176470588236</v>
      </c>
      <c r="U28" s="31">
        <v>7164.6111369999999</v>
      </c>
      <c r="V28" s="31">
        <v>7554.8875710000002</v>
      </c>
      <c r="W28" s="431">
        <v>3983.9411764705883</v>
      </c>
      <c r="X28" s="31">
        <v>7164.6111369999999</v>
      </c>
      <c r="Y28" s="31">
        <v>7554.8875710000002</v>
      </c>
      <c r="Z28" s="431">
        <v>3983.9411764705883</v>
      </c>
      <c r="AA28" s="31">
        <v>4994.4289639999997</v>
      </c>
      <c r="AB28" s="31">
        <v>5287.3726839999999</v>
      </c>
      <c r="AC28" s="431">
        <v>2847.8823529411766</v>
      </c>
      <c r="AD28" s="31">
        <v>4994.4289639999997</v>
      </c>
      <c r="AE28" s="31">
        <v>5287.3726839999999</v>
      </c>
      <c r="AF28" s="431">
        <v>2847.8823529411766</v>
      </c>
      <c r="AG28" s="31">
        <v>8882.9151720000009</v>
      </c>
      <c r="AH28" s="31">
        <v>9331.5183770000003</v>
      </c>
      <c r="AI28" s="431">
        <v>5267.9294117647059</v>
      </c>
      <c r="AJ28" s="31">
        <v>8882.9151720000009</v>
      </c>
      <c r="AK28" s="31">
        <v>9331.5183770000003</v>
      </c>
      <c r="AL28" s="431">
        <v>5267.9294117647059</v>
      </c>
      <c r="AM28" s="31">
        <v>3431.8644899999999</v>
      </c>
      <c r="AN28" s="31">
        <v>3609.2593870000001</v>
      </c>
      <c r="AO28" s="431">
        <v>1979.7</v>
      </c>
      <c r="AP28" s="31">
        <v>3431.8644899999999</v>
      </c>
      <c r="AQ28" s="31">
        <v>3609.2593870000001</v>
      </c>
      <c r="AR28" s="431">
        <v>1979.7</v>
      </c>
      <c r="AS28" s="31">
        <v>3735.5381120000002</v>
      </c>
      <c r="AT28" s="31">
        <v>3930.351099</v>
      </c>
      <c r="AU28" s="431">
        <v>2155.3058823529414</v>
      </c>
      <c r="AV28" s="31">
        <v>3735.5381120000002</v>
      </c>
      <c r="AW28" s="31">
        <v>3930.351099</v>
      </c>
      <c r="AX28" s="431">
        <v>2155.3058823529414</v>
      </c>
      <c r="AY28" s="31">
        <v>7433.9208060000001</v>
      </c>
      <c r="AZ28" s="31">
        <v>7824.4259439999996</v>
      </c>
      <c r="BA28" s="431">
        <v>4580.876470588235</v>
      </c>
      <c r="BB28" s="31">
        <v>7433.9208060000001</v>
      </c>
      <c r="BC28" s="31">
        <v>7824.4259439999996</v>
      </c>
      <c r="BD28" s="431">
        <v>4580.876470588235</v>
      </c>
      <c r="BE28" s="31">
        <v>5202.1957490000004</v>
      </c>
      <c r="BF28" s="31">
        <v>5475.233072</v>
      </c>
      <c r="BG28" s="431">
        <v>3272.1058823529411</v>
      </c>
      <c r="BH28" s="31">
        <v>5202.1957490000004</v>
      </c>
      <c r="BI28" s="31">
        <v>5475.233072</v>
      </c>
      <c r="BJ28" s="431">
        <v>3272.1058823529411</v>
      </c>
      <c r="BK28" s="31">
        <v>9317.7348569999995</v>
      </c>
      <c r="BL28" s="31">
        <v>9805.5885679999992</v>
      </c>
      <c r="BM28" s="431">
        <v>6159.8058823529409</v>
      </c>
      <c r="BN28" s="31">
        <v>9317.7348569999995</v>
      </c>
      <c r="BO28" s="31">
        <v>9805.5885679999992</v>
      </c>
      <c r="BP28" s="431">
        <v>6159.8058823529409</v>
      </c>
      <c r="BQ28" s="31">
        <v>13769.977032999999</v>
      </c>
      <c r="BR28" s="31">
        <v>13916.483915999999</v>
      </c>
      <c r="BS28" s="431">
        <v>9380.4117647058829</v>
      </c>
      <c r="BT28" s="31">
        <v>13769.977032999999</v>
      </c>
      <c r="BU28" s="31">
        <v>13916.483915999999</v>
      </c>
      <c r="BV28" s="431">
        <v>9380.4117647058829</v>
      </c>
      <c r="BW28" s="31">
        <v>15016.426993999999</v>
      </c>
      <c r="BX28" s="31">
        <v>15187.317593</v>
      </c>
      <c r="BY28" s="431">
        <v>10123.705882352941</v>
      </c>
      <c r="BZ28" s="31">
        <v>15016.426993999999</v>
      </c>
      <c r="CA28" s="31">
        <v>15187.317593</v>
      </c>
      <c r="CB28" s="431">
        <v>10123.705882352941</v>
      </c>
      <c r="CC28" s="31">
        <v>50578.354311000003</v>
      </c>
      <c r="CD28" s="31">
        <v>51070.467827</v>
      </c>
      <c r="CE28" s="431">
        <v>28568.647058823532</v>
      </c>
      <c r="CF28" s="31">
        <v>50578.354311000003</v>
      </c>
      <c r="CG28" s="31">
        <v>51070.467827</v>
      </c>
      <c r="CH28" s="431">
        <v>28568.647058823532</v>
      </c>
      <c r="CI28" s="31">
        <v>29638.179040999999</v>
      </c>
      <c r="CJ28" s="31">
        <v>29963.801334</v>
      </c>
      <c r="CK28" s="431">
        <v>17804.882352941175</v>
      </c>
      <c r="CL28" s="31">
        <v>29638.179040999999</v>
      </c>
      <c r="CM28" s="31">
        <v>29963.801334</v>
      </c>
      <c r="CN28" s="431">
        <v>17804.882352941175</v>
      </c>
      <c r="CO28" s="31">
        <v>66385.301047000001</v>
      </c>
      <c r="CP28" s="31">
        <v>66913.042042000001</v>
      </c>
      <c r="CQ28" s="431">
        <v>39395.411764705888</v>
      </c>
      <c r="CR28" s="31">
        <v>66385.301047000001</v>
      </c>
      <c r="CS28" s="31">
        <v>66913.042042000001</v>
      </c>
      <c r="CT28" s="431">
        <v>39395.411764705888</v>
      </c>
      <c r="CU28" s="432">
        <v>438.91682100000003</v>
      </c>
      <c r="CV28" s="432">
        <v>438.91682100000003</v>
      </c>
      <c r="CW28" s="432">
        <v>203.30705800000001</v>
      </c>
      <c r="CX28" s="432">
        <v>203.30705800000001</v>
      </c>
      <c r="CY28" s="432">
        <v>431.69985500000001</v>
      </c>
      <c r="CZ28" s="432">
        <v>431.69985500000001</v>
      </c>
      <c r="DA28" s="432">
        <v>760.60805000000005</v>
      </c>
      <c r="DB28" s="432">
        <v>760.60805000000005</v>
      </c>
      <c r="DC28" s="432">
        <v>300.79265500000002</v>
      </c>
      <c r="DD28" s="432">
        <v>300.79265500000002</v>
      </c>
      <c r="DE28" s="432">
        <v>393.24364400000002</v>
      </c>
      <c r="DF28" s="432">
        <v>393.24364400000002</v>
      </c>
      <c r="DG28" s="432">
        <v>167.46432999999999</v>
      </c>
      <c r="DH28" s="432">
        <v>167.46432999999999</v>
      </c>
      <c r="DI28" s="432">
        <v>372.79019299999999</v>
      </c>
      <c r="DJ28" s="432">
        <v>372.79019299999999</v>
      </c>
      <c r="DK28" s="432">
        <v>718.16269499999999</v>
      </c>
      <c r="DL28" s="432">
        <v>718.16269499999999</v>
      </c>
      <c r="DM28" s="432">
        <v>235.589324</v>
      </c>
      <c r="DN28" s="432">
        <v>235.589324</v>
      </c>
      <c r="DO28" s="432">
        <v>9643.3384540000006</v>
      </c>
      <c r="DP28" s="432">
        <v>9643.3384540000006</v>
      </c>
      <c r="DQ28" s="432">
        <v>6091.6468450000002</v>
      </c>
      <c r="DR28" s="432">
        <v>6091.6468450000002</v>
      </c>
      <c r="DS28" s="432">
        <v>8185.5548909999998</v>
      </c>
      <c r="DT28" s="432">
        <v>8185.5548909999998</v>
      </c>
      <c r="DU28" s="432">
        <v>12841.029756</v>
      </c>
      <c r="DV28" s="432">
        <v>12841.029756</v>
      </c>
      <c r="DW28" s="432">
        <v>6643.2819079999999</v>
      </c>
      <c r="DX28" s="432">
        <v>6643.2819079999999</v>
      </c>
    </row>
    <row r="29" spans="2:128" ht="15">
      <c r="B29" s="442" t="s">
        <v>614</v>
      </c>
      <c r="C29" s="266" t="s">
        <v>615</v>
      </c>
      <c r="D29" s="266" t="s">
        <v>176</v>
      </c>
      <c r="E29" s="443">
        <v>13</v>
      </c>
      <c r="F29" s="266" t="s">
        <v>603</v>
      </c>
      <c r="G29" s="269" t="s">
        <v>616</v>
      </c>
      <c r="H29" t="s">
        <v>614</v>
      </c>
      <c r="I29" s="31">
        <v>3308.5724799999998</v>
      </c>
      <c r="J29" s="31">
        <v>3515.5789439999999</v>
      </c>
      <c r="K29" s="431">
        <v>1765.9235294117648</v>
      </c>
      <c r="L29" s="31">
        <v>3867.3028690000001</v>
      </c>
      <c r="M29" s="31">
        <v>4110.7582970000003</v>
      </c>
      <c r="N29" s="431">
        <v>2030.6058823529413</v>
      </c>
      <c r="O29" s="31">
        <v>3584.9206439999998</v>
      </c>
      <c r="P29" s="31">
        <v>3810.228259</v>
      </c>
      <c r="Q29" s="431">
        <v>1916.9176470588236</v>
      </c>
      <c r="R29" s="31">
        <v>4201.1388189999998</v>
      </c>
      <c r="S29" s="31">
        <v>4466.9757149999996</v>
      </c>
      <c r="T29" s="431">
        <v>2201.8882352941173</v>
      </c>
      <c r="U29" s="31">
        <v>7164.6111369999999</v>
      </c>
      <c r="V29" s="31">
        <v>7554.8875710000002</v>
      </c>
      <c r="W29" s="431">
        <v>3983.9411764705883</v>
      </c>
      <c r="X29" s="31">
        <v>8158.1539750000002</v>
      </c>
      <c r="Y29" s="31">
        <v>8603.7132579999998</v>
      </c>
      <c r="Z29" s="431">
        <v>4573.5823529411764</v>
      </c>
      <c r="AA29" s="31">
        <v>4994.4289639999997</v>
      </c>
      <c r="AB29" s="31">
        <v>5287.3726839999999</v>
      </c>
      <c r="AC29" s="431">
        <v>2847.8823529411766</v>
      </c>
      <c r="AD29" s="31">
        <v>5703.6828159999995</v>
      </c>
      <c r="AE29" s="31">
        <v>6039.3187399999997</v>
      </c>
      <c r="AF29" s="431">
        <v>3287.2705882352943</v>
      </c>
      <c r="AG29" s="31">
        <v>8882.9151720000009</v>
      </c>
      <c r="AH29" s="31">
        <v>9331.5183770000003</v>
      </c>
      <c r="AI29" s="431">
        <v>5267.9294117647059</v>
      </c>
      <c r="AJ29" s="31">
        <v>10146.583692</v>
      </c>
      <c r="AK29" s="31">
        <v>10660.198053</v>
      </c>
      <c r="AL29" s="431">
        <v>6123.376470588235</v>
      </c>
      <c r="AM29" s="31">
        <v>3431.8644899999999</v>
      </c>
      <c r="AN29" s="31">
        <v>3609.2593870000001</v>
      </c>
      <c r="AO29" s="431">
        <v>1979.7</v>
      </c>
      <c r="AP29" s="31">
        <v>3967.9343600000002</v>
      </c>
      <c r="AQ29" s="31">
        <v>4173.8940620000003</v>
      </c>
      <c r="AR29" s="431">
        <v>2262.1705882352944</v>
      </c>
      <c r="AS29" s="31">
        <v>3735.5381120000002</v>
      </c>
      <c r="AT29" s="31">
        <v>3930.351099</v>
      </c>
      <c r="AU29" s="431">
        <v>2155.3058823529414</v>
      </c>
      <c r="AV29" s="31">
        <v>4325.3048989999998</v>
      </c>
      <c r="AW29" s="31">
        <v>4551.8873720000001</v>
      </c>
      <c r="AX29" s="431">
        <v>2456.6470588235297</v>
      </c>
      <c r="AY29" s="31">
        <v>7433.9208060000001</v>
      </c>
      <c r="AZ29" s="31">
        <v>7824.4259439999996</v>
      </c>
      <c r="BA29" s="431">
        <v>4580.876470588235</v>
      </c>
      <c r="BB29" s="31">
        <v>8385.7750570000007</v>
      </c>
      <c r="BC29" s="31">
        <v>8827.7120529999993</v>
      </c>
      <c r="BD29" s="431">
        <v>5250.0294117647063</v>
      </c>
      <c r="BE29" s="31">
        <v>5202.1957490000004</v>
      </c>
      <c r="BF29" s="31">
        <v>5475.233072</v>
      </c>
      <c r="BG29" s="431">
        <v>3272.1058823529411</v>
      </c>
      <c r="BH29" s="31">
        <v>5883.0054460000001</v>
      </c>
      <c r="BI29" s="31">
        <v>6193.0824709999997</v>
      </c>
      <c r="BJ29" s="431">
        <v>3758.7647058823532</v>
      </c>
      <c r="BK29" s="31">
        <v>9317.7348569999995</v>
      </c>
      <c r="BL29" s="31">
        <v>9805.5885679999992</v>
      </c>
      <c r="BM29" s="431">
        <v>6159.8058823529409</v>
      </c>
      <c r="BN29" s="31">
        <v>10537.950832</v>
      </c>
      <c r="BO29" s="31">
        <v>11090.803974</v>
      </c>
      <c r="BP29" s="431">
        <v>7138.8823529411766</v>
      </c>
      <c r="BQ29" s="31">
        <v>13769.977032999999</v>
      </c>
      <c r="BR29" s="31">
        <v>13916.483915999999</v>
      </c>
      <c r="BS29" s="431">
        <v>9380.4117647058829</v>
      </c>
      <c r="BT29" s="31">
        <v>24762.977811000001</v>
      </c>
      <c r="BU29" s="31">
        <v>25046.275119000002</v>
      </c>
      <c r="BV29" s="431">
        <v>14270.941176470587</v>
      </c>
      <c r="BW29" s="31">
        <v>15016.426993999999</v>
      </c>
      <c r="BX29" s="31">
        <v>15187.317593</v>
      </c>
      <c r="BY29" s="431">
        <v>10123.705882352941</v>
      </c>
      <c r="BZ29" s="31">
        <v>27232.345390999999</v>
      </c>
      <c r="CA29" s="31">
        <v>27558.807067999998</v>
      </c>
      <c r="CB29" s="431">
        <v>15536</v>
      </c>
      <c r="CC29" s="31">
        <v>50578.354311000003</v>
      </c>
      <c r="CD29" s="31">
        <v>51070.467827</v>
      </c>
      <c r="CE29" s="431">
        <v>28568.647058823532</v>
      </c>
      <c r="CF29" s="31">
        <v>71636.922768999997</v>
      </c>
      <c r="CG29" s="31">
        <v>72267.595614999998</v>
      </c>
      <c r="CH29" s="431">
        <v>39116.76470588235</v>
      </c>
      <c r="CI29" s="31">
        <v>29638.179040999999</v>
      </c>
      <c r="CJ29" s="31">
        <v>29963.801334</v>
      </c>
      <c r="CK29" s="431">
        <v>17804.882352941175</v>
      </c>
      <c r="CL29" s="31">
        <v>44584.082612999999</v>
      </c>
      <c r="CM29" s="31">
        <v>45048.353178999998</v>
      </c>
      <c r="CN29" s="431">
        <v>25363.176470588238</v>
      </c>
      <c r="CO29" s="31">
        <v>66385.301047000001</v>
      </c>
      <c r="CP29" s="31">
        <v>66913.042042000001</v>
      </c>
      <c r="CQ29" s="431">
        <v>39395.411764705888</v>
      </c>
      <c r="CR29" s="31">
        <v>93094.189670000007</v>
      </c>
      <c r="CS29" s="31">
        <v>93742.574947999994</v>
      </c>
      <c r="CT29" s="431">
        <v>54072.352941176476</v>
      </c>
      <c r="CU29" s="432">
        <v>438.91682100000003</v>
      </c>
      <c r="CV29" s="432">
        <v>642.50543600000003</v>
      </c>
      <c r="CW29" s="432">
        <v>203.30705800000001</v>
      </c>
      <c r="CX29" s="432">
        <v>347.78448800000001</v>
      </c>
      <c r="CY29" s="432">
        <v>431.69985500000001</v>
      </c>
      <c r="CZ29" s="432">
        <v>647.557008</v>
      </c>
      <c r="DA29" s="432">
        <v>760.60805000000005</v>
      </c>
      <c r="DB29" s="432">
        <v>1066.865583</v>
      </c>
      <c r="DC29" s="432">
        <v>300.79265500000002</v>
      </c>
      <c r="DD29" s="432">
        <v>480.15267299999999</v>
      </c>
      <c r="DE29" s="432">
        <v>393.24364400000002</v>
      </c>
      <c r="DF29" s="432">
        <v>608.94990700000005</v>
      </c>
      <c r="DG29" s="432">
        <v>167.46432999999999</v>
      </c>
      <c r="DH29" s="432">
        <v>317.53217699999999</v>
      </c>
      <c r="DI29" s="432">
        <v>372.79019299999999</v>
      </c>
      <c r="DJ29" s="432">
        <v>599.45006000000001</v>
      </c>
      <c r="DK29" s="432">
        <v>718.16269499999999</v>
      </c>
      <c r="DL29" s="432">
        <v>1046.0244029999999</v>
      </c>
      <c r="DM29" s="432">
        <v>235.589324</v>
      </c>
      <c r="DN29" s="432">
        <v>425.28814899999998</v>
      </c>
      <c r="DO29" s="432">
        <v>9643.3384540000006</v>
      </c>
      <c r="DP29" s="432">
        <v>13449.927172</v>
      </c>
      <c r="DQ29" s="432">
        <v>6091.6468450000002</v>
      </c>
      <c r="DR29" s="432">
        <v>8999.6338880000003</v>
      </c>
      <c r="DS29" s="432">
        <v>8185.5548909999998</v>
      </c>
      <c r="DT29" s="432">
        <v>12428.105729999999</v>
      </c>
      <c r="DU29" s="432">
        <v>12841.029756</v>
      </c>
      <c r="DV29" s="432">
        <v>18868.093712000002</v>
      </c>
      <c r="DW29" s="432">
        <v>6643.2819079999999</v>
      </c>
      <c r="DX29" s="432">
        <v>10146.732408</v>
      </c>
    </row>
    <row r="30" spans="2:128" ht="15">
      <c r="B30" s="442" t="s">
        <v>618</v>
      </c>
      <c r="C30" s="266" t="s">
        <v>619</v>
      </c>
      <c r="D30" s="266" t="s">
        <v>176</v>
      </c>
      <c r="E30" s="443">
        <v>14</v>
      </c>
      <c r="F30" s="266" t="s">
        <v>603</v>
      </c>
      <c r="G30" s="269" t="s">
        <v>620</v>
      </c>
      <c r="H30" t="s">
        <v>618</v>
      </c>
      <c r="I30" s="31">
        <v>3308.5724799999998</v>
      </c>
      <c r="J30" s="31">
        <v>3515.5789439999999</v>
      </c>
      <c r="K30" s="431">
        <v>1765.9235294117648</v>
      </c>
      <c r="L30" s="31">
        <v>3615.9523119999999</v>
      </c>
      <c r="M30" s="31">
        <v>3843.2141000000001</v>
      </c>
      <c r="N30" s="431">
        <v>1917.329411764706</v>
      </c>
      <c r="O30" s="31">
        <v>3584.9206439999998</v>
      </c>
      <c r="P30" s="31">
        <v>3810.228259</v>
      </c>
      <c r="Q30" s="431">
        <v>1916.9176470588236</v>
      </c>
      <c r="R30" s="31">
        <v>3924.8403199999998</v>
      </c>
      <c r="S30" s="31">
        <v>4173.0032449999999</v>
      </c>
      <c r="T30" s="431">
        <v>2078.0411764705887</v>
      </c>
      <c r="U30" s="31">
        <v>7164.6111369999999</v>
      </c>
      <c r="V30" s="31">
        <v>7554.8875710000002</v>
      </c>
      <c r="W30" s="431">
        <v>3983.9411764705883</v>
      </c>
      <c r="X30" s="31">
        <v>7742.2099250000001</v>
      </c>
      <c r="Y30" s="31">
        <v>8164.0315760000003</v>
      </c>
      <c r="Z30" s="431">
        <v>4350.3529411764703</v>
      </c>
      <c r="AA30" s="31">
        <v>4994.4289639999997</v>
      </c>
      <c r="AB30" s="31">
        <v>5287.3726839999999</v>
      </c>
      <c r="AC30" s="431">
        <v>2847.8823529411766</v>
      </c>
      <c r="AD30" s="31">
        <v>5371.0874860000004</v>
      </c>
      <c r="AE30" s="31">
        <v>5686.3462099999997</v>
      </c>
      <c r="AF30" s="431">
        <v>3107.0411764705877</v>
      </c>
      <c r="AG30" s="31">
        <v>8882.9151720000009</v>
      </c>
      <c r="AH30" s="31">
        <v>9331.5183770000003</v>
      </c>
      <c r="AI30" s="431">
        <v>5267.9294117647059</v>
      </c>
      <c r="AJ30" s="31">
        <v>9650.8199719999993</v>
      </c>
      <c r="AK30" s="31">
        <v>10137.95709</v>
      </c>
      <c r="AL30" s="431">
        <v>5822.5117647058833</v>
      </c>
      <c r="AM30" s="31">
        <v>3431.8644899999999</v>
      </c>
      <c r="AN30" s="31">
        <v>3609.2593870000001</v>
      </c>
      <c r="AO30" s="431">
        <v>1979.7</v>
      </c>
      <c r="AP30" s="31">
        <v>3715.931368</v>
      </c>
      <c r="AQ30" s="31">
        <v>3908.9011890000002</v>
      </c>
      <c r="AR30" s="431">
        <v>2139.3117647058825</v>
      </c>
      <c r="AS30" s="31">
        <v>3735.5381120000002</v>
      </c>
      <c r="AT30" s="31">
        <v>3930.351099</v>
      </c>
      <c r="AU30" s="431">
        <v>2155.3058823529414</v>
      </c>
      <c r="AV30" s="31">
        <v>4048.0695580000001</v>
      </c>
      <c r="AW30" s="31">
        <v>4260.24748</v>
      </c>
      <c r="AX30" s="431">
        <v>2322.6941176470591</v>
      </c>
      <c r="AY30" s="31">
        <v>7433.9208060000001</v>
      </c>
      <c r="AZ30" s="31">
        <v>7824.4259439999996</v>
      </c>
      <c r="BA30" s="431">
        <v>4580.876470588235</v>
      </c>
      <c r="BB30" s="31">
        <v>7968.7341079999997</v>
      </c>
      <c r="BC30" s="31">
        <v>8388.7734170000003</v>
      </c>
      <c r="BD30" s="431">
        <v>4992.623529411765</v>
      </c>
      <c r="BE30" s="31">
        <v>5202.1957490000004</v>
      </c>
      <c r="BF30" s="31">
        <v>5475.233072</v>
      </c>
      <c r="BG30" s="431">
        <v>3272.1058823529411</v>
      </c>
      <c r="BH30" s="31">
        <v>5551.9092199999996</v>
      </c>
      <c r="BI30" s="31">
        <v>5844.6139819999999</v>
      </c>
      <c r="BJ30" s="431">
        <v>3557.9000000000005</v>
      </c>
      <c r="BK30" s="31">
        <v>9317.7348569999995</v>
      </c>
      <c r="BL30" s="31">
        <v>9805.5885679999992</v>
      </c>
      <c r="BM30" s="431">
        <v>6159.8058823529409</v>
      </c>
      <c r="BN30" s="31">
        <v>10043.509135</v>
      </c>
      <c r="BO30" s="31">
        <v>10570.474227999999</v>
      </c>
      <c r="BP30" s="431">
        <v>6789.3117647058825</v>
      </c>
      <c r="BQ30" s="31">
        <v>13769.977032999999</v>
      </c>
      <c r="BR30" s="31">
        <v>13916.483915999999</v>
      </c>
      <c r="BS30" s="431">
        <v>9380.4117647058829</v>
      </c>
      <c r="BT30" s="31">
        <v>20626.987577</v>
      </c>
      <c r="BU30" s="31">
        <v>20869.202182000001</v>
      </c>
      <c r="BV30" s="431">
        <v>12432.235294117647</v>
      </c>
      <c r="BW30" s="31">
        <v>15016.426993999999</v>
      </c>
      <c r="BX30" s="31">
        <v>15187.317593</v>
      </c>
      <c r="BY30" s="431">
        <v>10123.705882352941</v>
      </c>
      <c r="BZ30" s="31">
        <v>22748.577232</v>
      </c>
      <c r="CA30" s="31">
        <v>23029.312174999999</v>
      </c>
      <c r="CB30" s="431">
        <v>13511.352941176472</v>
      </c>
      <c r="CC30" s="31">
        <v>50578.354311000003</v>
      </c>
      <c r="CD30" s="31">
        <v>51070.467827</v>
      </c>
      <c r="CE30" s="431">
        <v>28568.647058823532</v>
      </c>
      <c r="CF30" s="31">
        <v>63945.059304000002</v>
      </c>
      <c r="CG30" s="31">
        <v>64543.542530999999</v>
      </c>
      <c r="CH30" s="431">
        <v>35335.705882352937</v>
      </c>
      <c r="CI30" s="31">
        <v>29638.179040999999</v>
      </c>
      <c r="CJ30" s="31">
        <v>29963.801334</v>
      </c>
      <c r="CK30" s="431">
        <v>17804.882352941175</v>
      </c>
      <c r="CL30" s="31">
        <v>38764.669252</v>
      </c>
      <c r="CM30" s="31">
        <v>39190.063287999998</v>
      </c>
      <c r="CN30" s="431">
        <v>22465.647058823532</v>
      </c>
      <c r="CO30" s="31">
        <v>66385.301047000001</v>
      </c>
      <c r="CP30" s="31">
        <v>66913.042042000001</v>
      </c>
      <c r="CQ30" s="431">
        <v>39395.411764705888</v>
      </c>
      <c r="CR30" s="31">
        <v>83640.541196999999</v>
      </c>
      <c r="CS30" s="31">
        <v>84257.785162999993</v>
      </c>
      <c r="CT30" s="431">
        <v>49057.411764705881</v>
      </c>
      <c r="CU30" s="432">
        <v>438.91682100000003</v>
      </c>
      <c r="CV30" s="432">
        <v>650.56864800000005</v>
      </c>
      <c r="CW30" s="432">
        <v>203.30705800000001</v>
      </c>
      <c r="CX30" s="432">
        <v>357.47338500000001</v>
      </c>
      <c r="CY30" s="432">
        <v>431.69985500000001</v>
      </c>
      <c r="CZ30" s="432">
        <v>650.94577300000003</v>
      </c>
      <c r="DA30" s="432">
        <v>760.60805000000005</v>
      </c>
      <c r="DB30" s="432">
        <v>1065.142869</v>
      </c>
      <c r="DC30" s="432">
        <v>300.79265500000002</v>
      </c>
      <c r="DD30" s="432">
        <v>485.652602</v>
      </c>
      <c r="DE30" s="432">
        <v>393.24364400000002</v>
      </c>
      <c r="DF30" s="432">
        <v>615.79265999999996</v>
      </c>
      <c r="DG30" s="432">
        <v>167.46432999999999</v>
      </c>
      <c r="DH30" s="432">
        <v>326.18963600000001</v>
      </c>
      <c r="DI30" s="432">
        <v>372.79019299999999</v>
      </c>
      <c r="DJ30" s="432">
        <v>601.60138300000006</v>
      </c>
      <c r="DK30" s="432">
        <v>718.16269499999999</v>
      </c>
      <c r="DL30" s="432">
        <v>1042.9610230000001</v>
      </c>
      <c r="DM30" s="432">
        <v>235.589324</v>
      </c>
      <c r="DN30" s="432">
        <v>429.597149</v>
      </c>
      <c r="DO30" s="432">
        <v>9643.3384540000006</v>
      </c>
      <c r="DP30" s="432">
        <v>13848.74142</v>
      </c>
      <c r="DQ30" s="432">
        <v>6091.6468450000002</v>
      </c>
      <c r="DR30" s="432">
        <v>9454.8722300000009</v>
      </c>
      <c r="DS30" s="432">
        <v>8185.5548909999998</v>
      </c>
      <c r="DT30" s="432">
        <v>12681.70587</v>
      </c>
      <c r="DU30" s="432">
        <v>12841.029756</v>
      </c>
      <c r="DV30" s="432">
        <v>19091.255594999999</v>
      </c>
      <c r="DW30" s="432">
        <v>6643.2819079999999</v>
      </c>
      <c r="DX30" s="432">
        <v>10451.831176</v>
      </c>
    </row>
    <row r="31" spans="2:128" ht="15">
      <c r="B31" s="442" t="s">
        <v>622</v>
      </c>
      <c r="C31" s="266" t="s">
        <v>623</v>
      </c>
      <c r="D31" s="266" t="s">
        <v>176</v>
      </c>
      <c r="E31" s="443">
        <v>15</v>
      </c>
      <c r="F31" s="266" t="s">
        <v>624</v>
      </c>
      <c r="G31" s="269" t="s">
        <v>604</v>
      </c>
      <c r="H31" t="s">
        <v>622</v>
      </c>
      <c r="I31" s="31">
        <v>4607.9152519999998</v>
      </c>
      <c r="J31" s="31">
        <v>4900.6711370000003</v>
      </c>
      <c r="K31" s="431">
        <v>2399.8705882352942</v>
      </c>
      <c r="L31" s="31">
        <v>4491.1412019999998</v>
      </c>
      <c r="M31" s="31">
        <v>4774.8140670000003</v>
      </c>
      <c r="N31" s="431">
        <v>2314.7764705882355</v>
      </c>
      <c r="O31" s="31">
        <v>5025.0975580000004</v>
      </c>
      <c r="P31" s="31">
        <v>5346.0862649999999</v>
      </c>
      <c r="Q31" s="431">
        <v>2593.4882352941177</v>
      </c>
      <c r="R31" s="31">
        <v>4888.0242909999997</v>
      </c>
      <c r="S31" s="31">
        <v>5198.4150200000004</v>
      </c>
      <c r="T31" s="431">
        <v>2508.1999999999998</v>
      </c>
      <c r="U31" s="31">
        <v>9471.2532609999998</v>
      </c>
      <c r="V31" s="31">
        <v>9990.5524619999997</v>
      </c>
      <c r="W31" s="431">
        <v>5409.6823529411777</v>
      </c>
      <c r="X31" s="31">
        <v>9193.5438790000007</v>
      </c>
      <c r="Y31" s="31">
        <v>9698.1407359999994</v>
      </c>
      <c r="Z31" s="431">
        <v>5153.088235294118</v>
      </c>
      <c r="AA31" s="31">
        <v>6630.8442510000004</v>
      </c>
      <c r="AB31" s="31">
        <v>7023.9486489999999</v>
      </c>
      <c r="AC31" s="431">
        <v>3920.7411764705885</v>
      </c>
      <c r="AD31" s="31">
        <v>6519.3356750000003</v>
      </c>
      <c r="AE31" s="31">
        <v>6904.9604660000005</v>
      </c>
      <c r="AF31" s="431">
        <v>3746.3</v>
      </c>
      <c r="AG31" s="31">
        <v>11820.548572</v>
      </c>
      <c r="AH31" s="31">
        <v>12421.185598</v>
      </c>
      <c r="AI31" s="431">
        <v>7362.623529411765</v>
      </c>
      <c r="AJ31" s="31">
        <v>11395.732352000001</v>
      </c>
      <c r="AK31" s="31">
        <v>11975.966630000001</v>
      </c>
      <c r="AL31" s="431">
        <v>6918.0588235294126</v>
      </c>
      <c r="AM31" s="31">
        <v>4670.0149680000004</v>
      </c>
      <c r="AN31" s="31">
        <v>4913.0800049999998</v>
      </c>
      <c r="AO31" s="431">
        <v>2651.9176470588236</v>
      </c>
      <c r="AP31" s="31">
        <v>4588.4417720000001</v>
      </c>
      <c r="AQ31" s="31">
        <v>4826.523083</v>
      </c>
      <c r="AR31" s="431">
        <v>2569.6058823529411</v>
      </c>
      <c r="AS31" s="31">
        <v>5105.1759480000001</v>
      </c>
      <c r="AT31" s="31">
        <v>5373.2039269999996</v>
      </c>
      <c r="AU31" s="431">
        <v>2868.2941176470586</v>
      </c>
      <c r="AV31" s="31">
        <v>5006.6838500000003</v>
      </c>
      <c r="AW31" s="31">
        <v>5268.8204079999996</v>
      </c>
      <c r="AX31" s="431">
        <v>2788.7882352941178</v>
      </c>
      <c r="AY31" s="31">
        <v>9640.6377799999991</v>
      </c>
      <c r="AZ31" s="31">
        <v>10149.645689999999</v>
      </c>
      <c r="BA31" s="431">
        <v>6211.0941176470587</v>
      </c>
      <c r="BB31" s="31">
        <v>9415.4472979999991</v>
      </c>
      <c r="BC31" s="31">
        <v>9911.644096</v>
      </c>
      <c r="BD31" s="431">
        <v>5923.2058823529414</v>
      </c>
      <c r="BE31" s="31">
        <v>6765.5400220000001</v>
      </c>
      <c r="BF31" s="31">
        <v>7123.0746429999999</v>
      </c>
      <c r="BG31" s="431">
        <v>4446.1588235294112</v>
      </c>
      <c r="BH31" s="31">
        <v>6688.8165079999999</v>
      </c>
      <c r="BI31" s="31">
        <v>7041.3598709999997</v>
      </c>
      <c r="BJ31" s="431">
        <v>4268.4941176470584</v>
      </c>
      <c r="BK31" s="31">
        <v>12148.271192</v>
      </c>
      <c r="BL31" s="31">
        <v>12786.274563000001</v>
      </c>
      <c r="BM31" s="431">
        <v>8562.1</v>
      </c>
      <c r="BN31" s="31">
        <v>11777.349455</v>
      </c>
      <c r="BO31" s="31">
        <v>12395.239799000001</v>
      </c>
      <c r="BP31" s="431">
        <v>8065.7235294117645</v>
      </c>
      <c r="BQ31" s="31">
        <v>40559.117145999997</v>
      </c>
      <c r="BR31" s="31">
        <v>40956.675014</v>
      </c>
      <c r="BS31" s="431">
        <v>21323.058823529413</v>
      </c>
      <c r="BT31" s="31">
        <v>35933.262398999999</v>
      </c>
      <c r="BU31" s="31">
        <v>36308.919177999996</v>
      </c>
      <c r="BV31" s="431">
        <v>19108.329411764709</v>
      </c>
      <c r="BW31" s="31">
        <v>44847.505541999999</v>
      </c>
      <c r="BX31" s="31">
        <v>45318.413237000001</v>
      </c>
      <c r="BY31" s="431">
        <v>23257.447058823531</v>
      </c>
      <c r="BZ31" s="31">
        <v>39464.943986999999</v>
      </c>
      <c r="CA31" s="31">
        <v>39902.781065000003</v>
      </c>
      <c r="CB31" s="431">
        <v>20821.647058823528</v>
      </c>
      <c r="CC31" s="31">
        <v>100212.604098</v>
      </c>
      <c r="CD31" s="31">
        <v>100901.079535</v>
      </c>
      <c r="CE31" s="431">
        <v>54435.470588235294</v>
      </c>
      <c r="CF31" s="31">
        <v>91763.197927000001</v>
      </c>
      <c r="CG31" s="31">
        <v>92456.838692000005</v>
      </c>
      <c r="CH31" s="431">
        <v>49073.058823529413</v>
      </c>
      <c r="CI31" s="31">
        <v>65058.622245999999</v>
      </c>
      <c r="CJ31" s="31">
        <v>65582.058695999993</v>
      </c>
      <c r="CK31" s="431">
        <v>36833.229411764703</v>
      </c>
      <c r="CL31" s="31">
        <v>59724.736821999999</v>
      </c>
      <c r="CM31" s="31">
        <v>60258.746227000003</v>
      </c>
      <c r="CN31" s="431">
        <v>33047.588235294112</v>
      </c>
      <c r="CO31" s="31">
        <v>128998.788164</v>
      </c>
      <c r="CP31" s="31">
        <v>129704.92288699999</v>
      </c>
      <c r="CQ31" s="431">
        <v>76134.617647058825</v>
      </c>
      <c r="CR31" s="31">
        <v>117753.272501</v>
      </c>
      <c r="CS31" s="31">
        <v>118464.167489</v>
      </c>
      <c r="CT31" s="431">
        <v>67615.876470588235</v>
      </c>
      <c r="CU31" s="432">
        <v>1004.969115</v>
      </c>
      <c r="CV31" s="432">
        <v>671.79127000000005</v>
      </c>
      <c r="CW31" s="432">
        <v>629.757116</v>
      </c>
      <c r="CX31" s="432">
        <v>361.81509299999999</v>
      </c>
      <c r="CY31" s="432">
        <v>1031.3987589999999</v>
      </c>
      <c r="CZ31" s="432">
        <v>688.334476</v>
      </c>
      <c r="DA31" s="432">
        <v>1606.82853</v>
      </c>
      <c r="DB31" s="432">
        <v>1136.272913</v>
      </c>
      <c r="DC31" s="432">
        <v>812.61065799999994</v>
      </c>
      <c r="DD31" s="432">
        <v>509.38924200000002</v>
      </c>
      <c r="DE31" s="432">
        <v>982.41191100000003</v>
      </c>
      <c r="DF31" s="432">
        <v>642.22999100000004</v>
      </c>
      <c r="DG31" s="432">
        <v>606.34422300000006</v>
      </c>
      <c r="DH31" s="432">
        <v>334.67110000000002</v>
      </c>
      <c r="DI31" s="432">
        <v>998.90866500000004</v>
      </c>
      <c r="DJ31" s="432">
        <v>644.13638100000003</v>
      </c>
      <c r="DK31" s="432">
        <v>1594.675655</v>
      </c>
      <c r="DL31" s="432">
        <v>1119.956042</v>
      </c>
      <c r="DM31" s="432">
        <v>769.58223699999996</v>
      </c>
      <c r="DN31" s="432">
        <v>459.24388499999998</v>
      </c>
      <c r="DO31" s="432">
        <v>20415.894697</v>
      </c>
      <c r="DP31" s="432">
        <v>13591.201026999999</v>
      </c>
      <c r="DQ31" s="432">
        <v>14703.695847000001</v>
      </c>
      <c r="DR31" s="432">
        <v>8875.375806</v>
      </c>
      <c r="DS31" s="432">
        <v>20070.827037999999</v>
      </c>
      <c r="DT31" s="432">
        <v>12893.380217</v>
      </c>
      <c r="DU31" s="432">
        <v>29255.870584</v>
      </c>
      <c r="DV31" s="432">
        <v>19797.514985999998</v>
      </c>
      <c r="DW31" s="432">
        <v>16763.920158000001</v>
      </c>
      <c r="DX31" s="432">
        <v>10415.786873999999</v>
      </c>
    </row>
    <row r="32" spans="2:128" ht="15">
      <c r="B32" s="442" t="s">
        <v>626</v>
      </c>
      <c r="C32" s="266" t="s">
        <v>627</v>
      </c>
      <c r="D32" s="266" t="s">
        <v>176</v>
      </c>
      <c r="E32" s="443">
        <v>16</v>
      </c>
      <c r="F32" s="266" t="s">
        <v>624</v>
      </c>
      <c r="G32" s="269" t="s">
        <v>608</v>
      </c>
      <c r="H32" t="s">
        <v>626</v>
      </c>
      <c r="I32" s="31">
        <v>4607.9152519999998</v>
      </c>
      <c r="J32" s="31">
        <v>4900.6711370000003</v>
      </c>
      <c r="K32" s="431">
        <v>2399.8705882352942</v>
      </c>
      <c r="L32" s="31">
        <v>4272.867886</v>
      </c>
      <c r="M32" s="31">
        <v>4542.4800240000004</v>
      </c>
      <c r="N32" s="431">
        <v>2215.3882352941173</v>
      </c>
      <c r="O32" s="31">
        <v>5025.0975580000004</v>
      </c>
      <c r="P32" s="31">
        <v>5346.0862649999999</v>
      </c>
      <c r="Q32" s="431">
        <v>2593.4882352941177</v>
      </c>
      <c r="R32" s="31">
        <v>4648.4807280000005</v>
      </c>
      <c r="S32" s="31">
        <v>4943.277478</v>
      </c>
      <c r="T32" s="431">
        <v>2402.2411764705885</v>
      </c>
      <c r="U32" s="31">
        <v>9471.2532609999998</v>
      </c>
      <c r="V32" s="31">
        <v>9990.5524619999997</v>
      </c>
      <c r="W32" s="431">
        <v>5409.6823529411777</v>
      </c>
      <c r="X32" s="31">
        <v>8835.0592809999998</v>
      </c>
      <c r="Y32" s="31">
        <v>9319.136724</v>
      </c>
      <c r="Z32" s="431">
        <v>4951.3705882352942</v>
      </c>
      <c r="AA32" s="31">
        <v>6630.8442510000004</v>
      </c>
      <c r="AB32" s="31">
        <v>7023.9486489999999</v>
      </c>
      <c r="AC32" s="431">
        <v>3920.7411764705885</v>
      </c>
      <c r="AD32" s="31">
        <v>6234.4732780000004</v>
      </c>
      <c r="AE32" s="31">
        <v>6602.6290870000003</v>
      </c>
      <c r="AF32" s="431">
        <v>3586.535294117647</v>
      </c>
      <c r="AG32" s="31">
        <v>11820.548572</v>
      </c>
      <c r="AH32" s="31">
        <v>12421.185598</v>
      </c>
      <c r="AI32" s="431">
        <v>7362.623529411765</v>
      </c>
      <c r="AJ32" s="31">
        <v>10964.710396</v>
      </c>
      <c r="AK32" s="31">
        <v>11521.854078</v>
      </c>
      <c r="AL32" s="431">
        <v>6643.0764705882357</v>
      </c>
      <c r="AM32" s="31">
        <v>4670.0149680000004</v>
      </c>
      <c r="AN32" s="31">
        <v>4913.0800049999998</v>
      </c>
      <c r="AO32" s="431">
        <v>2651.9176470588236</v>
      </c>
      <c r="AP32" s="31">
        <v>4371.4606869999998</v>
      </c>
      <c r="AQ32" s="31">
        <v>4598.3255669999999</v>
      </c>
      <c r="AR32" s="431">
        <v>2462.5882352941176</v>
      </c>
      <c r="AS32" s="31">
        <v>5105.1759480000001</v>
      </c>
      <c r="AT32" s="31">
        <v>5373.2039269999996</v>
      </c>
      <c r="AU32" s="431">
        <v>2868.2941176470586</v>
      </c>
      <c r="AV32" s="31">
        <v>4768.6037120000001</v>
      </c>
      <c r="AW32" s="31">
        <v>5018.3332879999998</v>
      </c>
      <c r="AX32" s="431">
        <v>2673.2529411764708</v>
      </c>
      <c r="AY32" s="31">
        <v>9640.6377799999991</v>
      </c>
      <c r="AZ32" s="31">
        <v>10149.645689999999</v>
      </c>
      <c r="BA32" s="431">
        <v>6211.0941176470587</v>
      </c>
      <c r="BB32" s="31">
        <v>9058.1124999999993</v>
      </c>
      <c r="BC32" s="31">
        <v>9535.5001520000005</v>
      </c>
      <c r="BD32" s="431">
        <v>5687.6411764705881</v>
      </c>
      <c r="BE32" s="31">
        <v>6765.5400220000001</v>
      </c>
      <c r="BF32" s="31">
        <v>7123.0746429999999</v>
      </c>
      <c r="BG32" s="431">
        <v>4446.1588235294112</v>
      </c>
      <c r="BH32" s="31">
        <v>6407.4293980000002</v>
      </c>
      <c r="BI32" s="31">
        <v>6745.1643119999999</v>
      </c>
      <c r="BJ32" s="431">
        <v>4091.0941176470587</v>
      </c>
      <c r="BK32" s="31">
        <v>12148.271192</v>
      </c>
      <c r="BL32" s="31">
        <v>12786.274563000001</v>
      </c>
      <c r="BM32" s="431">
        <v>8562.1</v>
      </c>
      <c r="BN32" s="31">
        <v>11348.958909999999</v>
      </c>
      <c r="BO32" s="31">
        <v>11944.385966</v>
      </c>
      <c r="BP32" s="431">
        <v>7743.5705882352941</v>
      </c>
      <c r="BQ32" s="31">
        <v>40559.117145999997</v>
      </c>
      <c r="BR32" s="31">
        <v>40956.675014</v>
      </c>
      <c r="BS32" s="431">
        <v>21323.058823529413</v>
      </c>
      <c r="BT32" s="31">
        <v>32003.720119000001</v>
      </c>
      <c r="BU32" s="31">
        <v>32350.19454</v>
      </c>
      <c r="BV32" s="431">
        <v>17417.341176470589</v>
      </c>
      <c r="BW32" s="31">
        <v>44847.505541999999</v>
      </c>
      <c r="BX32" s="31">
        <v>45318.413237000001</v>
      </c>
      <c r="BY32" s="431">
        <v>23257.447058823531</v>
      </c>
      <c r="BZ32" s="31">
        <v>35126.680893999997</v>
      </c>
      <c r="CA32" s="31">
        <v>35528.008306999996</v>
      </c>
      <c r="CB32" s="431">
        <v>18987.588235294119</v>
      </c>
      <c r="CC32" s="31">
        <v>100212.604098</v>
      </c>
      <c r="CD32" s="31">
        <v>100901.079535</v>
      </c>
      <c r="CE32" s="431">
        <v>54435.470588235294</v>
      </c>
      <c r="CF32" s="31">
        <v>84754.713910999999</v>
      </c>
      <c r="CG32" s="31">
        <v>85428.768639000002</v>
      </c>
      <c r="CH32" s="431">
        <v>45615.76470588235</v>
      </c>
      <c r="CI32" s="31">
        <v>65058.622245999999</v>
      </c>
      <c r="CJ32" s="31">
        <v>65582.058695999993</v>
      </c>
      <c r="CK32" s="431">
        <v>36833.229411764703</v>
      </c>
      <c r="CL32" s="31">
        <v>54420.602316999997</v>
      </c>
      <c r="CM32" s="31">
        <v>54933.227989999999</v>
      </c>
      <c r="CN32" s="431">
        <v>30362.176470588238</v>
      </c>
      <c r="CO32" s="31">
        <v>128998.788164</v>
      </c>
      <c r="CP32" s="31">
        <v>129704.92288699999</v>
      </c>
      <c r="CQ32" s="431">
        <v>76134.617647058825</v>
      </c>
      <c r="CR32" s="31">
        <v>109239.138315</v>
      </c>
      <c r="CS32" s="31">
        <v>109931.07737299999</v>
      </c>
      <c r="CT32" s="431">
        <v>62911.23529411765</v>
      </c>
      <c r="CU32" s="432">
        <v>1004.969115</v>
      </c>
      <c r="CV32" s="432">
        <v>665.197362</v>
      </c>
      <c r="CW32" s="432">
        <v>629.757116</v>
      </c>
      <c r="CX32" s="432">
        <v>359.70813700000002</v>
      </c>
      <c r="CY32" s="432">
        <v>1031.3987589999999</v>
      </c>
      <c r="CZ32" s="432">
        <v>678.19654400000002</v>
      </c>
      <c r="DA32" s="432">
        <v>1606.82853</v>
      </c>
      <c r="DB32" s="432">
        <v>1117.7915069999999</v>
      </c>
      <c r="DC32" s="432">
        <v>812.61065799999994</v>
      </c>
      <c r="DD32" s="432">
        <v>502.53154499999999</v>
      </c>
      <c r="DE32" s="432">
        <v>982.41191100000003</v>
      </c>
      <c r="DF32" s="432">
        <v>634.61415099999999</v>
      </c>
      <c r="DG32" s="432">
        <v>606.34422300000006</v>
      </c>
      <c r="DH32" s="432">
        <v>331.726136</v>
      </c>
      <c r="DI32" s="432">
        <v>998.90866500000004</v>
      </c>
      <c r="DJ32" s="432">
        <v>632.91651999999999</v>
      </c>
      <c r="DK32" s="432">
        <v>1594.675655</v>
      </c>
      <c r="DL32" s="432">
        <v>1100.3090549999999</v>
      </c>
      <c r="DM32" s="432">
        <v>769.58223699999996</v>
      </c>
      <c r="DN32" s="432">
        <v>450.77968900000002</v>
      </c>
      <c r="DO32" s="432">
        <v>20415.894697</v>
      </c>
      <c r="DP32" s="432">
        <v>13605.137261</v>
      </c>
      <c r="DQ32" s="432">
        <v>14703.695847000001</v>
      </c>
      <c r="DR32" s="432">
        <v>8967.9463670000005</v>
      </c>
      <c r="DS32" s="432">
        <v>20070.827037999999</v>
      </c>
      <c r="DT32" s="432">
        <v>12808.011503</v>
      </c>
      <c r="DU32" s="432">
        <v>29255.870584</v>
      </c>
      <c r="DV32" s="432">
        <v>19577.783243000002</v>
      </c>
      <c r="DW32" s="432">
        <v>16763.920158000001</v>
      </c>
      <c r="DX32" s="432">
        <v>10384.84403</v>
      </c>
    </row>
    <row r="33" spans="2:128" ht="15">
      <c r="B33" s="442" t="s">
        <v>629</v>
      </c>
      <c r="C33" s="266" t="s">
        <v>630</v>
      </c>
      <c r="D33" s="266" t="s">
        <v>176</v>
      </c>
      <c r="E33" s="443">
        <v>17</v>
      </c>
      <c r="F33" s="266" t="s">
        <v>624</v>
      </c>
      <c r="G33" s="269" t="s">
        <v>612</v>
      </c>
      <c r="H33" t="s">
        <v>629</v>
      </c>
      <c r="I33" s="31">
        <v>4607.9152519999998</v>
      </c>
      <c r="J33" s="31">
        <v>4900.6711370000003</v>
      </c>
      <c r="K33" s="431">
        <v>2399.8705882352942</v>
      </c>
      <c r="L33" s="31">
        <v>3308.5724799999998</v>
      </c>
      <c r="M33" s="31">
        <v>3515.5789439999999</v>
      </c>
      <c r="N33" s="431">
        <v>1765.9235294117648</v>
      </c>
      <c r="O33" s="31">
        <v>5025.0975580000004</v>
      </c>
      <c r="P33" s="31">
        <v>5346.0862649999999</v>
      </c>
      <c r="Q33" s="431">
        <v>2593.4882352941177</v>
      </c>
      <c r="R33" s="31">
        <v>3584.9206439999998</v>
      </c>
      <c r="S33" s="31">
        <v>3810.228259</v>
      </c>
      <c r="T33" s="431">
        <v>1916.9176470588236</v>
      </c>
      <c r="U33" s="31">
        <v>9471.2532609999998</v>
      </c>
      <c r="V33" s="31">
        <v>9990.5524619999997</v>
      </c>
      <c r="W33" s="431">
        <v>5409.6823529411777</v>
      </c>
      <c r="X33" s="31">
        <v>7164.6111369999999</v>
      </c>
      <c r="Y33" s="31">
        <v>7554.8875710000002</v>
      </c>
      <c r="Z33" s="431">
        <v>3983.9411764705883</v>
      </c>
      <c r="AA33" s="31">
        <v>6630.8442510000004</v>
      </c>
      <c r="AB33" s="31">
        <v>7023.9486489999999</v>
      </c>
      <c r="AC33" s="431">
        <v>3920.7411764705885</v>
      </c>
      <c r="AD33" s="31">
        <v>4994.4289639999997</v>
      </c>
      <c r="AE33" s="31">
        <v>5287.3726839999999</v>
      </c>
      <c r="AF33" s="431">
        <v>2847.8823529411766</v>
      </c>
      <c r="AG33" s="31">
        <v>11820.548572</v>
      </c>
      <c r="AH33" s="31">
        <v>12421.185598</v>
      </c>
      <c r="AI33" s="431">
        <v>7362.623529411765</v>
      </c>
      <c r="AJ33" s="31">
        <v>8882.9151720000009</v>
      </c>
      <c r="AK33" s="31">
        <v>9331.5183770000003</v>
      </c>
      <c r="AL33" s="431">
        <v>5267.9294117647059</v>
      </c>
      <c r="AM33" s="31">
        <v>4670.0149680000004</v>
      </c>
      <c r="AN33" s="31">
        <v>4913.0800049999998</v>
      </c>
      <c r="AO33" s="431">
        <v>2651.9176470588236</v>
      </c>
      <c r="AP33" s="31">
        <v>3431.8644899999999</v>
      </c>
      <c r="AQ33" s="31">
        <v>3609.2593870000001</v>
      </c>
      <c r="AR33" s="431">
        <v>1979.7</v>
      </c>
      <c r="AS33" s="31">
        <v>5105.1759480000001</v>
      </c>
      <c r="AT33" s="31">
        <v>5373.2039269999996</v>
      </c>
      <c r="AU33" s="431">
        <v>2868.2941176470586</v>
      </c>
      <c r="AV33" s="31">
        <v>3735.5381120000002</v>
      </c>
      <c r="AW33" s="31">
        <v>3930.351099</v>
      </c>
      <c r="AX33" s="431">
        <v>2155.3058823529414</v>
      </c>
      <c r="AY33" s="31">
        <v>9640.6377799999991</v>
      </c>
      <c r="AZ33" s="31">
        <v>10149.645689999999</v>
      </c>
      <c r="BA33" s="431">
        <v>6211.0941176470587</v>
      </c>
      <c r="BB33" s="31">
        <v>7433.9208060000001</v>
      </c>
      <c r="BC33" s="31">
        <v>7824.4259439999996</v>
      </c>
      <c r="BD33" s="431">
        <v>4580.876470588235</v>
      </c>
      <c r="BE33" s="31">
        <v>6765.5400220000001</v>
      </c>
      <c r="BF33" s="31">
        <v>7123.0746429999999</v>
      </c>
      <c r="BG33" s="431">
        <v>4446.1588235294112</v>
      </c>
      <c r="BH33" s="31">
        <v>5202.1957490000004</v>
      </c>
      <c r="BI33" s="31">
        <v>5475.233072</v>
      </c>
      <c r="BJ33" s="431">
        <v>3272.1058823529411</v>
      </c>
      <c r="BK33" s="31">
        <v>12148.271192</v>
      </c>
      <c r="BL33" s="31">
        <v>12786.274563000001</v>
      </c>
      <c r="BM33" s="431">
        <v>8562.1</v>
      </c>
      <c r="BN33" s="31">
        <v>9317.7348569999995</v>
      </c>
      <c r="BO33" s="31">
        <v>9805.5885679999992</v>
      </c>
      <c r="BP33" s="431">
        <v>6159.8058823529409</v>
      </c>
      <c r="BQ33" s="31">
        <v>40559.117145999997</v>
      </c>
      <c r="BR33" s="31">
        <v>40956.675014</v>
      </c>
      <c r="BS33" s="431">
        <v>21323.058823529413</v>
      </c>
      <c r="BT33" s="31">
        <v>13769.977032999999</v>
      </c>
      <c r="BU33" s="31">
        <v>13916.483915999999</v>
      </c>
      <c r="BV33" s="431">
        <v>9380.4117647058829</v>
      </c>
      <c r="BW33" s="31">
        <v>44847.505541999999</v>
      </c>
      <c r="BX33" s="31">
        <v>45318.413237000001</v>
      </c>
      <c r="BY33" s="431">
        <v>23257.447058823531</v>
      </c>
      <c r="BZ33" s="31">
        <v>15016.426993999999</v>
      </c>
      <c r="CA33" s="31">
        <v>15187.317593</v>
      </c>
      <c r="CB33" s="431">
        <v>10123.705882352941</v>
      </c>
      <c r="CC33" s="31">
        <v>100212.604098</v>
      </c>
      <c r="CD33" s="31">
        <v>100901.079535</v>
      </c>
      <c r="CE33" s="431">
        <v>54435.470588235294</v>
      </c>
      <c r="CF33" s="31">
        <v>50578.354311000003</v>
      </c>
      <c r="CG33" s="31">
        <v>51070.467827</v>
      </c>
      <c r="CH33" s="431">
        <v>28568.647058823532</v>
      </c>
      <c r="CI33" s="31">
        <v>65058.622245999999</v>
      </c>
      <c r="CJ33" s="31">
        <v>65582.058695999993</v>
      </c>
      <c r="CK33" s="431">
        <v>36833.229411764703</v>
      </c>
      <c r="CL33" s="31">
        <v>29638.179040999999</v>
      </c>
      <c r="CM33" s="31">
        <v>29963.801334</v>
      </c>
      <c r="CN33" s="431">
        <v>17804.882352941175</v>
      </c>
      <c r="CO33" s="31">
        <v>128998.788164</v>
      </c>
      <c r="CP33" s="31">
        <v>129704.92288699999</v>
      </c>
      <c r="CQ33" s="431">
        <v>76134.617647058825</v>
      </c>
      <c r="CR33" s="31">
        <v>66385.301047000001</v>
      </c>
      <c r="CS33" s="31">
        <v>66913.042042000001</v>
      </c>
      <c r="CT33" s="431">
        <v>39395.411764705888</v>
      </c>
      <c r="CU33" s="432">
        <v>1004.969115</v>
      </c>
      <c r="CV33" s="432">
        <v>438.91682100000003</v>
      </c>
      <c r="CW33" s="432">
        <v>629.757116</v>
      </c>
      <c r="CX33" s="432">
        <v>203.30705800000001</v>
      </c>
      <c r="CY33" s="432">
        <v>1031.3987589999999</v>
      </c>
      <c r="CZ33" s="432">
        <v>431.69985500000001</v>
      </c>
      <c r="DA33" s="432">
        <v>1606.82853</v>
      </c>
      <c r="DB33" s="432">
        <v>760.60805000000005</v>
      </c>
      <c r="DC33" s="432">
        <v>812.61065799999994</v>
      </c>
      <c r="DD33" s="432">
        <v>300.79265500000002</v>
      </c>
      <c r="DE33" s="432">
        <v>982.41191100000003</v>
      </c>
      <c r="DF33" s="432">
        <v>393.24364400000002</v>
      </c>
      <c r="DG33" s="432">
        <v>606.34422300000006</v>
      </c>
      <c r="DH33" s="432">
        <v>167.46432999999999</v>
      </c>
      <c r="DI33" s="432">
        <v>998.90866500000004</v>
      </c>
      <c r="DJ33" s="432">
        <v>372.79019299999999</v>
      </c>
      <c r="DK33" s="432">
        <v>1594.675655</v>
      </c>
      <c r="DL33" s="432">
        <v>718.16269499999999</v>
      </c>
      <c r="DM33" s="432">
        <v>769.58223699999996</v>
      </c>
      <c r="DN33" s="432">
        <v>235.589324</v>
      </c>
      <c r="DO33" s="432">
        <v>20415.894697</v>
      </c>
      <c r="DP33" s="432">
        <v>9643.3384540000006</v>
      </c>
      <c r="DQ33" s="432">
        <v>14703.695847000001</v>
      </c>
      <c r="DR33" s="432">
        <v>6091.6468450000002</v>
      </c>
      <c r="DS33" s="432">
        <v>20070.827037999999</v>
      </c>
      <c r="DT33" s="432">
        <v>8185.5548909999998</v>
      </c>
      <c r="DU33" s="432">
        <v>29255.870584</v>
      </c>
      <c r="DV33" s="432">
        <v>12841.029756</v>
      </c>
      <c r="DW33" s="432">
        <v>16763.920158000001</v>
      </c>
      <c r="DX33" s="432">
        <v>6643.2819079999999</v>
      </c>
    </row>
    <row r="34" spans="2:128" ht="15">
      <c r="B34" s="442" t="s">
        <v>632</v>
      </c>
      <c r="C34" s="266" t="s">
        <v>633</v>
      </c>
      <c r="D34" s="266" t="s">
        <v>176</v>
      </c>
      <c r="E34" s="443">
        <v>18</v>
      </c>
      <c r="F34" s="266" t="s">
        <v>624</v>
      </c>
      <c r="G34" s="269" t="s">
        <v>616</v>
      </c>
      <c r="H34" t="s">
        <v>632</v>
      </c>
      <c r="I34" s="31">
        <v>4607.9152519999998</v>
      </c>
      <c r="J34" s="31">
        <v>4900.6711370000003</v>
      </c>
      <c r="K34" s="431">
        <v>2399.8705882352942</v>
      </c>
      <c r="L34" s="31">
        <v>3867.3028690000001</v>
      </c>
      <c r="M34" s="31">
        <v>4110.7582970000003</v>
      </c>
      <c r="N34" s="431">
        <v>2030.6058823529413</v>
      </c>
      <c r="O34" s="31">
        <v>5025.0975580000004</v>
      </c>
      <c r="P34" s="31">
        <v>5346.0862649999999</v>
      </c>
      <c r="Q34" s="431">
        <v>2593.4882352941177</v>
      </c>
      <c r="R34" s="31">
        <v>4201.1388189999998</v>
      </c>
      <c r="S34" s="31">
        <v>4466.9757149999996</v>
      </c>
      <c r="T34" s="431">
        <v>2201.8882352941173</v>
      </c>
      <c r="U34" s="31">
        <v>9471.2532609999998</v>
      </c>
      <c r="V34" s="31">
        <v>9990.5524619999997</v>
      </c>
      <c r="W34" s="431">
        <v>5409.6823529411777</v>
      </c>
      <c r="X34" s="31">
        <v>8158.1539750000002</v>
      </c>
      <c r="Y34" s="31">
        <v>8603.7132579999998</v>
      </c>
      <c r="Z34" s="431">
        <v>4573.5823529411764</v>
      </c>
      <c r="AA34" s="31">
        <v>6630.8442510000004</v>
      </c>
      <c r="AB34" s="31">
        <v>7023.9486489999999</v>
      </c>
      <c r="AC34" s="431">
        <v>3920.7411764705885</v>
      </c>
      <c r="AD34" s="31">
        <v>5703.6828159999995</v>
      </c>
      <c r="AE34" s="31">
        <v>6039.3187399999997</v>
      </c>
      <c r="AF34" s="431">
        <v>3287.2705882352943</v>
      </c>
      <c r="AG34" s="31">
        <v>11820.548572</v>
      </c>
      <c r="AH34" s="31">
        <v>12421.185598</v>
      </c>
      <c r="AI34" s="431">
        <v>7362.623529411765</v>
      </c>
      <c r="AJ34" s="31">
        <v>10146.583692</v>
      </c>
      <c r="AK34" s="31">
        <v>10660.198053</v>
      </c>
      <c r="AL34" s="431">
        <v>6123.376470588235</v>
      </c>
      <c r="AM34" s="31">
        <v>4670.0149680000004</v>
      </c>
      <c r="AN34" s="31">
        <v>4913.0800049999998</v>
      </c>
      <c r="AO34" s="431">
        <v>2651.9176470588236</v>
      </c>
      <c r="AP34" s="31">
        <v>3967.9343600000002</v>
      </c>
      <c r="AQ34" s="31">
        <v>4173.8940620000003</v>
      </c>
      <c r="AR34" s="431">
        <v>2262.1705882352944</v>
      </c>
      <c r="AS34" s="31">
        <v>5105.1759480000001</v>
      </c>
      <c r="AT34" s="31">
        <v>5373.2039269999996</v>
      </c>
      <c r="AU34" s="431">
        <v>2868.2941176470586</v>
      </c>
      <c r="AV34" s="31">
        <v>4325.3048989999998</v>
      </c>
      <c r="AW34" s="31">
        <v>4551.8873720000001</v>
      </c>
      <c r="AX34" s="431">
        <v>2456.6470588235297</v>
      </c>
      <c r="AY34" s="31">
        <v>9640.6377799999991</v>
      </c>
      <c r="AZ34" s="31">
        <v>10149.645689999999</v>
      </c>
      <c r="BA34" s="431">
        <v>6211.0941176470587</v>
      </c>
      <c r="BB34" s="31">
        <v>8385.7750570000007</v>
      </c>
      <c r="BC34" s="31">
        <v>8827.7120529999993</v>
      </c>
      <c r="BD34" s="431">
        <v>5250.0294117647063</v>
      </c>
      <c r="BE34" s="31">
        <v>6765.5400220000001</v>
      </c>
      <c r="BF34" s="31">
        <v>7123.0746429999999</v>
      </c>
      <c r="BG34" s="431">
        <v>4446.1588235294112</v>
      </c>
      <c r="BH34" s="31">
        <v>5883.0054460000001</v>
      </c>
      <c r="BI34" s="31">
        <v>6193.0824709999997</v>
      </c>
      <c r="BJ34" s="431">
        <v>3758.7647058823532</v>
      </c>
      <c r="BK34" s="31">
        <v>12148.271192</v>
      </c>
      <c r="BL34" s="31">
        <v>12786.274563000001</v>
      </c>
      <c r="BM34" s="431">
        <v>8562.1</v>
      </c>
      <c r="BN34" s="31">
        <v>10537.950832</v>
      </c>
      <c r="BO34" s="31">
        <v>11090.803974</v>
      </c>
      <c r="BP34" s="431">
        <v>7138.8823529411766</v>
      </c>
      <c r="BQ34" s="31">
        <v>40559.117145999997</v>
      </c>
      <c r="BR34" s="31">
        <v>40956.675014</v>
      </c>
      <c r="BS34" s="431">
        <v>21323.058823529413</v>
      </c>
      <c r="BT34" s="31">
        <v>24762.977811000001</v>
      </c>
      <c r="BU34" s="31">
        <v>25046.275119000002</v>
      </c>
      <c r="BV34" s="431">
        <v>14270.941176470587</v>
      </c>
      <c r="BW34" s="31">
        <v>44847.505541999999</v>
      </c>
      <c r="BX34" s="31">
        <v>45318.413237000001</v>
      </c>
      <c r="BY34" s="431">
        <v>23257.447058823531</v>
      </c>
      <c r="BZ34" s="31">
        <v>27232.345390999999</v>
      </c>
      <c r="CA34" s="31">
        <v>27558.807067999998</v>
      </c>
      <c r="CB34" s="431">
        <v>15536</v>
      </c>
      <c r="CC34" s="31">
        <v>100212.604098</v>
      </c>
      <c r="CD34" s="31">
        <v>100901.079535</v>
      </c>
      <c r="CE34" s="431">
        <v>54435.470588235294</v>
      </c>
      <c r="CF34" s="31">
        <v>71636.922768999997</v>
      </c>
      <c r="CG34" s="31">
        <v>72267.595614999998</v>
      </c>
      <c r="CH34" s="431">
        <v>39116.76470588235</v>
      </c>
      <c r="CI34" s="31">
        <v>65058.622245999999</v>
      </c>
      <c r="CJ34" s="31">
        <v>65582.058695999993</v>
      </c>
      <c r="CK34" s="431">
        <v>36833.229411764703</v>
      </c>
      <c r="CL34" s="31">
        <v>44584.082612999999</v>
      </c>
      <c r="CM34" s="31">
        <v>45048.353178999998</v>
      </c>
      <c r="CN34" s="431">
        <v>25363.176470588238</v>
      </c>
      <c r="CO34" s="31">
        <v>128998.788164</v>
      </c>
      <c r="CP34" s="31">
        <v>129704.92288699999</v>
      </c>
      <c r="CQ34" s="431">
        <v>76134.617647058825</v>
      </c>
      <c r="CR34" s="31">
        <v>93094.189670000007</v>
      </c>
      <c r="CS34" s="31">
        <v>93742.574947999994</v>
      </c>
      <c r="CT34" s="431">
        <v>54072.352941176476</v>
      </c>
      <c r="CU34" s="432">
        <v>1004.969115</v>
      </c>
      <c r="CV34" s="432">
        <v>642.50543600000003</v>
      </c>
      <c r="CW34" s="432">
        <v>629.757116</v>
      </c>
      <c r="CX34" s="432">
        <v>347.78448800000001</v>
      </c>
      <c r="CY34" s="432">
        <v>1031.3987589999999</v>
      </c>
      <c r="CZ34" s="432">
        <v>647.557008</v>
      </c>
      <c r="DA34" s="432">
        <v>1606.82853</v>
      </c>
      <c r="DB34" s="432">
        <v>1066.865583</v>
      </c>
      <c r="DC34" s="432">
        <v>812.61065799999994</v>
      </c>
      <c r="DD34" s="432">
        <v>480.15267299999999</v>
      </c>
      <c r="DE34" s="432">
        <v>982.41191100000003</v>
      </c>
      <c r="DF34" s="432">
        <v>608.94990700000005</v>
      </c>
      <c r="DG34" s="432">
        <v>606.34422300000006</v>
      </c>
      <c r="DH34" s="432">
        <v>317.53217699999999</v>
      </c>
      <c r="DI34" s="432">
        <v>998.90866500000004</v>
      </c>
      <c r="DJ34" s="432">
        <v>599.45006000000001</v>
      </c>
      <c r="DK34" s="432">
        <v>1594.675655</v>
      </c>
      <c r="DL34" s="432">
        <v>1046.0244029999999</v>
      </c>
      <c r="DM34" s="432">
        <v>769.58223699999996</v>
      </c>
      <c r="DN34" s="432">
        <v>425.28814899999998</v>
      </c>
      <c r="DO34" s="432">
        <v>20415.894697</v>
      </c>
      <c r="DP34" s="432">
        <v>13449.927172</v>
      </c>
      <c r="DQ34" s="432">
        <v>14703.695847000001</v>
      </c>
      <c r="DR34" s="432">
        <v>8999.6338880000003</v>
      </c>
      <c r="DS34" s="432">
        <v>20070.827037999999</v>
      </c>
      <c r="DT34" s="432">
        <v>12428.105729999999</v>
      </c>
      <c r="DU34" s="432">
        <v>29255.870584</v>
      </c>
      <c r="DV34" s="432">
        <v>18868.093712000002</v>
      </c>
      <c r="DW34" s="432">
        <v>16763.920158000001</v>
      </c>
      <c r="DX34" s="432">
        <v>10146.732408</v>
      </c>
    </row>
    <row r="35" spans="2:128" ht="15">
      <c r="B35" s="442" t="s">
        <v>635</v>
      </c>
      <c r="C35" s="266" t="s">
        <v>636</v>
      </c>
      <c r="D35" s="266" t="s">
        <v>176</v>
      </c>
      <c r="E35" s="443">
        <v>19</v>
      </c>
      <c r="F35" s="444" t="s">
        <v>604</v>
      </c>
      <c r="G35" s="445" t="s">
        <v>637</v>
      </c>
      <c r="H35" t="s">
        <v>635</v>
      </c>
      <c r="I35" s="31">
        <v>4491.1412019999998</v>
      </c>
      <c r="J35" s="31">
        <v>4774.8140670000003</v>
      </c>
      <c r="K35" s="431">
        <v>2314.7764705882355</v>
      </c>
      <c r="L35" s="31">
        <v>3955.7951039999998</v>
      </c>
      <c r="M35" s="31">
        <v>4204.9609119999996</v>
      </c>
      <c r="N35" s="431">
        <v>2071.0705882352941</v>
      </c>
      <c r="O35" s="31">
        <v>4888.0242909999997</v>
      </c>
      <c r="P35" s="31">
        <v>5198.4150200000004</v>
      </c>
      <c r="Q35" s="431">
        <v>2508.1999999999998</v>
      </c>
      <c r="R35" s="31">
        <v>4298.7588910000004</v>
      </c>
      <c r="S35" s="31">
        <v>4570.8859570000004</v>
      </c>
      <c r="T35" s="431">
        <v>2245.3470588235296</v>
      </c>
      <c r="U35" s="31">
        <v>9193.5438790000007</v>
      </c>
      <c r="V35" s="31">
        <v>9698.1407359999994</v>
      </c>
      <c r="W35" s="431">
        <v>5153.088235294118</v>
      </c>
      <c r="X35" s="31">
        <v>8306.0944799999997</v>
      </c>
      <c r="Y35" s="31">
        <v>8760.0974800000004</v>
      </c>
      <c r="Z35" s="431">
        <v>4655.0411764705887</v>
      </c>
      <c r="AA35" s="31">
        <v>6519.3356750000003</v>
      </c>
      <c r="AB35" s="31">
        <v>6904.9604660000005</v>
      </c>
      <c r="AC35" s="431">
        <v>3746.3</v>
      </c>
      <c r="AD35" s="31">
        <v>5819.863891</v>
      </c>
      <c r="AE35" s="31">
        <v>6162.6208479999996</v>
      </c>
      <c r="AF35" s="431">
        <v>3351.7823529411767</v>
      </c>
      <c r="AG35" s="31">
        <v>11395.732352000001</v>
      </c>
      <c r="AH35" s="31">
        <v>11975.966630000001</v>
      </c>
      <c r="AI35" s="431">
        <v>6918.0588235294126</v>
      </c>
      <c r="AJ35" s="31">
        <v>10325.074473000001</v>
      </c>
      <c r="AK35" s="31">
        <v>10848.215994</v>
      </c>
      <c r="AL35" s="431">
        <v>6235.2647058823532</v>
      </c>
      <c r="AM35" s="31">
        <v>4588.4417720000001</v>
      </c>
      <c r="AN35" s="31">
        <v>4826.523083</v>
      </c>
      <c r="AO35" s="431">
        <v>2569.6058823529411</v>
      </c>
      <c r="AP35" s="31">
        <v>4056.1035689999999</v>
      </c>
      <c r="AQ35" s="31">
        <v>4266.6285740000003</v>
      </c>
      <c r="AR35" s="431">
        <v>2305.6823529411763</v>
      </c>
      <c r="AS35" s="31">
        <v>5006.6838500000003</v>
      </c>
      <c r="AT35" s="31">
        <v>5268.8204079999996</v>
      </c>
      <c r="AU35" s="431">
        <v>2788.7882352941178</v>
      </c>
      <c r="AV35" s="31">
        <v>4422.2918129999998</v>
      </c>
      <c r="AW35" s="31">
        <v>4653.9355580000001</v>
      </c>
      <c r="AX35" s="431">
        <v>2504.1588235294116</v>
      </c>
      <c r="AY35" s="31">
        <v>9415.4472979999991</v>
      </c>
      <c r="AZ35" s="31">
        <v>9911.644096</v>
      </c>
      <c r="BA35" s="431">
        <v>5923.2058823529414</v>
      </c>
      <c r="BB35" s="31">
        <v>8532.8591560000004</v>
      </c>
      <c r="BC35" s="31">
        <v>8982.5477609999998</v>
      </c>
      <c r="BD35" s="431">
        <v>5344.5470588235294</v>
      </c>
      <c r="BE35" s="31">
        <v>6688.8165079999999</v>
      </c>
      <c r="BF35" s="31">
        <v>7041.3598709999997</v>
      </c>
      <c r="BG35" s="431">
        <v>4268.4941176470584</v>
      </c>
      <c r="BH35" s="31">
        <v>5997.8894780000001</v>
      </c>
      <c r="BI35" s="31">
        <v>6314.0215170000001</v>
      </c>
      <c r="BJ35" s="431">
        <v>3830.7058823529414</v>
      </c>
      <c r="BK35" s="31">
        <v>11777.349455</v>
      </c>
      <c r="BL35" s="31">
        <v>12395.239799000001</v>
      </c>
      <c r="BM35" s="431">
        <v>8065.7235294117645</v>
      </c>
      <c r="BN35" s="31">
        <v>10714.992091</v>
      </c>
      <c r="BO35" s="31">
        <v>11277.136208</v>
      </c>
      <c r="BP35" s="431">
        <v>7268.8823529411766</v>
      </c>
      <c r="BQ35" s="31">
        <v>35933.262398999999</v>
      </c>
      <c r="BR35" s="31">
        <v>36308.919177999996</v>
      </c>
      <c r="BS35" s="431">
        <v>19108.329411764709</v>
      </c>
      <c r="BT35" s="31">
        <v>26315.382999000001</v>
      </c>
      <c r="BU35" s="31">
        <v>26613.389003</v>
      </c>
      <c r="BV35" s="431">
        <v>14948</v>
      </c>
      <c r="BW35" s="31">
        <v>39464.943986999999</v>
      </c>
      <c r="BX35" s="31">
        <v>39902.781065000003</v>
      </c>
      <c r="BY35" s="431">
        <v>20821.647058823528</v>
      </c>
      <c r="BZ35" s="31">
        <v>28910.816905</v>
      </c>
      <c r="CA35" s="31">
        <v>29253.848848000001</v>
      </c>
      <c r="CB35" s="431">
        <v>16285.823529411766</v>
      </c>
      <c r="CC35" s="31">
        <v>91763.197927000001</v>
      </c>
      <c r="CD35" s="31">
        <v>92456.838692000005</v>
      </c>
      <c r="CE35" s="431">
        <v>49073.058823529413</v>
      </c>
      <c r="CF35" s="31">
        <v>74469.044078000006</v>
      </c>
      <c r="CG35" s="31">
        <v>75110.153019000005</v>
      </c>
      <c r="CH35" s="431">
        <v>40519.23529411765</v>
      </c>
      <c r="CI35" s="31">
        <v>59724.736821999999</v>
      </c>
      <c r="CJ35" s="31">
        <v>60258.746227000003</v>
      </c>
      <c r="CK35" s="431">
        <v>33047.588235294112</v>
      </c>
      <c r="CL35" s="31">
        <v>46705.386069</v>
      </c>
      <c r="CM35" s="31">
        <v>47181.450632</v>
      </c>
      <c r="CN35" s="431">
        <v>26436.823529411762</v>
      </c>
      <c r="CO35" s="31">
        <v>117753.272501</v>
      </c>
      <c r="CP35" s="31">
        <v>118464.167489</v>
      </c>
      <c r="CQ35" s="431">
        <v>67615.876470588235</v>
      </c>
      <c r="CR35" s="31">
        <v>96590.622952999998</v>
      </c>
      <c r="CS35" s="31">
        <v>97249.395699000001</v>
      </c>
      <c r="CT35" s="431">
        <v>55968.76470588235</v>
      </c>
      <c r="CU35" s="432">
        <v>671.79127000000005</v>
      </c>
      <c r="CV35" s="432">
        <v>646.33372499999996</v>
      </c>
      <c r="CW35" s="432">
        <v>361.81509299999999</v>
      </c>
      <c r="CX35" s="432">
        <v>349.54428000000001</v>
      </c>
      <c r="CY35" s="432">
        <v>688.334476</v>
      </c>
      <c r="CZ35" s="432">
        <v>653.17954899999995</v>
      </c>
      <c r="DA35" s="432">
        <v>1136.272913</v>
      </c>
      <c r="DB35" s="432">
        <v>1076.5950290000001</v>
      </c>
      <c r="DC35" s="432">
        <v>509.38924200000002</v>
      </c>
      <c r="DD35" s="432">
        <v>484.05717099999998</v>
      </c>
      <c r="DE35" s="432">
        <v>642.22999100000004</v>
      </c>
      <c r="DF35" s="432">
        <v>613.47500600000001</v>
      </c>
      <c r="DG35" s="432">
        <v>334.67110000000002</v>
      </c>
      <c r="DH35" s="432">
        <v>319.79248000000001</v>
      </c>
      <c r="DI35" s="432">
        <v>644.13638100000003</v>
      </c>
      <c r="DJ35" s="432">
        <v>605.70900800000004</v>
      </c>
      <c r="DK35" s="432">
        <v>1119.956042</v>
      </c>
      <c r="DL35" s="432">
        <v>1056.542827</v>
      </c>
      <c r="DM35" s="432">
        <v>459.24388499999998</v>
      </c>
      <c r="DN35" s="432">
        <v>429.86981400000002</v>
      </c>
      <c r="DO35" s="432">
        <v>13591.201026999999</v>
      </c>
      <c r="DP35" s="432">
        <v>13456.162872999999</v>
      </c>
      <c r="DQ35" s="432">
        <v>8875.375806</v>
      </c>
      <c r="DR35" s="432">
        <v>8966.8483309999992</v>
      </c>
      <c r="DS35" s="432">
        <v>12893.380217</v>
      </c>
      <c r="DT35" s="432">
        <v>12486.429878000001</v>
      </c>
      <c r="DU35" s="432">
        <v>19797.514985999998</v>
      </c>
      <c r="DV35" s="432">
        <v>18989.518705999999</v>
      </c>
      <c r="DW35" s="432">
        <v>10415.786873999999</v>
      </c>
      <c r="DX35" s="432">
        <v>10174.4347</v>
      </c>
    </row>
    <row r="36" spans="2:128" ht="15">
      <c r="B36" s="442" t="s">
        <v>639</v>
      </c>
      <c r="C36" s="266" t="s">
        <v>640</v>
      </c>
      <c r="D36" s="266" t="s">
        <v>176</v>
      </c>
      <c r="E36" s="443">
        <v>20</v>
      </c>
      <c r="F36" s="444" t="s">
        <v>641</v>
      </c>
      <c r="G36" s="445" t="s">
        <v>637</v>
      </c>
      <c r="H36" t="s">
        <v>639</v>
      </c>
      <c r="I36" s="31">
        <v>7825.970378</v>
      </c>
      <c r="J36" s="31">
        <v>8326.8616230000007</v>
      </c>
      <c r="K36" s="431">
        <v>3869.6117647058827</v>
      </c>
      <c r="L36" s="31">
        <v>3955.7951039999998</v>
      </c>
      <c r="M36" s="31">
        <v>4204.9609119999996</v>
      </c>
      <c r="N36" s="431">
        <v>2071.0705882352941</v>
      </c>
      <c r="O36" s="31">
        <v>8535.3809789999996</v>
      </c>
      <c r="P36" s="31">
        <v>9084.8936520000007</v>
      </c>
      <c r="Q36" s="431">
        <v>4177.2764705882355</v>
      </c>
      <c r="R36" s="31">
        <v>4298.7588910000004</v>
      </c>
      <c r="S36" s="31">
        <v>4570.8859570000004</v>
      </c>
      <c r="T36" s="431">
        <v>2245.3470588235296</v>
      </c>
      <c r="U36" s="31">
        <v>14638.546759000001</v>
      </c>
      <c r="V36" s="31">
        <v>15456.590389000001</v>
      </c>
      <c r="W36" s="431">
        <v>8575.0117647058833</v>
      </c>
      <c r="X36" s="31">
        <v>8306.0944799999997</v>
      </c>
      <c r="Y36" s="31">
        <v>8760.0974800000004</v>
      </c>
      <c r="Z36" s="431">
        <v>4655.0411764705887</v>
      </c>
      <c r="AA36" s="31">
        <v>10820.853454</v>
      </c>
      <c r="AB36" s="31">
        <v>11473.627157999999</v>
      </c>
      <c r="AC36" s="431">
        <v>6351.2882352941178</v>
      </c>
      <c r="AD36" s="31">
        <v>5819.863891</v>
      </c>
      <c r="AE36" s="31">
        <v>6162.6208479999996</v>
      </c>
      <c r="AF36" s="431">
        <v>3351.7823529411767</v>
      </c>
      <c r="AG36" s="31">
        <v>17938.528105000001</v>
      </c>
      <c r="AH36" s="31">
        <v>18871.802817</v>
      </c>
      <c r="AI36" s="431">
        <v>11648.464705882354</v>
      </c>
      <c r="AJ36" s="31">
        <v>10325.074473000001</v>
      </c>
      <c r="AK36" s="31">
        <v>10848.215994</v>
      </c>
      <c r="AL36" s="431">
        <v>6235.2647058823532</v>
      </c>
      <c r="AM36" s="31">
        <v>7874.9236110000002</v>
      </c>
      <c r="AN36" s="31">
        <v>8283.1738069999992</v>
      </c>
      <c r="AO36" s="431">
        <v>4255.0176470588231</v>
      </c>
      <c r="AP36" s="31">
        <v>4056.1035689999999</v>
      </c>
      <c r="AQ36" s="31">
        <v>4266.6285740000003</v>
      </c>
      <c r="AR36" s="431">
        <v>2305.6823529411763</v>
      </c>
      <c r="AS36" s="31">
        <v>8598.7965769999992</v>
      </c>
      <c r="AT36" s="31">
        <v>9048.3955040000001</v>
      </c>
      <c r="AU36" s="431">
        <v>4591.9588235294123</v>
      </c>
      <c r="AV36" s="31">
        <v>4422.2918129999998</v>
      </c>
      <c r="AW36" s="31">
        <v>4653.9355580000001</v>
      </c>
      <c r="AX36" s="431">
        <v>2504.1588235294116</v>
      </c>
      <c r="AY36" s="31">
        <v>14780.989398</v>
      </c>
      <c r="AZ36" s="31">
        <v>15560.10802</v>
      </c>
      <c r="BA36" s="431">
        <v>9922.8352941176454</v>
      </c>
      <c r="BB36" s="31">
        <v>8532.8591560000004</v>
      </c>
      <c r="BC36" s="31">
        <v>8982.5477609999998</v>
      </c>
      <c r="BD36" s="431">
        <v>5344.5470588235294</v>
      </c>
      <c r="BE36" s="31">
        <v>10925.717945</v>
      </c>
      <c r="BF36" s="31">
        <v>11501.684934000001</v>
      </c>
      <c r="BG36" s="431">
        <v>7218.2882352941178</v>
      </c>
      <c r="BH36" s="31">
        <v>5997.8894780000001</v>
      </c>
      <c r="BI36" s="31">
        <v>6314.0215170000001</v>
      </c>
      <c r="BJ36" s="431">
        <v>3830.7058823529414</v>
      </c>
      <c r="BK36" s="31">
        <v>18250.645433000002</v>
      </c>
      <c r="BL36" s="31">
        <v>19208.36031</v>
      </c>
      <c r="BM36" s="431">
        <v>13519.858823529412</v>
      </c>
      <c r="BN36" s="31">
        <v>10714.992091</v>
      </c>
      <c r="BO36" s="31">
        <v>11277.136208</v>
      </c>
      <c r="BP36" s="431">
        <v>7268.8823529411766</v>
      </c>
      <c r="BQ36" s="31">
        <v>101321.705296</v>
      </c>
      <c r="BR36" s="31">
        <v>101943.123217</v>
      </c>
      <c r="BS36" s="431">
        <v>46709.117647058825</v>
      </c>
      <c r="BT36" s="31">
        <v>26315.382999000001</v>
      </c>
      <c r="BU36" s="31">
        <v>26613.389003</v>
      </c>
      <c r="BV36" s="431">
        <v>14948</v>
      </c>
      <c r="BW36" s="31">
        <v>111045.474434</v>
      </c>
      <c r="BX36" s="31">
        <v>111757.85472600001</v>
      </c>
      <c r="BY36" s="431">
        <v>50817.341176470596</v>
      </c>
      <c r="BZ36" s="31">
        <v>28910.816905</v>
      </c>
      <c r="CA36" s="31">
        <v>29253.848848000001</v>
      </c>
      <c r="CB36" s="431">
        <v>16285.823529411766</v>
      </c>
      <c r="CC36" s="31">
        <v>201383.14417099999</v>
      </c>
      <c r="CD36" s="31">
        <v>202241.092118</v>
      </c>
      <c r="CE36" s="431">
        <v>109789.57058823531</v>
      </c>
      <c r="CF36" s="31">
        <v>74469.044078000006</v>
      </c>
      <c r="CG36" s="31">
        <v>75110.153019000005</v>
      </c>
      <c r="CH36" s="431">
        <v>40519.23529411765</v>
      </c>
      <c r="CI36" s="31">
        <v>145257.705858</v>
      </c>
      <c r="CJ36" s="31">
        <v>145962.86583900001</v>
      </c>
      <c r="CK36" s="431">
        <v>79193.376470588235</v>
      </c>
      <c r="CL36" s="31">
        <v>46705.386069</v>
      </c>
      <c r="CM36" s="31">
        <v>47181.450632</v>
      </c>
      <c r="CN36" s="431">
        <v>26436.823529411762</v>
      </c>
      <c r="CO36" s="31">
        <v>249725.62759600001</v>
      </c>
      <c r="CP36" s="31">
        <v>250581.601524</v>
      </c>
      <c r="CQ36" s="431">
        <v>152691.32352941178</v>
      </c>
      <c r="CR36" s="31">
        <v>96590.622952999998</v>
      </c>
      <c r="CS36" s="31">
        <v>97249.395699000001</v>
      </c>
      <c r="CT36" s="431">
        <v>55968.76470588235</v>
      </c>
      <c r="CU36" s="432">
        <v>934.71614299999999</v>
      </c>
      <c r="CV36" s="432">
        <v>646.33372499999996</v>
      </c>
      <c r="CW36" s="432">
        <v>541.71380899999997</v>
      </c>
      <c r="CX36" s="432">
        <v>349.54428000000001</v>
      </c>
      <c r="CY36" s="432">
        <v>996.99198999999999</v>
      </c>
      <c r="CZ36" s="432">
        <v>653.17954899999995</v>
      </c>
      <c r="DA36" s="432">
        <v>1603.785204</v>
      </c>
      <c r="DB36" s="432">
        <v>1076.5950290000001</v>
      </c>
      <c r="DC36" s="432">
        <v>774.27896099999998</v>
      </c>
      <c r="DD36" s="432">
        <v>484.05717099999998</v>
      </c>
      <c r="DE36" s="432">
        <v>908.85803799999996</v>
      </c>
      <c r="DF36" s="432">
        <v>613.47500600000001</v>
      </c>
      <c r="DG36" s="432">
        <v>516.366083</v>
      </c>
      <c r="DH36" s="432">
        <v>319.79248000000001</v>
      </c>
      <c r="DI36" s="432">
        <v>960.61152700000002</v>
      </c>
      <c r="DJ36" s="432">
        <v>605.70900800000004</v>
      </c>
      <c r="DK36" s="432">
        <v>1574.7611219999999</v>
      </c>
      <c r="DL36" s="432">
        <v>1056.542827</v>
      </c>
      <c r="DM36" s="432">
        <v>731.97858799999995</v>
      </c>
      <c r="DN36" s="432">
        <v>429.86981400000002</v>
      </c>
      <c r="DO36" s="432">
        <v>17608.81911</v>
      </c>
      <c r="DP36" s="432">
        <v>13456.162872999999</v>
      </c>
      <c r="DQ36" s="432">
        <v>11515.652582999999</v>
      </c>
      <c r="DR36" s="432">
        <v>8966.8483309999992</v>
      </c>
      <c r="DS36" s="432">
        <v>18033.400829999999</v>
      </c>
      <c r="DT36" s="432">
        <v>12486.429878000001</v>
      </c>
      <c r="DU36" s="432">
        <v>27495.129795000001</v>
      </c>
      <c r="DV36" s="432">
        <v>18989.518705999999</v>
      </c>
      <c r="DW36" s="432">
        <v>14723.302571</v>
      </c>
      <c r="DX36" s="432">
        <v>10174.4347</v>
      </c>
    </row>
    <row r="37" spans="2:128" ht="15">
      <c r="B37" s="442" t="s">
        <v>643</v>
      </c>
      <c r="C37" s="266" t="s">
        <v>644</v>
      </c>
      <c r="D37" s="266" t="s">
        <v>176</v>
      </c>
      <c r="E37" s="443">
        <v>21</v>
      </c>
      <c r="F37" s="444" t="s">
        <v>645</v>
      </c>
      <c r="G37" s="445" t="s">
        <v>637</v>
      </c>
      <c r="H37" t="s">
        <v>643</v>
      </c>
      <c r="I37" s="31">
        <v>6188.3012849999996</v>
      </c>
      <c r="J37" s="31">
        <v>6583.1671550000001</v>
      </c>
      <c r="K37" s="431">
        <v>3127.0941176470587</v>
      </c>
      <c r="L37" s="31">
        <v>3955.7951039999998</v>
      </c>
      <c r="M37" s="31">
        <v>4204.9609119999996</v>
      </c>
      <c r="N37" s="431">
        <v>2071.0705882352941</v>
      </c>
      <c r="O37" s="31">
        <v>6748.8224280000004</v>
      </c>
      <c r="P37" s="31">
        <v>7182.2273910000004</v>
      </c>
      <c r="Q37" s="431">
        <v>3378.4411764705883</v>
      </c>
      <c r="R37" s="31">
        <v>4298.7588910000004</v>
      </c>
      <c r="S37" s="31">
        <v>4570.8859570000004</v>
      </c>
      <c r="T37" s="431">
        <v>2245.3470588235296</v>
      </c>
      <c r="U37" s="31">
        <v>12038.534001</v>
      </c>
      <c r="V37" s="31">
        <v>12705.637425999999</v>
      </c>
      <c r="W37" s="431">
        <v>6945.2411764705885</v>
      </c>
      <c r="X37" s="31">
        <v>8306.0944799999997</v>
      </c>
      <c r="Y37" s="31">
        <v>8760.0974800000004</v>
      </c>
      <c r="Z37" s="431">
        <v>4655.0411764705887</v>
      </c>
      <c r="AA37" s="31">
        <v>8689.3905770000001</v>
      </c>
      <c r="AB37" s="31">
        <v>9209.6654789999993</v>
      </c>
      <c r="AC37" s="431">
        <v>5110.088235294118</v>
      </c>
      <c r="AD37" s="31">
        <v>5819.863891</v>
      </c>
      <c r="AE37" s="31">
        <v>6162.6208479999996</v>
      </c>
      <c r="AF37" s="431">
        <v>3351.7823529411767</v>
      </c>
      <c r="AG37" s="31">
        <v>14884.321923</v>
      </c>
      <c r="AH37" s="31">
        <v>15650.388632</v>
      </c>
      <c r="AI37" s="431">
        <v>9470.5470588235294</v>
      </c>
      <c r="AJ37" s="31">
        <v>10325.074473000001</v>
      </c>
      <c r="AK37" s="31">
        <v>10848.215994</v>
      </c>
      <c r="AL37" s="431">
        <v>6235.2647058823532</v>
      </c>
      <c r="AM37" s="31">
        <v>6238.4104319999997</v>
      </c>
      <c r="AN37" s="31">
        <v>6562.550553</v>
      </c>
      <c r="AO37" s="431">
        <v>3438.8705882352942</v>
      </c>
      <c r="AP37" s="31">
        <v>4056.1035689999999</v>
      </c>
      <c r="AQ37" s="31">
        <v>4266.6285740000003</v>
      </c>
      <c r="AR37" s="431">
        <v>2305.6823529411763</v>
      </c>
      <c r="AS37" s="31">
        <v>6815.9306319999996</v>
      </c>
      <c r="AT37" s="31">
        <v>7173.127759</v>
      </c>
      <c r="AU37" s="431">
        <v>3713.7176470588233</v>
      </c>
      <c r="AV37" s="31">
        <v>4422.2918129999998</v>
      </c>
      <c r="AW37" s="31">
        <v>4653.9355580000001</v>
      </c>
      <c r="AX37" s="431">
        <v>2504.1588235294116</v>
      </c>
      <c r="AY37" s="31">
        <v>12195.448592000001</v>
      </c>
      <c r="AZ37" s="31">
        <v>12838.964459000001</v>
      </c>
      <c r="BA37" s="431">
        <v>8015.0764705882348</v>
      </c>
      <c r="BB37" s="31">
        <v>8532.8591560000004</v>
      </c>
      <c r="BC37" s="31">
        <v>8982.5477609999998</v>
      </c>
      <c r="BD37" s="431">
        <v>5344.5470588235294</v>
      </c>
      <c r="BE37" s="31">
        <v>8803.6794499999996</v>
      </c>
      <c r="BF37" s="31">
        <v>9268.4761020000005</v>
      </c>
      <c r="BG37" s="431">
        <v>5790.0941176470587</v>
      </c>
      <c r="BH37" s="31">
        <v>5997.8894780000001</v>
      </c>
      <c r="BI37" s="31">
        <v>6314.0215170000001</v>
      </c>
      <c r="BJ37" s="431">
        <v>3830.7058823529414</v>
      </c>
      <c r="BK37" s="31">
        <v>15199.469787</v>
      </c>
      <c r="BL37" s="31">
        <v>15997.508803000001</v>
      </c>
      <c r="BM37" s="431">
        <v>11005.14705882353</v>
      </c>
      <c r="BN37" s="31">
        <v>10714.992091</v>
      </c>
      <c r="BO37" s="31">
        <v>11277.136208</v>
      </c>
      <c r="BP37" s="431">
        <v>7268.8823529411766</v>
      </c>
      <c r="BQ37" s="31">
        <v>70087.753880000004</v>
      </c>
      <c r="BR37" s="31">
        <v>70619.945584000001</v>
      </c>
      <c r="BS37" s="431">
        <v>33771.811764705883</v>
      </c>
      <c r="BT37" s="31">
        <v>26315.382999000001</v>
      </c>
      <c r="BU37" s="31">
        <v>26613.389003</v>
      </c>
      <c r="BV37" s="431">
        <v>14948</v>
      </c>
      <c r="BW37" s="31">
        <v>77093.393291999993</v>
      </c>
      <c r="BX37" s="31">
        <v>77708.240877000004</v>
      </c>
      <c r="BY37" s="431">
        <v>36791.670588235298</v>
      </c>
      <c r="BZ37" s="31">
        <v>28910.816905</v>
      </c>
      <c r="CA37" s="31">
        <v>29253.848848000001</v>
      </c>
      <c r="CB37" s="431">
        <v>16285.823529411766</v>
      </c>
      <c r="CC37" s="31">
        <v>150620.00907599999</v>
      </c>
      <c r="CD37" s="31">
        <v>151405.154568</v>
      </c>
      <c r="CE37" s="431">
        <v>80986.876470588235</v>
      </c>
      <c r="CF37" s="31">
        <v>74469.044078000006</v>
      </c>
      <c r="CG37" s="31">
        <v>75110.153019000005</v>
      </c>
      <c r="CH37" s="431">
        <v>40519.23529411765</v>
      </c>
      <c r="CI37" s="31">
        <v>104119.545021</v>
      </c>
      <c r="CJ37" s="31">
        <v>104745.329589</v>
      </c>
      <c r="CK37" s="431">
        <v>57331.48823529412</v>
      </c>
      <c r="CL37" s="31">
        <v>46705.386069</v>
      </c>
      <c r="CM37" s="31">
        <v>47181.450632</v>
      </c>
      <c r="CN37" s="431">
        <v>26436.823529411762</v>
      </c>
      <c r="CO37" s="31">
        <v>189482.56795500001</v>
      </c>
      <c r="CP37" s="31">
        <v>190275.27562900001</v>
      </c>
      <c r="CQ37" s="431">
        <v>113172.95294117648</v>
      </c>
      <c r="CR37" s="31">
        <v>96590.622952999998</v>
      </c>
      <c r="CS37" s="31">
        <v>97249.395699000001</v>
      </c>
      <c r="CT37" s="431">
        <v>55968.76470588235</v>
      </c>
      <c r="CU37" s="432">
        <v>1010.457048</v>
      </c>
      <c r="CV37" s="432">
        <v>646.33372499999996</v>
      </c>
      <c r="CW37" s="432">
        <v>616.395263</v>
      </c>
      <c r="CX37" s="432">
        <v>349.54428000000001</v>
      </c>
      <c r="CY37" s="432">
        <v>1058.6397280000001</v>
      </c>
      <c r="CZ37" s="432">
        <v>653.17954899999995</v>
      </c>
      <c r="DA37" s="432">
        <v>1666.1677050000001</v>
      </c>
      <c r="DB37" s="432">
        <v>1076.5950290000001</v>
      </c>
      <c r="DC37" s="432">
        <v>830.30692399999998</v>
      </c>
      <c r="DD37" s="432">
        <v>484.05717099999998</v>
      </c>
      <c r="DE37" s="432">
        <v>986.08460700000001</v>
      </c>
      <c r="DF37" s="432">
        <v>613.47500600000001</v>
      </c>
      <c r="DG37" s="432">
        <v>592.23202600000002</v>
      </c>
      <c r="DH37" s="432">
        <v>319.79248000000001</v>
      </c>
      <c r="DI37" s="432">
        <v>1024.598088</v>
      </c>
      <c r="DJ37" s="432">
        <v>605.70900800000004</v>
      </c>
      <c r="DK37" s="432">
        <v>1643.8271999999999</v>
      </c>
      <c r="DL37" s="432">
        <v>1056.542827</v>
      </c>
      <c r="DM37" s="432">
        <v>789.10064599999998</v>
      </c>
      <c r="DN37" s="432">
        <v>429.86981400000002</v>
      </c>
      <c r="DO37" s="432">
        <v>19679.643780999999</v>
      </c>
      <c r="DP37" s="432">
        <v>13456.162872999999</v>
      </c>
      <c r="DQ37" s="432">
        <v>13606.644505</v>
      </c>
      <c r="DR37" s="432">
        <v>8966.8483309999992</v>
      </c>
      <c r="DS37" s="432">
        <v>19796.657896000001</v>
      </c>
      <c r="DT37" s="432">
        <v>12486.429878000001</v>
      </c>
      <c r="DU37" s="432">
        <v>29415.577578</v>
      </c>
      <c r="DV37" s="432">
        <v>18989.518705999999</v>
      </c>
      <c r="DW37" s="432">
        <v>16379.90055</v>
      </c>
      <c r="DX37" s="432">
        <v>10174.4347</v>
      </c>
    </row>
    <row r="38" spans="2:128" ht="15">
      <c r="B38" s="442" t="s">
        <v>647</v>
      </c>
      <c r="C38" s="266" t="s">
        <v>648</v>
      </c>
      <c r="D38" s="266" t="s">
        <v>176</v>
      </c>
      <c r="E38" s="443">
        <v>22</v>
      </c>
      <c r="F38" s="444" t="s">
        <v>641</v>
      </c>
      <c r="G38" s="445" t="s">
        <v>608</v>
      </c>
      <c r="H38" t="s">
        <v>647</v>
      </c>
      <c r="I38" s="31">
        <v>7825.970378</v>
      </c>
      <c r="J38" s="31">
        <v>8326.8616230000007</v>
      </c>
      <c r="K38" s="431">
        <v>3869.6117647058827</v>
      </c>
      <c r="L38" s="31">
        <v>4272.867886</v>
      </c>
      <c r="M38" s="31">
        <v>4542.4800240000004</v>
      </c>
      <c r="N38" s="431">
        <v>2215.3882352941173</v>
      </c>
      <c r="O38" s="31">
        <v>8535.3809789999996</v>
      </c>
      <c r="P38" s="31">
        <v>9084.8936520000007</v>
      </c>
      <c r="Q38" s="431">
        <v>4177.2764705882355</v>
      </c>
      <c r="R38" s="31">
        <v>4648.4807280000005</v>
      </c>
      <c r="S38" s="31">
        <v>4943.277478</v>
      </c>
      <c r="T38" s="431">
        <v>2402.2411764705885</v>
      </c>
      <c r="U38" s="31">
        <v>14638.546759000001</v>
      </c>
      <c r="V38" s="31">
        <v>15456.590389000001</v>
      </c>
      <c r="W38" s="431">
        <v>8575.0117647058833</v>
      </c>
      <c r="X38" s="31">
        <v>8835.0592809999998</v>
      </c>
      <c r="Y38" s="31">
        <v>9319.136724</v>
      </c>
      <c r="Z38" s="431">
        <v>4951.3705882352942</v>
      </c>
      <c r="AA38" s="31">
        <v>10820.853454</v>
      </c>
      <c r="AB38" s="31">
        <v>11473.627157999999</v>
      </c>
      <c r="AC38" s="431">
        <v>6351.2882352941178</v>
      </c>
      <c r="AD38" s="31">
        <v>6234.4732780000004</v>
      </c>
      <c r="AE38" s="31">
        <v>6602.6290870000003</v>
      </c>
      <c r="AF38" s="431">
        <v>3586.535294117647</v>
      </c>
      <c r="AG38" s="31">
        <v>17938.528105000001</v>
      </c>
      <c r="AH38" s="31">
        <v>18871.802817</v>
      </c>
      <c r="AI38" s="431">
        <v>11648.464705882354</v>
      </c>
      <c r="AJ38" s="31">
        <v>10964.710396</v>
      </c>
      <c r="AK38" s="31">
        <v>11521.854078</v>
      </c>
      <c r="AL38" s="431">
        <v>6643.0764705882357</v>
      </c>
      <c r="AM38" s="31">
        <v>7874.9236110000002</v>
      </c>
      <c r="AN38" s="31">
        <v>8283.1738069999992</v>
      </c>
      <c r="AO38" s="431">
        <v>4255.0176470588231</v>
      </c>
      <c r="AP38" s="31">
        <v>4371.4606869999998</v>
      </c>
      <c r="AQ38" s="31">
        <v>4598.3255669999999</v>
      </c>
      <c r="AR38" s="431">
        <v>2462.5882352941176</v>
      </c>
      <c r="AS38" s="31">
        <v>8598.7965769999992</v>
      </c>
      <c r="AT38" s="31">
        <v>9048.3955040000001</v>
      </c>
      <c r="AU38" s="431">
        <v>4591.9588235294123</v>
      </c>
      <c r="AV38" s="31">
        <v>4768.6037120000001</v>
      </c>
      <c r="AW38" s="31">
        <v>5018.3332879999998</v>
      </c>
      <c r="AX38" s="431">
        <v>2673.2529411764708</v>
      </c>
      <c r="AY38" s="31">
        <v>14780.989398</v>
      </c>
      <c r="AZ38" s="31">
        <v>15560.10802</v>
      </c>
      <c r="BA38" s="431">
        <v>9922.8352941176454</v>
      </c>
      <c r="BB38" s="31">
        <v>9058.1124999999993</v>
      </c>
      <c r="BC38" s="31">
        <v>9535.5001520000005</v>
      </c>
      <c r="BD38" s="431">
        <v>5687.6411764705881</v>
      </c>
      <c r="BE38" s="31">
        <v>10925.717945</v>
      </c>
      <c r="BF38" s="31">
        <v>11501.684934000001</v>
      </c>
      <c r="BG38" s="431">
        <v>7218.2882352941178</v>
      </c>
      <c r="BH38" s="31">
        <v>6407.4293980000002</v>
      </c>
      <c r="BI38" s="31">
        <v>6745.1643119999999</v>
      </c>
      <c r="BJ38" s="431">
        <v>4091.0941176470587</v>
      </c>
      <c r="BK38" s="31">
        <v>18250.645433000002</v>
      </c>
      <c r="BL38" s="31">
        <v>19208.36031</v>
      </c>
      <c r="BM38" s="431">
        <v>13519.858823529412</v>
      </c>
      <c r="BN38" s="31">
        <v>11348.958909999999</v>
      </c>
      <c r="BO38" s="31">
        <v>11944.385966</v>
      </c>
      <c r="BP38" s="431">
        <v>7743.5705882352941</v>
      </c>
      <c r="BQ38" s="31">
        <v>101321.705296</v>
      </c>
      <c r="BR38" s="31">
        <v>101943.123217</v>
      </c>
      <c r="BS38" s="431">
        <v>46709.117647058825</v>
      </c>
      <c r="BT38" s="31">
        <v>32003.720119000001</v>
      </c>
      <c r="BU38" s="31">
        <v>32350.19454</v>
      </c>
      <c r="BV38" s="431">
        <v>17417.341176470589</v>
      </c>
      <c r="BW38" s="31">
        <v>111045.474434</v>
      </c>
      <c r="BX38" s="31">
        <v>111757.85472600001</v>
      </c>
      <c r="BY38" s="431">
        <v>50817.341176470596</v>
      </c>
      <c r="BZ38" s="31">
        <v>35126.680893999997</v>
      </c>
      <c r="CA38" s="31">
        <v>35528.008306999996</v>
      </c>
      <c r="CB38" s="431">
        <v>18987.588235294119</v>
      </c>
      <c r="CC38" s="31">
        <v>201383.14417099999</v>
      </c>
      <c r="CD38" s="31">
        <v>202241.092118</v>
      </c>
      <c r="CE38" s="431">
        <v>109789.57058823531</v>
      </c>
      <c r="CF38" s="31">
        <v>84754.713910999999</v>
      </c>
      <c r="CG38" s="31">
        <v>85428.768639000002</v>
      </c>
      <c r="CH38" s="431">
        <v>45615.76470588235</v>
      </c>
      <c r="CI38" s="31">
        <v>145257.705858</v>
      </c>
      <c r="CJ38" s="31">
        <v>145962.86583900001</v>
      </c>
      <c r="CK38" s="431">
        <v>79193.376470588235</v>
      </c>
      <c r="CL38" s="31">
        <v>54420.602316999997</v>
      </c>
      <c r="CM38" s="31">
        <v>54933.227989999999</v>
      </c>
      <c r="CN38" s="431">
        <v>30362.176470588238</v>
      </c>
      <c r="CO38" s="31">
        <v>249725.62759600001</v>
      </c>
      <c r="CP38" s="31">
        <v>250581.601524</v>
      </c>
      <c r="CQ38" s="431">
        <v>152691.32352941178</v>
      </c>
      <c r="CR38" s="31">
        <v>109239.138315</v>
      </c>
      <c r="CS38" s="31">
        <v>109931.07737299999</v>
      </c>
      <c r="CT38" s="431">
        <v>62911.23529411765</v>
      </c>
      <c r="CU38" s="432">
        <v>934.71614299999999</v>
      </c>
      <c r="CV38" s="432">
        <v>665.197362</v>
      </c>
      <c r="CW38" s="432">
        <v>541.71380899999997</v>
      </c>
      <c r="CX38" s="432">
        <v>359.70813700000002</v>
      </c>
      <c r="CY38" s="432">
        <v>996.99198999999999</v>
      </c>
      <c r="CZ38" s="432">
        <v>678.19654400000002</v>
      </c>
      <c r="DA38" s="432">
        <v>1603.785204</v>
      </c>
      <c r="DB38" s="432">
        <v>1117.7915069999999</v>
      </c>
      <c r="DC38" s="432">
        <v>774.27896099999998</v>
      </c>
      <c r="DD38" s="432">
        <v>502.53154499999999</v>
      </c>
      <c r="DE38" s="432">
        <v>908.85803799999996</v>
      </c>
      <c r="DF38" s="432">
        <v>634.61415099999999</v>
      </c>
      <c r="DG38" s="432">
        <v>516.366083</v>
      </c>
      <c r="DH38" s="432">
        <v>331.726136</v>
      </c>
      <c r="DI38" s="432">
        <v>960.61152700000002</v>
      </c>
      <c r="DJ38" s="432">
        <v>632.91651999999999</v>
      </c>
      <c r="DK38" s="432">
        <v>1574.7611219999999</v>
      </c>
      <c r="DL38" s="432">
        <v>1100.3090549999999</v>
      </c>
      <c r="DM38" s="432">
        <v>731.97858799999995</v>
      </c>
      <c r="DN38" s="432">
        <v>450.77968900000002</v>
      </c>
      <c r="DO38" s="432">
        <v>17608.81911</v>
      </c>
      <c r="DP38" s="432">
        <v>13605.137261</v>
      </c>
      <c r="DQ38" s="432">
        <v>11515.652582999999</v>
      </c>
      <c r="DR38" s="432">
        <v>8967.9463670000005</v>
      </c>
      <c r="DS38" s="432">
        <v>18033.400829999999</v>
      </c>
      <c r="DT38" s="432">
        <v>12808.011503</v>
      </c>
      <c r="DU38" s="432">
        <v>27495.129795000001</v>
      </c>
      <c r="DV38" s="432">
        <v>19577.783243000002</v>
      </c>
      <c r="DW38" s="432">
        <v>14723.302571</v>
      </c>
      <c r="DX38" s="432">
        <v>10384.84403</v>
      </c>
    </row>
    <row r="39" spans="2:128" ht="15">
      <c r="B39" s="442" t="s">
        <v>650</v>
      </c>
      <c r="C39" s="266" t="s">
        <v>651</v>
      </c>
      <c r="D39" s="266" t="s">
        <v>176</v>
      </c>
      <c r="E39" s="443">
        <v>23</v>
      </c>
      <c r="F39" s="444" t="s">
        <v>645</v>
      </c>
      <c r="G39" s="445" t="s">
        <v>608</v>
      </c>
      <c r="H39" t="s">
        <v>650</v>
      </c>
      <c r="I39" s="31">
        <v>6188.3012849999996</v>
      </c>
      <c r="J39" s="31">
        <v>6583.1671550000001</v>
      </c>
      <c r="K39" s="431">
        <v>3127.0941176470587</v>
      </c>
      <c r="L39" s="31">
        <v>4272.867886</v>
      </c>
      <c r="M39" s="31">
        <v>4542.4800240000004</v>
      </c>
      <c r="N39" s="431">
        <v>2215.3882352941173</v>
      </c>
      <c r="O39" s="31">
        <v>6748.8224280000004</v>
      </c>
      <c r="P39" s="31">
        <v>7182.2273910000004</v>
      </c>
      <c r="Q39" s="431">
        <v>3378.4411764705883</v>
      </c>
      <c r="R39" s="31">
        <v>4648.4807280000005</v>
      </c>
      <c r="S39" s="31">
        <v>4943.277478</v>
      </c>
      <c r="T39" s="431">
        <v>2402.2411764705885</v>
      </c>
      <c r="U39" s="31">
        <v>12038.534001</v>
      </c>
      <c r="V39" s="31">
        <v>12705.637425999999</v>
      </c>
      <c r="W39" s="431">
        <v>6945.2411764705885</v>
      </c>
      <c r="X39" s="31">
        <v>8835.0592809999998</v>
      </c>
      <c r="Y39" s="31">
        <v>9319.136724</v>
      </c>
      <c r="Z39" s="431">
        <v>4951.3705882352942</v>
      </c>
      <c r="AA39" s="31">
        <v>8689.3905770000001</v>
      </c>
      <c r="AB39" s="31">
        <v>9209.6654789999993</v>
      </c>
      <c r="AC39" s="431">
        <v>5110.088235294118</v>
      </c>
      <c r="AD39" s="31">
        <v>6234.4732780000004</v>
      </c>
      <c r="AE39" s="31">
        <v>6602.6290870000003</v>
      </c>
      <c r="AF39" s="431">
        <v>3586.535294117647</v>
      </c>
      <c r="AG39" s="31">
        <v>14884.321923</v>
      </c>
      <c r="AH39" s="31">
        <v>15650.388632</v>
      </c>
      <c r="AI39" s="431">
        <v>9470.5470588235294</v>
      </c>
      <c r="AJ39" s="31">
        <v>10964.710396</v>
      </c>
      <c r="AK39" s="31">
        <v>11521.854078</v>
      </c>
      <c r="AL39" s="431">
        <v>6643.0764705882357</v>
      </c>
      <c r="AM39" s="31">
        <v>6238.4104319999997</v>
      </c>
      <c r="AN39" s="31">
        <v>6562.550553</v>
      </c>
      <c r="AO39" s="431">
        <v>3438.8705882352942</v>
      </c>
      <c r="AP39" s="31">
        <v>4371.4606869999998</v>
      </c>
      <c r="AQ39" s="31">
        <v>4598.3255669999999</v>
      </c>
      <c r="AR39" s="431">
        <v>2462.5882352941176</v>
      </c>
      <c r="AS39" s="31">
        <v>6815.9306319999996</v>
      </c>
      <c r="AT39" s="31">
        <v>7173.127759</v>
      </c>
      <c r="AU39" s="431">
        <v>3713.7176470588233</v>
      </c>
      <c r="AV39" s="31">
        <v>4768.6037120000001</v>
      </c>
      <c r="AW39" s="31">
        <v>5018.3332879999998</v>
      </c>
      <c r="AX39" s="431">
        <v>2673.2529411764708</v>
      </c>
      <c r="AY39" s="31">
        <v>12195.448592000001</v>
      </c>
      <c r="AZ39" s="31">
        <v>12838.964459000001</v>
      </c>
      <c r="BA39" s="431">
        <v>8015.0764705882348</v>
      </c>
      <c r="BB39" s="31">
        <v>9058.1124999999993</v>
      </c>
      <c r="BC39" s="31">
        <v>9535.5001520000005</v>
      </c>
      <c r="BD39" s="431">
        <v>5687.6411764705881</v>
      </c>
      <c r="BE39" s="31">
        <v>8803.6794499999996</v>
      </c>
      <c r="BF39" s="31">
        <v>9268.4761020000005</v>
      </c>
      <c r="BG39" s="431">
        <v>5790.0941176470587</v>
      </c>
      <c r="BH39" s="31">
        <v>6407.4293980000002</v>
      </c>
      <c r="BI39" s="31">
        <v>6745.1643119999999</v>
      </c>
      <c r="BJ39" s="431">
        <v>4091.0941176470587</v>
      </c>
      <c r="BK39" s="31">
        <v>15199.469787</v>
      </c>
      <c r="BL39" s="31">
        <v>15997.508803000001</v>
      </c>
      <c r="BM39" s="431">
        <v>11005.14705882353</v>
      </c>
      <c r="BN39" s="31">
        <v>11348.958909999999</v>
      </c>
      <c r="BO39" s="31">
        <v>11944.385966</v>
      </c>
      <c r="BP39" s="431">
        <v>7743.5705882352941</v>
      </c>
      <c r="BQ39" s="31">
        <v>70087.753880000004</v>
      </c>
      <c r="BR39" s="31">
        <v>70619.945584000001</v>
      </c>
      <c r="BS39" s="431">
        <v>33771.811764705883</v>
      </c>
      <c r="BT39" s="31">
        <v>32003.720119000001</v>
      </c>
      <c r="BU39" s="31">
        <v>32350.19454</v>
      </c>
      <c r="BV39" s="431">
        <v>17417.341176470589</v>
      </c>
      <c r="BW39" s="31">
        <v>77093.393291999993</v>
      </c>
      <c r="BX39" s="31">
        <v>77708.240877000004</v>
      </c>
      <c r="BY39" s="431">
        <v>36791.670588235298</v>
      </c>
      <c r="BZ39" s="31">
        <v>35126.680893999997</v>
      </c>
      <c r="CA39" s="31">
        <v>35528.008306999996</v>
      </c>
      <c r="CB39" s="431">
        <v>18987.588235294119</v>
      </c>
      <c r="CC39" s="31">
        <v>150620.00907599999</v>
      </c>
      <c r="CD39" s="31">
        <v>151405.154568</v>
      </c>
      <c r="CE39" s="431">
        <v>80986.876470588235</v>
      </c>
      <c r="CF39" s="31">
        <v>84754.713910999999</v>
      </c>
      <c r="CG39" s="31">
        <v>85428.768639000002</v>
      </c>
      <c r="CH39" s="431">
        <v>45615.76470588235</v>
      </c>
      <c r="CI39" s="31">
        <v>104119.545021</v>
      </c>
      <c r="CJ39" s="31">
        <v>104745.329589</v>
      </c>
      <c r="CK39" s="431">
        <v>57331.48823529412</v>
      </c>
      <c r="CL39" s="31">
        <v>54420.602316999997</v>
      </c>
      <c r="CM39" s="31">
        <v>54933.227989999999</v>
      </c>
      <c r="CN39" s="431">
        <v>30362.176470588238</v>
      </c>
      <c r="CO39" s="31">
        <v>189482.56795500001</v>
      </c>
      <c r="CP39" s="31">
        <v>190275.27562900001</v>
      </c>
      <c r="CQ39" s="431">
        <v>113172.95294117648</v>
      </c>
      <c r="CR39" s="31">
        <v>109239.138315</v>
      </c>
      <c r="CS39" s="31">
        <v>109931.07737299999</v>
      </c>
      <c r="CT39" s="431">
        <v>62911.23529411765</v>
      </c>
      <c r="CU39" s="432">
        <v>1010.457048</v>
      </c>
      <c r="CV39" s="432">
        <v>665.197362</v>
      </c>
      <c r="CW39" s="432">
        <v>616.395263</v>
      </c>
      <c r="CX39" s="432">
        <v>359.70813700000002</v>
      </c>
      <c r="CY39" s="432">
        <v>1058.6397280000001</v>
      </c>
      <c r="CZ39" s="432">
        <v>678.19654400000002</v>
      </c>
      <c r="DA39" s="432">
        <v>1666.1677050000001</v>
      </c>
      <c r="DB39" s="432">
        <v>1117.7915069999999</v>
      </c>
      <c r="DC39" s="432">
        <v>830.30692399999998</v>
      </c>
      <c r="DD39" s="432">
        <v>502.53154499999999</v>
      </c>
      <c r="DE39" s="432">
        <v>986.08460700000001</v>
      </c>
      <c r="DF39" s="432">
        <v>634.61415099999999</v>
      </c>
      <c r="DG39" s="432">
        <v>592.23202600000002</v>
      </c>
      <c r="DH39" s="432">
        <v>331.726136</v>
      </c>
      <c r="DI39" s="432">
        <v>1024.598088</v>
      </c>
      <c r="DJ39" s="432">
        <v>632.91651999999999</v>
      </c>
      <c r="DK39" s="432">
        <v>1643.8271999999999</v>
      </c>
      <c r="DL39" s="432">
        <v>1100.3090549999999</v>
      </c>
      <c r="DM39" s="432">
        <v>789.10064599999998</v>
      </c>
      <c r="DN39" s="432">
        <v>450.77968900000002</v>
      </c>
      <c r="DO39" s="432">
        <v>19679.643780999999</v>
      </c>
      <c r="DP39" s="432">
        <v>13605.137261</v>
      </c>
      <c r="DQ39" s="432">
        <v>13606.644505</v>
      </c>
      <c r="DR39" s="432">
        <v>8967.9463670000005</v>
      </c>
      <c r="DS39" s="432">
        <v>19796.657896000001</v>
      </c>
      <c r="DT39" s="432">
        <v>12808.011503</v>
      </c>
      <c r="DU39" s="432">
        <v>29415.577578</v>
      </c>
      <c r="DV39" s="432">
        <v>19577.783243000002</v>
      </c>
      <c r="DW39" s="432">
        <v>16379.90055</v>
      </c>
      <c r="DX39" s="432">
        <v>10384.84403</v>
      </c>
    </row>
    <row r="40" spans="2:128" ht="15.75" thickBot="1">
      <c r="B40" s="457" t="s">
        <v>653</v>
      </c>
      <c r="C40" s="458" t="s">
        <v>654</v>
      </c>
      <c r="D40" s="458" t="s">
        <v>176</v>
      </c>
      <c r="E40" s="459">
        <v>24</v>
      </c>
      <c r="F40" s="460" t="s">
        <v>604</v>
      </c>
      <c r="G40" s="461" t="s">
        <v>608</v>
      </c>
      <c r="H40" t="s">
        <v>653</v>
      </c>
      <c r="I40" s="31">
        <v>4491.1412019999998</v>
      </c>
      <c r="J40" s="31">
        <v>4774.8140670000003</v>
      </c>
      <c r="K40" s="431">
        <v>2314.7764705882355</v>
      </c>
      <c r="L40" s="31">
        <v>4272.867886</v>
      </c>
      <c r="M40" s="31">
        <v>4542.4800240000004</v>
      </c>
      <c r="N40" s="431">
        <v>2215.3882352941173</v>
      </c>
      <c r="O40" s="31">
        <v>4888.0242909999997</v>
      </c>
      <c r="P40" s="31">
        <v>5198.4150200000004</v>
      </c>
      <c r="Q40" s="431">
        <v>2508.1999999999998</v>
      </c>
      <c r="R40" s="31">
        <v>4648.4807280000005</v>
      </c>
      <c r="S40" s="31">
        <v>4943.277478</v>
      </c>
      <c r="T40" s="431">
        <v>2402.2411764705885</v>
      </c>
      <c r="U40" s="31">
        <v>9193.5438790000007</v>
      </c>
      <c r="V40" s="31">
        <v>9698.1407359999994</v>
      </c>
      <c r="W40" s="431">
        <v>5153.088235294118</v>
      </c>
      <c r="X40" s="31">
        <v>8835.0592809999998</v>
      </c>
      <c r="Y40" s="31">
        <v>9319.136724</v>
      </c>
      <c r="Z40" s="431">
        <v>4951.3705882352942</v>
      </c>
      <c r="AA40" s="31">
        <v>6519.3356750000003</v>
      </c>
      <c r="AB40" s="31">
        <v>6904.9604660000005</v>
      </c>
      <c r="AC40" s="431">
        <v>3746.3</v>
      </c>
      <c r="AD40" s="31">
        <v>6234.4732780000004</v>
      </c>
      <c r="AE40" s="31">
        <v>6602.6290870000003</v>
      </c>
      <c r="AF40" s="431">
        <v>3586.535294117647</v>
      </c>
      <c r="AG40" s="31">
        <v>11395.732352000001</v>
      </c>
      <c r="AH40" s="31">
        <v>11975.966630000001</v>
      </c>
      <c r="AI40" s="431">
        <v>6918.0588235294126</v>
      </c>
      <c r="AJ40" s="31">
        <v>10964.710396</v>
      </c>
      <c r="AK40" s="31">
        <v>11521.854078</v>
      </c>
      <c r="AL40" s="431">
        <v>6643.0764705882357</v>
      </c>
      <c r="AM40" s="31">
        <v>4588.4417720000001</v>
      </c>
      <c r="AN40" s="31">
        <v>4826.523083</v>
      </c>
      <c r="AO40" s="431">
        <v>2569.6058823529411</v>
      </c>
      <c r="AP40" s="31">
        <v>4371.4606869999998</v>
      </c>
      <c r="AQ40" s="31">
        <v>4598.3255669999999</v>
      </c>
      <c r="AR40" s="431">
        <v>2462.5882352941176</v>
      </c>
      <c r="AS40" s="31">
        <v>5006.6838500000003</v>
      </c>
      <c r="AT40" s="31">
        <v>5268.8204079999996</v>
      </c>
      <c r="AU40" s="431">
        <v>2788.7882352941178</v>
      </c>
      <c r="AV40" s="31">
        <v>4768.6037120000001</v>
      </c>
      <c r="AW40" s="31">
        <v>5018.3332879999998</v>
      </c>
      <c r="AX40" s="431">
        <v>2673.2529411764708</v>
      </c>
      <c r="AY40" s="31">
        <v>9415.4472979999991</v>
      </c>
      <c r="AZ40" s="31">
        <v>9911.644096</v>
      </c>
      <c r="BA40" s="431">
        <v>5923.2058823529414</v>
      </c>
      <c r="BB40" s="31">
        <v>9058.1124999999993</v>
      </c>
      <c r="BC40" s="31">
        <v>9535.5001520000005</v>
      </c>
      <c r="BD40" s="431">
        <v>5687.6411764705881</v>
      </c>
      <c r="BE40" s="31">
        <v>6688.8165079999999</v>
      </c>
      <c r="BF40" s="31">
        <v>7041.3598709999997</v>
      </c>
      <c r="BG40" s="431">
        <v>4268.4941176470584</v>
      </c>
      <c r="BH40" s="31">
        <v>6407.4293980000002</v>
      </c>
      <c r="BI40" s="31">
        <v>6745.1643119999999</v>
      </c>
      <c r="BJ40" s="431">
        <v>4091.0941176470587</v>
      </c>
      <c r="BK40" s="31">
        <v>11777.349455</v>
      </c>
      <c r="BL40" s="31">
        <v>12395.239799000001</v>
      </c>
      <c r="BM40" s="431">
        <v>8065.7235294117645</v>
      </c>
      <c r="BN40" s="31">
        <v>11348.958909999999</v>
      </c>
      <c r="BO40" s="31">
        <v>11944.385966</v>
      </c>
      <c r="BP40" s="431">
        <v>7743.5705882352941</v>
      </c>
      <c r="BQ40" s="31">
        <v>35933.262398999999</v>
      </c>
      <c r="BR40" s="31">
        <v>36308.919177999996</v>
      </c>
      <c r="BS40" s="431">
        <v>19108.329411764709</v>
      </c>
      <c r="BT40" s="31">
        <v>32003.720119000001</v>
      </c>
      <c r="BU40" s="31">
        <v>32350.19454</v>
      </c>
      <c r="BV40" s="431">
        <v>17417.341176470589</v>
      </c>
      <c r="BW40" s="31">
        <v>39464.943986999999</v>
      </c>
      <c r="BX40" s="31">
        <v>39902.781065000003</v>
      </c>
      <c r="BY40" s="431">
        <v>20821.647058823528</v>
      </c>
      <c r="BZ40" s="31">
        <v>35126.680893999997</v>
      </c>
      <c r="CA40" s="31">
        <v>35528.008306999996</v>
      </c>
      <c r="CB40" s="431">
        <v>18987.588235294119</v>
      </c>
      <c r="CC40" s="31">
        <v>91763.197927000001</v>
      </c>
      <c r="CD40" s="31">
        <v>92456.838692000005</v>
      </c>
      <c r="CE40" s="431">
        <v>49073.058823529413</v>
      </c>
      <c r="CF40" s="31">
        <v>84754.713910999999</v>
      </c>
      <c r="CG40" s="31">
        <v>85428.768639000002</v>
      </c>
      <c r="CH40" s="431">
        <v>45615.76470588235</v>
      </c>
      <c r="CI40" s="31">
        <v>59724.736821999999</v>
      </c>
      <c r="CJ40" s="31">
        <v>60258.746227000003</v>
      </c>
      <c r="CK40" s="431">
        <v>33047.588235294112</v>
      </c>
      <c r="CL40" s="31">
        <v>54420.602316999997</v>
      </c>
      <c r="CM40" s="31">
        <v>54933.227989999999</v>
      </c>
      <c r="CN40" s="431">
        <v>30362.176470588238</v>
      </c>
      <c r="CO40" s="31">
        <v>117753.272501</v>
      </c>
      <c r="CP40" s="31">
        <v>118464.167489</v>
      </c>
      <c r="CQ40" s="431">
        <v>67615.876470588235</v>
      </c>
      <c r="CR40" s="31">
        <v>109239.138315</v>
      </c>
      <c r="CS40" s="31">
        <v>109931.07737299999</v>
      </c>
      <c r="CT40" s="431">
        <v>62911.23529411765</v>
      </c>
      <c r="CU40" s="432">
        <v>671.79127000000005</v>
      </c>
      <c r="CV40" s="432">
        <v>665.197362</v>
      </c>
      <c r="CW40" s="432">
        <v>361.81509299999999</v>
      </c>
      <c r="CX40" s="432">
        <v>359.70813700000002</v>
      </c>
      <c r="CY40" s="432">
        <v>688.334476</v>
      </c>
      <c r="CZ40" s="432">
        <v>678.19654400000002</v>
      </c>
      <c r="DA40" s="432">
        <v>1136.272913</v>
      </c>
      <c r="DB40" s="432">
        <v>1117.7915069999999</v>
      </c>
      <c r="DC40" s="432">
        <v>509.38924200000002</v>
      </c>
      <c r="DD40" s="432">
        <v>502.53154499999999</v>
      </c>
      <c r="DE40" s="432">
        <v>642.22999100000004</v>
      </c>
      <c r="DF40" s="432">
        <v>634.61415099999999</v>
      </c>
      <c r="DG40" s="432">
        <v>334.67110000000002</v>
      </c>
      <c r="DH40" s="432">
        <v>331.726136</v>
      </c>
      <c r="DI40" s="432">
        <v>644.13638100000003</v>
      </c>
      <c r="DJ40" s="432">
        <v>632.91651999999999</v>
      </c>
      <c r="DK40" s="432">
        <v>1119.956042</v>
      </c>
      <c r="DL40" s="432">
        <v>1100.3090549999999</v>
      </c>
      <c r="DM40" s="432">
        <v>459.24388499999998</v>
      </c>
      <c r="DN40" s="432">
        <v>450.77968900000002</v>
      </c>
      <c r="DO40" s="432">
        <v>13591.201026999999</v>
      </c>
      <c r="DP40" s="432">
        <v>13605.137261</v>
      </c>
      <c r="DQ40" s="432">
        <v>8875.375806</v>
      </c>
      <c r="DR40" s="432">
        <v>8967.9463670000005</v>
      </c>
      <c r="DS40" s="432">
        <v>12893.380217</v>
      </c>
      <c r="DT40" s="432">
        <v>12808.011503</v>
      </c>
      <c r="DU40" s="432">
        <v>19797.514985999998</v>
      </c>
      <c r="DV40" s="432">
        <v>19577.783243000002</v>
      </c>
      <c r="DW40" s="432">
        <v>10415.786873999999</v>
      </c>
      <c r="DX40" s="432">
        <v>10384.84403</v>
      </c>
    </row>
    <row r="41" spans="2:128" ht="15">
      <c r="B41" s="446" t="s">
        <v>655</v>
      </c>
      <c r="C41" s="260" t="s">
        <v>656</v>
      </c>
      <c r="D41" s="260" t="s">
        <v>58</v>
      </c>
      <c r="E41" s="447">
        <v>10</v>
      </c>
      <c r="F41" s="448" t="s">
        <v>657</v>
      </c>
      <c r="G41" s="449" t="s">
        <v>179</v>
      </c>
      <c r="H41" t="s">
        <v>655</v>
      </c>
      <c r="I41" s="31">
        <v>4272.867886</v>
      </c>
      <c r="J41" s="31">
        <v>4542.4800240000004</v>
      </c>
      <c r="K41" s="431">
        <v>2215.3882352941173</v>
      </c>
      <c r="L41" s="31">
        <v>4272.867886</v>
      </c>
      <c r="M41" s="31">
        <v>4542.4800240000004</v>
      </c>
      <c r="N41" s="431">
        <v>2215.3882352941173</v>
      </c>
      <c r="O41" s="31">
        <v>4648.4807280000005</v>
      </c>
      <c r="P41" s="31">
        <v>4943.277478</v>
      </c>
      <c r="Q41" s="431">
        <v>2402.2411764705885</v>
      </c>
      <c r="R41" s="31">
        <v>4648.4807280000005</v>
      </c>
      <c r="S41" s="31">
        <v>4943.277478</v>
      </c>
      <c r="T41" s="431">
        <v>2402.2411764705885</v>
      </c>
      <c r="U41" s="31">
        <v>8835.0592809999998</v>
      </c>
      <c r="V41" s="31">
        <v>9319.136724</v>
      </c>
      <c r="W41" s="431">
        <v>4951.3705882352942</v>
      </c>
      <c r="X41" s="31">
        <v>8835.0592809999998</v>
      </c>
      <c r="Y41" s="31">
        <v>9319.136724</v>
      </c>
      <c r="Z41" s="431">
        <v>4951.3705882352942</v>
      </c>
      <c r="AA41" s="31">
        <v>6234.4732780000004</v>
      </c>
      <c r="AB41" s="31">
        <v>6602.6290870000003</v>
      </c>
      <c r="AC41" s="431">
        <v>3586.535294117647</v>
      </c>
      <c r="AD41" s="31">
        <v>6234.4732780000004</v>
      </c>
      <c r="AE41" s="31">
        <v>6602.6290870000003</v>
      </c>
      <c r="AF41" s="431">
        <v>3586.535294117647</v>
      </c>
      <c r="AG41" s="31">
        <v>10964.710396</v>
      </c>
      <c r="AH41" s="31">
        <v>11521.854078</v>
      </c>
      <c r="AI41" s="431">
        <v>6643.0764705882357</v>
      </c>
      <c r="AJ41" s="31">
        <v>10964.710396</v>
      </c>
      <c r="AK41" s="31">
        <v>11521.854078</v>
      </c>
      <c r="AL41" s="431">
        <v>6643.0764705882357</v>
      </c>
      <c r="AM41" s="31">
        <v>4371.4606869999998</v>
      </c>
      <c r="AN41" s="31">
        <v>4598.3255669999999</v>
      </c>
      <c r="AO41" s="431">
        <v>2462.5882352941176</v>
      </c>
      <c r="AP41" s="31">
        <v>4371.4606869999998</v>
      </c>
      <c r="AQ41" s="31">
        <v>4598.3255669999999</v>
      </c>
      <c r="AR41" s="431">
        <v>2462.5882352941176</v>
      </c>
      <c r="AS41" s="31">
        <v>4768.6037120000001</v>
      </c>
      <c r="AT41" s="31">
        <v>5018.3332879999998</v>
      </c>
      <c r="AU41" s="431">
        <v>2673.2529411764708</v>
      </c>
      <c r="AV41" s="31">
        <v>4768.6037120000001</v>
      </c>
      <c r="AW41" s="31">
        <v>5018.3332879999998</v>
      </c>
      <c r="AX41" s="431">
        <v>2673.2529411764708</v>
      </c>
      <c r="AY41" s="31">
        <v>9058.1124999999993</v>
      </c>
      <c r="AZ41" s="31">
        <v>9535.5001520000005</v>
      </c>
      <c r="BA41" s="431">
        <v>5687.6411764705881</v>
      </c>
      <c r="BB41" s="31">
        <v>9058.1124999999993</v>
      </c>
      <c r="BC41" s="31">
        <v>9535.5001520000005</v>
      </c>
      <c r="BD41" s="431">
        <v>5687.6411764705881</v>
      </c>
      <c r="BE41" s="31">
        <v>6407.4293980000002</v>
      </c>
      <c r="BF41" s="31">
        <v>6745.1643119999999</v>
      </c>
      <c r="BG41" s="431">
        <v>4091.0941176470587</v>
      </c>
      <c r="BH41" s="31">
        <v>6407.4293980000002</v>
      </c>
      <c r="BI41" s="31">
        <v>6745.1643119999999</v>
      </c>
      <c r="BJ41" s="431">
        <v>4091.0941176470587</v>
      </c>
      <c r="BK41" s="31">
        <v>11348.958909999999</v>
      </c>
      <c r="BL41" s="31">
        <v>11944.385966</v>
      </c>
      <c r="BM41" s="431">
        <v>7743.5705882352941</v>
      </c>
      <c r="BN41" s="31">
        <v>11348.958909999999</v>
      </c>
      <c r="BO41" s="31">
        <v>11944.385966</v>
      </c>
      <c r="BP41" s="431">
        <v>7743.5705882352941</v>
      </c>
      <c r="BQ41" s="31">
        <v>32003.720119000001</v>
      </c>
      <c r="BR41" s="31">
        <v>32350.19454</v>
      </c>
      <c r="BS41" s="431">
        <v>17417.341176470589</v>
      </c>
      <c r="BT41" s="31">
        <v>32003.720119000001</v>
      </c>
      <c r="BU41" s="31">
        <v>32350.19454</v>
      </c>
      <c r="BV41" s="431">
        <v>17417.341176470589</v>
      </c>
      <c r="BW41" s="31">
        <v>35126.680893999997</v>
      </c>
      <c r="BX41" s="31">
        <v>35528.008306999996</v>
      </c>
      <c r="BY41" s="431">
        <v>18987.588235294119</v>
      </c>
      <c r="BZ41" s="31">
        <v>35126.680893999997</v>
      </c>
      <c r="CA41" s="31">
        <v>35528.008306999996</v>
      </c>
      <c r="CB41" s="431">
        <v>18987.588235294119</v>
      </c>
      <c r="CC41" s="31">
        <v>84754.713910999999</v>
      </c>
      <c r="CD41" s="31">
        <v>85428.768639000002</v>
      </c>
      <c r="CE41" s="431">
        <v>45615.76470588235</v>
      </c>
      <c r="CF41" s="31">
        <v>84754.713910999999</v>
      </c>
      <c r="CG41" s="31">
        <v>85428.768639000002</v>
      </c>
      <c r="CH41" s="431">
        <v>45615.76470588235</v>
      </c>
      <c r="CI41" s="31">
        <v>54420.602316999997</v>
      </c>
      <c r="CJ41" s="31">
        <v>54933.227989999999</v>
      </c>
      <c r="CK41" s="431">
        <v>30362.176470588238</v>
      </c>
      <c r="CL41" s="31">
        <v>54420.602316999997</v>
      </c>
      <c r="CM41" s="31">
        <v>54933.227989999999</v>
      </c>
      <c r="CN41" s="431">
        <v>30362.176470588238</v>
      </c>
      <c r="CO41" s="31">
        <v>109239.138315</v>
      </c>
      <c r="CP41" s="31">
        <v>109931.07737299999</v>
      </c>
      <c r="CQ41" s="431">
        <v>62911.23529411765</v>
      </c>
      <c r="CR41" s="31">
        <v>109239.138315</v>
      </c>
      <c r="CS41" s="31">
        <v>109931.07737299999</v>
      </c>
      <c r="CT41" s="431">
        <v>62911.23529411765</v>
      </c>
      <c r="CU41" s="432">
        <v>665.197362</v>
      </c>
      <c r="CV41" s="432">
        <v>665.197362</v>
      </c>
      <c r="CW41" s="432">
        <v>359.70813700000002</v>
      </c>
      <c r="CX41" s="432">
        <v>359.70813700000002</v>
      </c>
      <c r="CY41" s="432">
        <v>678.19654400000002</v>
      </c>
      <c r="CZ41" s="432">
        <v>678.19654400000002</v>
      </c>
      <c r="DA41" s="432">
        <v>1117.7915069999999</v>
      </c>
      <c r="DB41" s="432">
        <v>1117.7915069999999</v>
      </c>
      <c r="DC41" s="432">
        <v>502.53154499999999</v>
      </c>
      <c r="DD41" s="432">
        <v>502.53154499999999</v>
      </c>
      <c r="DE41" s="432">
        <v>634.61415099999999</v>
      </c>
      <c r="DF41" s="432">
        <v>634.61415099999999</v>
      </c>
      <c r="DG41" s="432">
        <v>331.726136</v>
      </c>
      <c r="DH41" s="432">
        <v>331.726136</v>
      </c>
      <c r="DI41" s="432">
        <v>632.91651999999999</v>
      </c>
      <c r="DJ41" s="432">
        <v>632.91651999999999</v>
      </c>
      <c r="DK41" s="432">
        <v>1100.3090549999999</v>
      </c>
      <c r="DL41" s="432">
        <v>1100.3090549999999</v>
      </c>
      <c r="DM41" s="432">
        <v>450.77968900000002</v>
      </c>
      <c r="DN41" s="432">
        <v>450.77968900000002</v>
      </c>
      <c r="DO41" s="432">
        <v>13605.137261</v>
      </c>
      <c r="DP41" s="432">
        <v>13605.137261</v>
      </c>
      <c r="DQ41" s="432">
        <v>8967.9463670000005</v>
      </c>
      <c r="DR41" s="432">
        <v>8967.9463670000005</v>
      </c>
      <c r="DS41" s="432">
        <v>12808.011503</v>
      </c>
      <c r="DT41" s="432">
        <v>12808.011503</v>
      </c>
      <c r="DU41" s="432">
        <v>19577.783243000002</v>
      </c>
      <c r="DV41" s="432">
        <v>19577.783243000002</v>
      </c>
      <c r="DW41" s="432">
        <v>10384.84403</v>
      </c>
      <c r="DX41" s="432">
        <v>10384.84403</v>
      </c>
    </row>
    <row r="42" spans="2:128" ht="15">
      <c r="B42" s="442" t="s">
        <v>659</v>
      </c>
      <c r="C42" s="266" t="s">
        <v>660</v>
      </c>
      <c r="D42" s="266" t="s">
        <v>58</v>
      </c>
      <c r="E42" s="443">
        <v>11</v>
      </c>
      <c r="F42" s="266" t="s">
        <v>657</v>
      </c>
      <c r="G42" s="269" t="s">
        <v>661</v>
      </c>
      <c r="H42" t="s">
        <v>659</v>
      </c>
      <c r="I42" s="31">
        <v>4272.867886</v>
      </c>
      <c r="J42" s="31">
        <v>4542.4800240000004</v>
      </c>
      <c r="K42" s="431">
        <v>2215.3882352941173</v>
      </c>
      <c r="L42" s="31">
        <v>4272.867886</v>
      </c>
      <c r="M42" s="31">
        <v>4542.4800240000004</v>
      </c>
      <c r="N42" s="431">
        <v>2215.3882352941173</v>
      </c>
      <c r="O42" s="31">
        <v>4648.4807280000005</v>
      </c>
      <c r="P42" s="31">
        <v>4943.277478</v>
      </c>
      <c r="Q42" s="431">
        <v>2402.2411764705885</v>
      </c>
      <c r="R42" s="31">
        <v>4648.4807280000005</v>
      </c>
      <c r="S42" s="31">
        <v>4943.277478</v>
      </c>
      <c r="T42" s="431">
        <v>2402.2411764705885</v>
      </c>
      <c r="U42" s="31">
        <v>8835.0592809999998</v>
      </c>
      <c r="V42" s="31">
        <v>9319.136724</v>
      </c>
      <c r="W42" s="431">
        <v>4951.3705882352942</v>
      </c>
      <c r="X42" s="31">
        <v>8835.0592809999998</v>
      </c>
      <c r="Y42" s="31">
        <v>9319.136724</v>
      </c>
      <c r="Z42" s="431">
        <v>4951.3705882352942</v>
      </c>
      <c r="AA42" s="31">
        <v>6234.4732780000004</v>
      </c>
      <c r="AB42" s="31">
        <v>6602.6290870000003</v>
      </c>
      <c r="AC42" s="431">
        <v>3586.535294117647</v>
      </c>
      <c r="AD42" s="31">
        <v>6234.4732780000004</v>
      </c>
      <c r="AE42" s="31">
        <v>6602.6290870000003</v>
      </c>
      <c r="AF42" s="431">
        <v>3586.535294117647</v>
      </c>
      <c r="AG42" s="31">
        <v>10964.710396</v>
      </c>
      <c r="AH42" s="31">
        <v>11521.854078</v>
      </c>
      <c r="AI42" s="431">
        <v>6643.0764705882357</v>
      </c>
      <c r="AJ42" s="31">
        <v>10964.710396</v>
      </c>
      <c r="AK42" s="31">
        <v>11521.854078</v>
      </c>
      <c r="AL42" s="431">
        <v>6643.0764705882357</v>
      </c>
      <c r="AM42" s="31">
        <v>4371.4606869999998</v>
      </c>
      <c r="AN42" s="31">
        <v>4598.3255669999999</v>
      </c>
      <c r="AO42" s="431">
        <v>2462.5882352941176</v>
      </c>
      <c r="AP42" s="31">
        <v>4371.4606869999998</v>
      </c>
      <c r="AQ42" s="31">
        <v>4598.3255669999999</v>
      </c>
      <c r="AR42" s="431">
        <v>2462.5882352941176</v>
      </c>
      <c r="AS42" s="31">
        <v>4768.6037120000001</v>
      </c>
      <c r="AT42" s="31">
        <v>5018.3332879999998</v>
      </c>
      <c r="AU42" s="431">
        <v>2673.2529411764708</v>
      </c>
      <c r="AV42" s="31">
        <v>4768.6037120000001</v>
      </c>
      <c r="AW42" s="31">
        <v>5018.3332879999998</v>
      </c>
      <c r="AX42" s="431">
        <v>2673.2529411764708</v>
      </c>
      <c r="AY42" s="31">
        <v>9058.1124999999993</v>
      </c>
      <c r="AZ42" s="31">
        <v>9535.5001520000005</v>
      </c>
      <c r="BA42" s="431">
        <v>5687.6411764705881</v>
      </c>
      <c r="BB42" s="31">
        <v>9058.1124999999993</v>
      </c>
      <c r="BC42" s="31">
        <v>9535.5001520000005</v>
      </c>
      <c r="BD42" s="431">
        <v>5687.6411764705881</v>
      </c>
      <c r="BE42" s="31">
        <v>6407.4293980000002</v>
      </c>
      <c r="BF42" s="31">
        <v>6745.1643119999999</v>
      </c>
      <c r="BG42" s="431">
        <v>4091.0941176470587</v>
      </c>
      <c r="BH42" s="31">
        <v>6407.4293980000002</v>
      </c>
      <c r="BI42" s="31">
        <v>6745.1643119999999</v>
      </c>
      <c r="BJ42" s="431">
        <v>4091.0941176470587</v>
      </c>
      <c r="BK42" s="31">
        <v>11348.958909999999</v>
      </c>
      <c r="BL42" s="31">
        <v>11944.385966</v>
      </c>
      <c r="BM42" s="431">
        <v>7743.5705882352941</v>
      </c>
      <c r="BN42" s="31">
        <v>11348.958909999999</v>
      </c>
      <c r="BO42" s="31">
        <v>11944.385966</v>
      </c>
      <c r="BP42" s="431">
        <v>7743.5705882352941</v>
      </c>
      <c r="BQ42" s="31">
        <v>32003.720119000001</v>
      </c>
      <c r="BR42" s="31">
        <v>32350.19454</v>
      </c>
      <c r="BS42" s="431">
        <v>17417.341176470589</v>
      </c>
      <c r="BT42" s="31">
        <v>32003.720119000001</v>
      </c>
      <c r="BU42" s="31">
        <v>32350.19454</v>
      </c>
      <c r="BV42" s="431">
        <v>17417.341176470589</v>
      </c>
      <c r="BW42" s="31">
        <v>35126.680893999997</v>
      </c>
      <c r="BX42" s="31">
        <v>35528.008306999996</v>
      </c>
      <c r="BY42" s="431">
        <v>18987.588235294119</v>
      </c>
      <c r="BZ42" s="31">
        <v>35126.680893999997</v>
      </c>
      <c r="CA42" s="31">
        <v>35528.008306999996</v>
      </c>
      <c r="CB42" s="431">
        <v>18987.588235294119</v>
      </c>
      <c r="CC42" s="31">
        <v>84754.713910999999</v>
      </c>
      <c r="CD42" s="31">
        <v>85428.768639000002</v>
      </c>
      <c r="CE42" s="431">
        <v>45615.76470588235</v>
      </c>
      <c r="CF42" s="31">
        <v>84754.713910999999</v>
      </c>
      <c r="CG42" s="31">
        <v>85428.768639000002</v>
      </c>
      <c r="CH42" s="431">
        <v>45615.76470588235</v>
      </c>
      <c r="CI42" s="31">
        <v>54420.602316999997</v>
      </c>
      <c r="CJ42" s="31">
        <v>54933.227989999999</v>
      </c>
      <c r="CK42" s="431">
        <v>30362.176470588238</v>
      </c>
      <c r="CL42" s="31">
        <v>54420.602316999997</v>
      </c>
      <c r="CM42" s="31">
        <v>54933.227989999999</v>
      </c>
      <c r="CN42" s="431">
        <v>30362.176470588238</v>
      </c>
      <c r="CO42" s="31">
        <v>109239.138315</v>
      </c>
      <c r="CP42" s="31">
        <v>109931.07737299999</v>
      </c>
      <c r="CQ42" s="431">
        <v>62911.23529411765</v>
      </c>
      <c r="CR42" s="31">
        <v>109239.138315</v>
      </c>
      <c r="CS42" s="31">
        <v>109931.07737299999</v>
      </c>
      <c r="CT42" s="431">
        <v>62911.23529411765</v>
      </c>
      <c r="CU42" s="432">
        <v>665.197362</v>
      </c>
      <c r="CV42" s="432">
        <v>665.197362</v>
      </c>
      <c r="CW42" s="432">
        <v>359.70813700000002</v>
      </c>
      <c r="CX42" s="432">
        <v>359.70813700000002</v>
      </c>
      <c r="CY42" s="432">
        <v>678.19654400000002</v>
      </c>
      <c r="CZ42" s="432">
        <v>678.19654400000002</v>
      </c>
      <c r="DA42" s="432">
        <v>1117.7915069999999</v>
      </c>
      <c r="DB42" s="432">
        <v>1117.7915069999999</v>
      </c>
      <c r="DC42" s="432">
        <v>502.53154499999999</v>
      </c>
      <c r="DD42" s="432">
        <v>502.53154499999999</v>
      </c>
      <c r="DE42" s="432">
        <v>634.61415099999999</v>
      </c>
      <c r="DF42" s="432">
        <v>634.61415099999999</v>
      </c>
      <c r="DG42" s="432">
        <v>331.726136</v>
      </c>
      <c r="DH42" s="432">
        <v>331.726136</v>
      </c>
      <c r="DI42" s="432">
        <v>632.91651999999999</v>
      </c>
      <c r="DJ42" s="432">
        <v>632.91651999999999</v>
      </c>
      <c r="DK42" s="432">
        <v>1100.3090549999999</v>
      </c>
      <c r="DL42" s="432">
        <v>1100.3090549999999</v>
      </c>
      <c r="DM42" s="432">
        <v>450.77968900000002</v>
      </c>
      <c r="DN42" s="432">
        <v>450.77968900000002</v>
      </c>
      <c r="DO42" s="432">
        <v>13605.137261</v>
      </c>
      <c r="DP42" s="432">
        <v>13605.137261</v>
      </c>
      <c r="DQ42" s="432">
        <v>8967.9463670000005</v>
      </c>
      <c r="DR42" s="432">
        <v>8967.9463670000005</v>
      </c>
      <c r="DS42" s="432">
        <v>12808.011503</v>
      </c>
      <c r="DT42" s="432">
        <v>12808.011503</v>
      </c>
      <c r="DU42" s="432">
        <v>19577.783243000002</v>
      </c>
      <c r="DV42" s="432">
        <v>19577.783243000002</v>
      </c>
      <c r="DW42" s="432">
        <v>10384.84403</v>
      </c>
      <c r="DX42" s="432">
        <v>10384.84403</v>
      </c>
    </row>
    <row r="43" spans="2:128" ht="15.75" thickBot="1">
      <c r="B43" s="452" t="s">
        <v>663</v>
      </c>
      <c r="C43" s="272" t="s">
        <v>664</v>
      </c>
      <c r="D43" s="272" t="s">
        <v>58</v>
      </c>
      <c r="E43" s="453">
        <v>12</v>
      </c>
      <c r="F43" s="272" t="s">
        <v>179</v>
      </c>
      <c r="G43" s="275" t="s">
        <v>661</v>
      </c>
      <c r="H43" t="s">
        <v>663</v>
      </c>
      <c r="I43" s="31">
        <v>4272.867886</v>
      </c>
      <c r="J43" s="31">
        <v>4542.4800240000004</v>
      </c>
      <c r="K43" s="431">
        <v>2215.3882352941173</v>
      </c>
      <c r="L43" s="31">
        <v>4272.867886</v>
      </c>
      <c r="M43" s="31">
        <v>4542.4800240000004</v>
      </c>
      <c r="N43" s="431">
        <v>2215.3882352941173</v>
      </c>
      <c r="O43" s="31">
        <v>4648.4807280000005</v>
      </c>
      <c r="P43" s="31">
        <v>4943.277478</v>
      </c>
      <c r="Q43" s="431">
        <v>2402.2411764705885</v>
      </c>
      <c r="R43" s="31">
        <v>4648.4807280000005</v>
      </c>
      <c r="S43" s="31">
        <v>4943.277478</v>
      </c>
      <c r="T43" s="431">
        <v>2402.2411764705885</v>
      </c>
      <c r="U43" s="31">
        <v>8835.0592809999998</v>
      </c>
      <c r="V43" s="31">
        <v>9319.136724</v>
      </c>
      <c r="W43" s="431">
        <v>4951.3705882352942</v>
      </c>
      <c r="X43" s="31">
        <v>8835.0592809999998</v>
      </c>
      <c r="Y43" s="31">
        <v>9319.136724</v>
      </c>
      <c r="Z43" s="431">
        <v>4951.3705882352942</v>
      </c>
      <c r="AA43" s="31">
        <v>6234.4732780000004</v>
      </c>
      <c r="AB43" s="31">
        <v>6602.6290870000003</v>
      </c>
      <c r="AC43" s="431">
        <v>3586.535294117647</v>
      </c>
      <c r="AD43" s="31">
        <v>6234.4732780000004</v>
      </c>
      <c r="AE43" s="31">
        <v>6602.6290870000003</v>
      </c>
      <c r="AF43" s="431">
        <v>3586.535294117647</v>
      </c>
      <c r="AG43" s="31">
        <v>10964.710396</v>
      </c>
      <c r="AH43" s="31">
        <v>11521.854078</v>
      </c>
      <c r="AI43" s="431">
        <v>6643.0764705882357</v>
      </c>
      <c r="AJ43" s="31">
        <v>10964.710396</v>
      </c>
      <c r="AK43" s="31">
        <v>11521.854078</v>
      </c>
      <c r="AL43" s="431">
        <v>6643.0764705882357</v>
      </c>
      <c r="AM43" s="31">
        <v>4371.4606869999998</v>
      </c>
      <c r="AN43" s="31">
        <v>4598.3255669999999</v>
      </c>
      <c r="AO43" s="431">
        <v>2462.5882352941176</v>
      </c>
      <c r="AP43" s="31">
        <v>4371.4606869999998</v>
      </c>
      <c r="AQ43" s="31">
        <v>4598.3255669999999</v>
      </c>
      <c r="AR43" s="431">
        <v>2462.5882352941176</v>
      </c>
      <c r="AS43" s="31">
        <v>4768.6037120000001</v>
      </c>
      <c r="AT43" s="31">
        <v>5018.3332879999998</v>
      </c>
      <c r="AU43" s="431">
        <v>2673.2529411764708</v>
      </c>
      <c r="AV43" s="31">
        <v>4768.6037120000001</v>
      </c>
      <c r="AW43" s="31">
        <v>5018.3332879999998</v>
      </c>
      <c r="AX43" s="431">
        <v>2673.2529411764708</v>
      </c>
      <c r="AY43" s="31">
        <v>9058.1124999999993</v>
      </c>
      <c r="AZ43" s="31">
        <v>9535.5001520000005</v>
      </c>
      <c r="BA43" s="431">
        <v>5687.6411764705881</v>
      </c>
      <c r="BB43" s="31">
        <v>9058.1124999999993</v>
      </c>
      <c r="BC43" s="31">
        <v>9535.5001520000005</v>
      </c>
      <c r="BD43" s="431">
        <v>5687.6411764705881</v>
      </c>
      <c r="BE43" s="31">
        <v>6407.4293980000002</v>
      </c>
      <c r="BF43" s="31">
        <v>6745.1643119999999</v>
      </c>
      <c r="BG43" s="431">
        <v>4091.0941176470587</v>
      </c>
      <c r="BH43" s="31">
        <v>6407.4293980000002</v>
      </c>
      <c r="BI43" s="31">
        <v>6745.1643119999999</v>
      </c>
      <c r="BJ43" s="431">
        <v>4091.0941176470587</v>
      </c>
      <c r="BK43" s="31">
        <v>11348.958909999999</v>
      </c>
      <c r="BL43" s="31">
        <v>11944.385966</v>
      </c>
      <c r="BM43" s="431">
        <v>7743.5705882352941</v>
      </c>
      <c r="BN43" s="31">
        <v>11348.958909999999</v>
      </c>
      <c r="BO43" s="31">
        <v>11944.385966</v>
      </c>
      <c r="BP43" s="431">
        <v>7743.5705882352941</v>
      </c>
      <c r="BQ43" s="31">
        <v>32003.720119000001</v>
      </c>
      <c r="BR43" s="31">
        <v>32350.19454</v>
      </c>
      <c r="BS43" s="431">
        <v>17417.341176470589</v>
      </c>
      <c r="BT43" s="31">
        <v>32003.720119000001</v>
      </c>
      <c r="BU43" s="31">
        <v>32350.19454</v>
      </c>
      <c r="BV43" s="431">
        <v>17417.341176470589</v>
      </c>
      <c r="BW43" s="31">
        <v>35126.680893999997</v>
      </c>
      <c r="BX43" s="31">
        <v>35528.008306999996</v>
      </c>
      <c r="BY43" s="431">
        <v>18987.588235294119</v>
      </c>
      <c r="BZ43" s="31">
        <v>35126.680893999997</v>
      </c>
      <c r="CA43" s="31">
        <v>35528.008306999996</v>
      </c>
      <c r="CB43" s="431">
        <v>18987.588235294119</v>
      </c>
      <c r="CC43" s="31">
        <v>84754.713910999999</v>
      </c>
      <c r="CD43" s="31">
        <v>85428.768639000002</v>
      </c>
      <c r="CE43" s="431">
        <v>45615.76470588235</v>
      </c>
      <c r="CF43" s="31">
        <v>84754.713910999999</v>
      </c>
      <c r="CG43" s="31">
        <v>85428.768639000002</v>
      </c>
      <c r="CH43" s="431">
        <v>45615.76470588235</v>
      </c>
      <c r="CI43" s="31">
        <v>54420.602316999997</v>
      </c>
      <c r="CJ43" s="31">
        <v>54933.227989999999</v>
      </c>
      <c r="CK43" s="431">
        <v>30362.176470588238</v>
      </c>
      <c r="CL43" s="31">
        <v>54420.602316999997</v>
      </c>
      <c r="CM43" s="31">
        <v>54933.227989999999</v>
      </c>
      <c r="CN43" s="431">
        <v>30362.176470588238</v>
      </c>
      <c r="CO43" s="31">
        <v>109239.138315</v>
      </c>
      <c r="CP43" s="31">
        <v>109931.07737299999</v>
      </c>
      <c r="CQ43" s="431">
        <v>62911.23529411765</v>
      </c>
      <c r="CR43" s="31">
        <v>109239.138315</v>
      </c>
      <c r="CS43" s="31">
        <v>109931.07737299999</v>
      </c>
      <c r="CT43" s="431">
        <v>62911.23529411765</v>
      </c>
      <c r="CU43" s="432">
        <v>665.197362</v>
      </c>
      <c r="CV43" s="432">
        <v>665.197362</v>
      </c>
      <c r="CW43" s="432">
        <v>359.70813700000002</v>
      </c>
      <c r="CX43" s="432">
        <v>359.70813700000002</v>
      </c>
      <c r="CY43" s="432">
        <v>678.19654400000002</v>
      </c>
      <c r="CZ43" s="432">
        <v>678.19654400000002</v>
      </c>
      <c r="DA43" s="432">
        <v>1117.7915069999999</v>
      </c>
      <c r="DB43" s="432">
        <v>1117.7915069999999</v>
      </c>
      <c r="DC43" s="432">
        <v>502.53154499999999</v>
      </c>
      <c r="DD43" s="432">
        <v>502.53154499999999</v>
      </c>
      <c r="DE43" s="432">
        <v>634.61415099999999</v>
      </c>
      <c r="DF43" s="432">
        <v>634.61415099999999</v>
      </c>
      <c r="DG43" s="432">
        <v>331.726136</v>
      </c>
      <c r="DH43" s="432">
        <v>331.726136</v>
      </c>
      <c r="DI43" s="432">
        <v>632.91651999999999</v>
      </c>
      <c r="DJ43" s="432">
        <v>632.91651999999999</v>
      </c>
      <c r="DK43" s="432">
        <v>1100.3090549999999</v>
      </c>
      <c r="DL43" s="432">
        <v>1100.3090549999999</v>
      </c>
      <c r="DM43" s="432">
        <v>450.77968900000002</v>
      </c>
      <c r="DN43" s="432">
        <v>450.77968900000002</v>
      </c>
      <c r="DO43" s="432">
        <v>13605.137261</v>
      </c>
      <c r="DP43" s="432">
        <v>13605.137261</v>
      </c>
      <c r="DQ43" s="432">
        <v>8967.9463670000005</v>
      </c>
      <c r="DR43" s="432">
        <v>8967.9463670000005</v>
      </c>
      <c r="DS43" s="432">
        <v>12808.011503</v>
      </c>
      <c r="DT43" s="432">
        <v>12808.011503</v>
      </c>
      <c r="DU43" s="432">
        <v>19577.783243000002</v>
      </c>
      <c r="DV43" s="432">
        <v>19577.783243000002</v>
      </c>
      <c r="DW43" s="432">
        <v>10384.84403</v>
      </c>
      <c r="DX43" s="432">
        <v>10384.84403</v>
      </c>
    </row>
    <row r="44" spans="2:128" ht="15.75" thickBot="1">
      <c r="B44" s="418" t="s">
        <v>666</v>
      </c>
      <c r="C44" s="427" t="s">
        <v>667</v>
      </c>
      <c r="D44" s="427" t="s">
        <v>541</v>
      </c>
      <c r="E44" s="428">
        <v>10</v>
      </c>
      <c r="F44" s="429" t="s">
        <v>668</v>
      </c>
      <c r="G44" s="430" t="s">
        <v>669</v>
      </c>
      <c r="H44" t="s">
        <v>666</v>
      </c>
      <c r="I44" s="31">
        <v>4272.867886</v>
      </c>
      <c r="J44" s="31">
        <v>4879.4482099999996</v>
      </c>
      <c r="K44" s="431">
        <v>2376.6941176470591</v>
      </c>
      <c r="L44" s="31">
        <v>4272.867886</v>
      </c>
      <c r="M44" s="31">
        <v>4542.4800240000004</v>
      </c>
      <c r="N44" s="431">
        <v>2215.3882352941173</v>
      </c>
      <c r="O44" s="31">
        <v>4648.4807280000005</v>
      </c>
      <c r="P44" s="31">
        <v>5311.8082750000003</v>
      </c>
      <c r="Q44" s="431">
        <v>2568.4588235294118</v>
      </c>
      <c r="R44" s="31">
        <v>4648.4807280000005</v>
      </c>
      <c r="S44" s="31">
        <v>4943.277478</v>
      </c>
      <c r="T44" s="431">
        <v>2402.2411764705885</v>
      </c>
      <c r="U44" s="31">
        <v>8835.0592809999998</v>
      </c>
      <c r="V44" s="31">
        <v>9897.6527889999998</v>
      </c>
      <c r="W44" s="431">
        <v>5206.447058823529</v>
      </c>
      <c r="X44" s="31">
        <v>8835.0592809999998</v>
      </c>
      <c r="Y44" s="31">
        <v>9319.136724</v>
      </c>
      <c r="Z44" s="431">
        <v>4951.3705882352942</v>
      </c>
      <c r="AA44" s="31">
        <v>6234.4732780000004</v>
      </c>
      <c r="AB44" s="31">
        <v>7049.5777939999998</v>
      </c>
      <c r="AC44" s="431">
        <v>3815.6058823529411</v>
      </c>
      <c r="AD44" s="31">
        <v>6234.4732780000004</v>
      </c>
      <c r="AE44" s="31">
        <v>6602.6290870000003</v>
      </c>
      <c r="AF44" s="431">
        <v>3586.535294117647</v>
      </c>
      <c r="AG44" s="31">
        <v>10964.710396</v>
      </c>
      <c r="AH44" s="31">
        <v>12174.545212999999</v>
      </c>
      <c r="AI44" s="431">
        <v>6918.4882352941177</v>
      </c>
      <c r="AJ44" s="31">
        <v>10964.710396</v>
      </c>
      <c r="AK44" s="31">
        <v>11521.854078</v>
      </c>
      <c r="AL44" s="431">
        <v>6643.0764705882357</v>
      </c>
      <c r="AM44" s="31">
        <v>4371.4606869999998</v>
      </c>
      <c r="AN44" s="31">
        <v>0</v>
      </c>
      <c r="AO44" s="431">
        <v>2799.6117647058827</v>
      </c>
      <c r="AP44" s="31">
        <v>4371.4606869999998</v>
      </c>
      <c r="AQ44" s="31">
        <v>4598.3255669999999</v>
      </c>
      <c r="AR44" s="431">
        <v>2462.5882352941176</v>
      </c>
      <c r="AS44" s="31">
        <v>4768.6037120000001</v>
      </c>
      <c r="AT44" s="31">
        <v>0</v>
      </c>
      <c r="AU44" s="431">
        <v>3026.2352941176468</v>
      </c>
      <c r="AV44" s="31">
        <v>4768.6037120000001</v>
      </c>
      <c r="AW44" s="31">
        <v>5018.3332879999998</v>
      </c>
      <c r="AX44" s="431">
        <v>2673.2529411764708</v>
      </c>
      <c r="AY44" s="31">
        <v>9058.1124999999993</v>
      </c>
      <c r="AZ44" s="31">
        <v>0</v>
      </c>
      <c r="BA44" s="431">
        <v>6628.6647058823528</v>
      </c>
      <c r="BB44" s="31">
        <v>9058.1124999999993</v>
      </c>
      <c r="BC44" s="31">
        <v>9535.5001520000005</v>
      </c>
      <c r="BD44" s="431">
        <v>5687.6411764705881</v>
      </c>
      <c r="BE44" s="31">
        <v>6407.4293980000002</v>
      </c>
      <c r="BF44" s="31">
        <v>0</v>
      </c>
      <c r="BG44" s="431">
        <v>4734.6176470588234</v>
      </c>
      <c r="BH44" s="31">
        <v>6407.4293980000002</v>
      </c>
      <c r="BI44" s="31">
        <v>6745.1643119999999</v>
      </c>
      <c r="BJ44" s="431">
        <v>4091.0941176470587</v>
      </c>
      <c r="BK44" s="31">
        <v>11348.958909999999</v>
      </c>
      <c r="BL44" s="31">
        <v>0</v>
      </c>
      <c r="BM44" s="431">
        <v>9061.376470588235</v>
      </c>
      <c r="BN44" s="31">
        <v>11348.958909999999</v>
      </c>
      <c r="BO44" s="31">
        <v>11944.385966</v>
      </c>
      <c r="BP44" s="431">
        <v>7743.5705882352941</v>
      </c>
      <c r="BQ44" s="31">
        <v>32003.720119000001</v>
      </c>
      <c r="BR44" s="31">
        <v>33402.631982999999</v>
      </c>
      <c r="BS44" s="431">
        <v>18868.423529411768</v>
      </c>
      <c r="BT44" s="31">
        <v>32003.720119000001</v>
      </c>
      <c r="BU44" s="31">
        <v>32350.19454</v>
      </c>
      <c r="BV44" s="431">
        <v>17417.341176470589</v>
      </c>
      <c r="BW44" s="31">
        <v>35126.680893999997</v>
      </c>
      <c r="BX44" s="31">
        <v>36726.270266</v>
      </c>
      <c r="BY44" s="431">
        <v>20550.952941176474</v>
      </c>
      <c r="BZ44" s="31">
        <v>35126.680893999997</v>
      </c>
      <c r="CA44" s="31">
        <v>35528.008306999996</v>
      </c>
      <c r="CB44" s="431">
        <v>18987.588235294119</v>
      </c>
      <c r="CC44" s="31">
        <v>84754.713910999999</v>
      </c>
      <c r="CD44" s="31">
        <v>87863.198963999996</v>
      </c>
      <c r="CE44" s="431">
        <v>51106.76470588235</v>
      </c>
      <c r="CF44" s="31">
        <v>84754.713910999999</v>
      </c>
      <c r="CG44" s="31">
        <v>85428.768639000002</v>
      </c>
      <c r="CH44" s="431">
        <v>45615.76470588235</v>
      </c>
      <c r="CI44" s="31">
        <v>54420.602316999997</v>
      </c>
      <c r="CJ44" s="31">
        <v>56668.124971999998</v>
      </c>
      <c r="CK44" s="431">
        <v>33949.641176470584</v>
      </c>
      <c r="CL44" s="31">
        <v>54420.602316999997</v>
      </c>
      <c r="CM44" s="31">
        <v>54933.227989999999</v>
      </c>
      <c r="CN44" s="431">
        <v>30362.176470588238</v>
      </c>
      <c r="CO44" s="31">
        <v>109239.138315</v>
      </c>
      <c r="CP44" s="31">
        <v>112789.711801</v>
      </c>
      <c r="CQ44" s="431">
        <v>71469.317647058808</v>
      </c>
      <c r="CR44" s="31">
        <v>109239.138315</v>
      </c>
      <c r="CS44" s="31">
        <v>109931.07737299999</v>
      </c>
      <c r="CT44" s="431">
        <v>62911.23529411765</v>
      </c>
      <c r="CU44" s="432">
        <v>762.92193799999995</v>
      </c>
      <c r="CV44" s="432">
        <v>665.197362</v>
      </c>
      <c r="CW44" s="432">
        <v>409.24138900000003</v>
      </c>
      <c r="CX44" s="432">
        <v>359.70813700000002</v>
      </c>
      <c r="CY44" s="432">
        <v>786.56867799999998</v>
      </c>
      <c r="CZ44" s="432">
        <v>678.19654400000002</v>
      </c>
      <c r="DA44" s="432">
        <v>1312.2524639999999</v>
      </c>
      <c r="DB44" s="432">
        <v>1117.7915069999999</v>
      </c>
      <c r="DC44" s="432">
        <v>579.28668200000004</v>
      </c>
      <c r="DD44" s="432">
        <v>502.53154499999999</v>
      </c>
      <c r="DE44" s="432">
        <v>697.00846100000001</v>
      </c>
      <c r="DF44" s="432">
        <v>634.61415099999999</v>
      </c>
      <c r="DG44" s="432">
        <v>363.84306700000002</v>
      </c>
      <c r="DH44" s="432">
        <v>331.726136</v>
      </c>
      <c r="DI44" s="432">
        <v>700.48495000000003</v>
      </c>
      <c r="DJ44" s="432">
        <v>632.91651999999999</v>
      </c>
      <c r="DK44" s="432">
        <v>1219.4384829999999</v>
      </c>
      <c r="DL44" s="432">
        <v>1100.3090549999999</v>
      </c>
      <c r="DM44" s="432">
        <v>497.76764100000003</v>
      </c>
      <c r="DN44" s="432">
        <v>450.77968900000002</v>
      </c>
      <c r="DO44" s="432">
        <v>14044.758129</v>
      </c>
      <c r="DP44" s="432">
        <v>13605.137261</v>
      </c>
      <c r="DQ44" s="432">
        <v>9174.0895729999993</v>
      </c>
      <c r="DR44" s="432">
        <v>8967.9463670000005</v>
      </c>
      <c r="DS44" s="432">
        <v>13330.827429999999</v>
      </c>
      <c r="DT44" s="432">
        <v>12808.011503</v>
      </c>
      <c r="DU44" s="432">
        <v>20675.733805</v>
      </c>
      <c r="DV44" s="432">
        <v>19577.783243000002</v>
      </c>
      <c r="DW44" s="432">
        <v>10746.987648</v>
      </c>
      <c r="DX44" s="432">
        <v>10384.84403</v>
      </c>
    </row>
    <row r="45" spans="2:128" ht="15">
      <c r="B45" s="446" t="s">
        <v>671</v>
      </c>
      <c r="C45" s="260" t="s">
        <v>672</v>
      </c>
      <c r="D45" s="260" t="s">
        <v>542</v>
      </c>
      <c r="E45" s="447">
        <v>10</v>
      </c>
      <c r="F45" s="260" t="s">
        <v>527</v>
      </c>
      <c r="G45" s="263" t="s">
        <v>673</v>
      </c>
      <c r="H45" t="s">
        <v>671</v>
      </c>
      <c r="I45" s="31">
        <v>4272.867886</v>
      </c>
      <c r="J45" s="31">
        <v>4687.2520599999998</v>
      </c>
      <c r="K45" s="431">
        <v>2399.1411764705886</v>
      </c>
      <c r="L45" s="31">
        <v>4272.867886</v>
      </c>
      <c r="M45" s="31">
        <v>4542.4800240000004</v>
      </c>
      <c r="N45" s="431">
        <v>2215.3882352941173</v>
      </c>
      <c r="O45" s="31">
        <v>4648.4807280000005</v>
      </c>
      <c r="P45" s="31">
        <v>5101.4193610000002</v>
      </c>
      <c r="Q45" s="431">
        <v>2595.964705882353</v>
      </c>
      <c r="R45" s="31">
        <v>4648.4807280000005</v>
      </c>
      <c r="S45" s="31">
        <v>4943.277478</v>
      </c>
      <c r="T45" s="431">
        <v>2402.2411764705885</v>
      </c>
      <c r="U45" s="31">
        <v>8835.0592809999998</v>
      </c>
      <c r="V45" s="31">
        <v>9610.5935260000006</v>
      </c>
      <c r="W45" s="431">
        <v>5419.6352941176474</v>
      </c>
      <c r="X45" s="31">
        <v>8835.0592809999998</v>
      </c>
      <c r="Y45" s="31">
        <v>9319.136724</v>
      </c>
      <c r="Z45" s="431">
        <v>4951.3705882352942</v>
      </c>
      <c r="AA45" s="31">
        <v>6234.4732780000004</v>
      </c>
      <c r="AB45" s="31">
        <v>6815.459132</v>
      </c>
      <c r="AC45" s="431">
        <v>3945.9764705882353</v>
      </c>
      <c r="AD45" s="31">
        <v>6234.4732780000004</v>
      </c>
      <c r="AE45" s="31">
        <v>6602.6290870000003</v>
      </c>
      <c r="AF45" s="431">
        <v>3586.535294117647</v>
      </c>
      <c r="AG45" s="31">
        <v>10964.710396</v>
      </c>
      <c r="AH45" s="31">
        <v>11878.904573</v>
      </c>
      <c r="AI45" s="431">
        <v>7291.3882352941182</v>
      </c>
      <c r="AJ45" s="31">
        <v>10964.710396</v>
      </c>
      <c r="AK45" s="31">
        <v>11521.854078</v>
      </c>
      <c r="AL45" s="431">
        <v>6643.0764705882357</v>
      </c>
      <c r="AM45" s="31">
        <v>4371.4606869999998</v>
      </c>
      <c r="AN45" s="31">
        <v>4620.7401520000003</v>
      </c>
      <c r="AO45" s="431">
        <v>2759.4294117647059</v>
      </c>
      <c r="AP45" s="31">
        <v>4371.4606869999998</v>
      </c>
      <c r="AQ45" s="31">
        <v>4598.3255669999999</v>
      </c>
      <c r="AR45" s="431">
        <v>2462.5882352941176</v>
      </c>
      <c r="AS45" s="31">
        <v>4768.6037120000001</v>
      </c>
      <c r="AT45" s="31">
        <v>5043.415481</v>
      </c>
      <c r="AU45" s="431">
        <v>2997.6411764705881</v>
      </c>
      <c r="AV45" s="31">
        <v>4768.6037120000001</v>
      </c>
      <c r="AW45" s="31">
        <v>5018.3332879999998</v>
      </c>
      <c r="AX45" s="431">
        <v>2673.2529411764708</v>
      </c>
      <c r="AY45" s="31">
        <v>9058.1124999999993</v>
      </c>
      <c r="AZ45" s="31">
        <v>9579.3720219999996</v>
      </c>
      <c r="BA45" s="431">
        <v>6505.7705882352948</v>
      </c>
      <c r="BB45" s="31">
        <v>9058.1124999999993</v>
      </c>
      <c r="BC45" s="31">
        <v>9535.5001520000005</v>
      </c>
      <c r="BD45" s="431">
        <v>5687.6411764705881</v>
      </c>
      <c r="BE45" s="31">
        <v>6407.4293980000002</v>
      </c>
      <c r="BF45" s="31">
        <v>6776.0759189999999</v>
      </c>
      <c r="BG45" s="431">
        <v>4665.1882352941175</v>
      </c>
      <c r="BH45" s="31">
        <v>6407.4293980000002</v>
      </c>
      <c r="BI45" s="31">
        <v>6745.1643119999999</v>
      </c>
      <c r="BJ45" s="431">
        <v>4091.0941176470587</v>
      </c>
      <c r="BK45" s="31">
        <v>11348.958909999999</v>
      </c>
      <c r="BL45" s="31">
        <v>11995.208611</v>
      </c>
      <c r="BM45" s="431">
        <v>8823.8411764705888</v>
      </c>
      <c r="BN45" s="31">
        <v>11348.958909999999</v>
      </c>
      <c r="BO45" s="31">
        <v>11944.385966</v>
      </c>
      <c r="BP45" s="431">
        <v>7743.5705882352941</v>
      </c>
      <c r="BQ45" s="31">
        <v>32003.720119000001</v>
      </c>
      <c r="BR45" s="31">
        <v>32391.419931</v>
      </c>
      <c r="BS45" s="431">
        <v>17421.817647058822</v>
      </c>
      <c r="BT45" s="31">
        <v>32003.720119000001</v>
      </c>
      <c r="BU45" s="31">
        <v>32350.19454</v>
      </c>
      <c r="BV45" s="431">
        <v>17417.341176470589</v>
      </c>
      <c r="BW45" s="31">
        <v>35126.680893999997</v>
      </c>
      <c r="BX45" s="31">
        <v>35576.973043999998</v>
      </c>
      <c r="BY45" s="431">
        <v>18992.588235294119</v>
      </c>
      <c r="BZ45" s="31">
        <v>35126.680893999997</v>
      </c>
      <c r="CA45" s="31">
        <v>35528.008306999996</v>
      </c>
      <c r="CB45" s="431">
        <v>18987.588235294119</v>
      </c>
      <c r="CC45" s="31">
        <v>84754.713910999999</v>
      </c>
      <c r="CD45" s="31">
        <v>85503.580159999998</v>
      </c>
      <c r="CE45" s="431">
        <v>45627.23529411765</v>
      </c>
      <c r="CF45" s="31">
        <v>84754.713910999999</v>
      </c>
      <c r="CG45" s="31">
        <v>85428.768639000002</v>
      </c>
      <c r="CH45" s="431">
        <v>45615.76470588235</v>
      </c>
      <c r="CI45" s="31">
        <v>54420.602316999997</v>
      </c>
      <c r="CJ45" s="31">
        <v>54987.434975999997</v>
      </c>
      <c r="CK45" s="431">
        <v>30370.176470588238</v>
      </c>
      <c r="CL45" s="31">
        <v>54420.602316999997</v>
      </c>
      <c r="CM45" s="31">
        <v>54933.227989999999</v>
      </c>
      <c r="CN45" s="431">
        <v>30362.176470588238</v>
      </c>
      <c r="CO45" s="31">
        <v>109239.138315</v>
      </c>
      <c r="CP45" s="31">
        <v>110002.01023499999</v>
      </c>
      <c r="CQ45" s="431">
        <v>62924.23529411765</v>
      </c>
      <c r="CR45" s="31">
        <v>109239.138315</v>
      </c>
      <c r="CS45" s="31">
        <v>109931.07737299999</v>
      </c>
      <c r="CT45" s="431">
        <v>62911.23529411765</v>
      </c>
      <c r="CU45" s="432">
        <v>693.96362699999997</v>
      </c>
      <c r="CV45" s="432">
        <v>665.197362</v>
      </c>
      <c r="CW45" s="432">
        <v>373.861535</v>
      </c>
      <c r="CX45" s="432">
        <v>359.70813700000002</v>
      </c>
      <c r="CY45" s="432">
        <v>714.64131799999996</v>
      </c>
      <c r="CZ45" s="432">
        <v>678.19654400000002</v>
      </c>
      <c r="DA45" s="432">
        <v>1188.63096</v>
      </c>
      <c r="DB45" s="432">
        <v>1117.7915069999999</v>
      </c>
      <c r="DC45" s="432">
        <v>527.82336499999997</v>
      </c>
      <c r="DD45" s="432">
        <v>502.53154499999999</v>
      </c>
      <c r="DE45" s="432">
        <v>723.28728799999999</v>
      </c>
      <c r="DF45" s="432">
        <v>634.61415099999999</v>
      </c>
      <c r="DG45" s="432">
        <v>378.19845099999998</v>
      </c>
      <c r="DH45" s="432">
        <v>331.726136</v>
      </c>
      <c r="DI45" s="432">
        <v>736.86501899999996</v>
      </c>
      <c r="DJ45" s="432">
        <v>632.91651999999999</v>
      </c>
      <c r="DK45" s="432">
        <v>1283.766404</v>
      </c>
      <c r="DL45" s="432">
        <v>1100.3090549999999</v>
      </c>
      <c r="DM45" s="432">
        <v>526.98660299999995</v>
      </c>
      <c r="DN45" s="432">
        <v>450.77968900000002</v>
      </c>
      <c r="DO45" s="432">
        <v>13611.256214000001</v>
      </c>
      <c r="DP45" s="432">
        <v>13605.137261</v>
      </c>
      <c r="DQ45" s="432">
        <v>8971.2453939999996</v>
      </c>
      <c r="DR45" s="432">
        <v>8967.9463670000005</v>
      </c>
      <c r="DS45" s="432">
        <v>12815.342629000001</v>
      </c>
      <c r="DT45" s="432">
        <v>12808.011503</v>
      </c>
      <c r="DU45" s="432">
        <v>19591.713887999998</v>
      </c>
      <c r="DV45" s="432">
        <v>19577.783243000002</v>
      </c>
      <c r="DW45" s="432">
        <v>10390.393661</v>
      </c>
      <c r="DX45" s="432">
        <v>10384.84403</v>
      </c>
    </row>
    <row r="46" spans="2:128" ht="15">
      <c r="B46" s="442" t="s">
        <v>675</v>
      </c>
      <c r="C46" s="266" t="s">
        <v>676</v>
      </c>
      <c r="D46" s="266" t="s">
        <v>542</v>
      </c>
      <c r="E46" s="443">
        <v>11</v>
      </c>
      <c r="F46" s="266" t="s">
        <v>527</v>
      </c>
      <c r="G46" s="269" t="s">
        <v>528</v>
      </c>
      <c r="H46" t="s">
        <v>675</v>
      </c>
      <c r="I46" s="31">
        <v>4272.867886</v>
      </c>
      <c r="J46" s="31">
        <v>4687.2520599999998</v>
      </c>
      <c r="K46" s="431">
        <v>2399.1411764705886</v>
      </c>
      <c r="L46" s="31">
        <v>4272.867886</v>
      </c>
      <c r="M46" s="31">
        <v>4483.6157069999999</v>
      </c>
      <c r="N46" s="431">
        <v>2142.6470588235297</v>
      </c>
      <c r="O46" s="31">
        <v>4648.4807280000005</v>
      </c>
      <c r="P46" s="31">
        <v>5101.4193610000002</v>
      </c>
      <c r="Q46" s="431">
        <v>2595.964705882353</v>
      </c>
      <c r="R46" s="31">
        <v>4648.4807280000005</v>
      </c>
      <c r="S46" s="31">
        <v>4878.9852389999996</v>
      </c>
      <c r="T46" s="431">
        <v>2323.8705882352942</v>
      </c>
      <c r="U46" s="31">
        <v>8835.0592809999998</v>
      </c>
      <c r="V46" s="31">
        <v>9610.5935260000006</v>
      </c>
      <c r="W46" s="431">
        <v>5419.6352941176474</v>
      </c>
      <c r="X46" s="31">
        <v>8835.0592809999998</v>
      </c>
      <c r="Y46" s="31">
        <v>9199.1695359999994</v>
      </c>
      <c r="Z46" s="431">
        <v>4756.2294117647061</v>
      </c>
      <c r="AA46" s="31">
        <v>6234.4732780000004</v>
      </c>
      <c r="AB46" s="31">
        <v>6815.459132</v>
      </c>
      <c r="AC46" s="431">
        <v>3945.9764705882353</v>
      </c>
      <c r="AD46" s="31">
        <v>6234.4732780000004</v>
      </c>
      <c r="AE46" s="31">
        <v>6515.3626709999999</v>
      </c>
      <c r="AF46" s="431">
        <v>3438.035294117647</v>
      </c>
      <c r="AG46" s="31">
        <v>10964.710396</v>
      </c>
      <c r="AH46" s="31">
        <v>11878.904573</v>
      </c>
      <c r="AI46" s="431">
        <v>7291.3882352941182</v>
      </c>
      <c r="AJ46" s="31">
        <v>10964.710396</v>
      </c>
      <c r="AK46" s="31">
        <v>11374.163399999999</v>
      </c>
      <c r="AL46" s="431">
        <v>6364.9058823529413</v>
      </c>
      <c r="AM46" s="31">
        <v>4371.4606869999998</v>
      </c>
      <c r="AN46" s="31">
        <v>4620.7401520000003</v>
      </c>
      <c r="AO46" s="431">
        <v>2759.4294117647059</v>
      </c>
      <c r="AP46" s="31">
        <v>4371.4606869999998</v>
      </c>
      <c r="AQ46" s="31">
        <v>4588.8708729999998</v>
      </c>
      <c r="AR46" s="431">
        <v>2345.6176470588234</v>
      </c>
      <c r="AS46" s="31">
        <v>4768.6037120000001</v>
      </c>
      <c r="AT46" s="31">
        <v>5043.415481</v>
      </c>
      <c r="AU46" s="431">
        <v>2997.6411764705881</v>
      </c>
      <c r="AV46" s="31">
        <v>4768.6037120000001</v>
      </c>
      <c r="AW46" s="31">
        <v>5007.7589150000003</v>
      </c>
      <c r="AX46" s="431">
        <v>2545.4588235294118</v>
      </c>
      <c r="AY46" s="31">
        <v>9058.1124999999993</v>
      </c>
      <c r="AZ46" s="31">
        <v>9579.3720219999996</v>
      </c>
      <c r="BA46" s="431">
        <v>6505.7705882352948</v>
      </c>
      <c r="BB46" s="31">
        <v>9058.1124999999993</v>
      </c>
      <c r="BC46" s="31">
        <v>9516.9414730000008</v>
      </c>
      <c r="BD46" s="431">
        <v>5370.2529411764708</v>
      </c>
      <c r="BE46" s="31">
        <v>6407.4293980000002</v>
      </c>
      <c r="BF46" s="31">
        <v>6776.0759189999999</v>
      </c>
      <c r="BG46" s="431">
        <v>4665.1882352941175</v>
      </c>
      <c r="BH46" s="31">
        <v>6407.4293980000002</v>
      </c>
      <c r="BI46" s="31">
        <v>6732.082899</v>
      </c>
      <c r="BJ46" s="431">
        <v>3864.6588235294121</v>
      </c>
      <c r="BK46" s="31">
        <v>11348.958909999999</v>
      </c>
      <c r="BL46" s="31">
        <v>11995.208611</v>
      </c>
      <c r="BM46" s="431">
        <v>8823.8411764705888</v>
      </c>
      <c r="BN46" s="31">
        <v>11348.958909999999</v>
      </c>
      <c r="BO46" s="31">
        <v>11922.827945000001</v>
      </c>
      <c r="BP46" s="431">
        <v>7319.176470588236</v>
      </c>
      <c r="BQ46" s="31">
        <v>32003.720119000001</v>
      </c>
      <c r="BR46" s="31">
        <v>32391.419931</v>
      </c>
      <c r="BS46" s="431">
        <v>17421.817647058822</v>
      </c>
      <c r="BT46" s="31">
        <v>32003.720119000001</v>
      </c>
      <c r="BU46" s="31">
        <v>32336.209714000001</v>
      </c>
      <c r="BV46" s="431">
        <v>17415.817647058822</v>
      </c>
      <c r="BW46" s="31">
        <v>35126.680893999997</v>
      </c>
      <c r="BX46" s="31">
        <v>35576.973043999998</v>
      </c>
      <c r="BY46" s="431">
        <v>18992.588235294119</v>
      </c>
      <c r="BZ46" s="31">
        <v>35126.680893999997</v>
      </c>
      <c r="CA46" s="31">
        <v>35511.401955000001</v>
      </c>
      <c r="CB46" s="431">
        <v>18986.117647058825</v>
      </c>
      <c r="CC46" s="31">
        <v>84754.713910999999</v>
      </c>
      <c r="CD46" s="31">
        <v>85503.580159999998</v>
      </c>
      <c r="CE46" s="431">
        <v>45627.23529411765</v>
      </c>
      <c r="CF46" s="31">
        <v>84754.713910999999</v>
      </c>
      <c r="CG46" s="31">
        <v>85403.372042000003</v>
      </c>
      <c r="CH46" s="431">
        <v>45611.76470588235</v>
      </c>
      <c r="CI46" s="31">
        <v>54420.602316999997</v>
      </c>
      <c r="CJ46" s="31">
        <v>54987.434975999997</v>
      </c>
      <c r="CK46" s="431">
        <v>30370.176470588238</v>
      </c>
      <c r="CL46" s="31">
        <v>54420.602316999997</v>
      </c>
      <c r="CM46" s="31">
        <v>54914.830370000003</v>
      </c>
      <c r="CN46" s="431">
        <v>30359.176470588234</v>
      </c>
      <c r="CO46" s="31">
        <v>109239.138315</v>
      </c>
      <c r="CP46" s="31">
        <v>110002.01023499999</v>
      </c>
      <c r="CQ46" s="431">
        <v>62924.23529411765</v>
      </c>
      <c r="CR46" s="31">
        <v>109239.138315</v>
      </c>
      <c r="CS46" s="31">
        <v>109906.996541</v>
      </c>
      <c r="CT46" s="431">
        <v>62907.23529411765</v>
      </c>
      <c r="CU46" s="432">
        <v>693.96362699999997</v>
      </c>
      <c r="CV46" s="432">
        <v>653.59722099999999</v>
      </c>
      <c r="CW46" s="432">
        <v>373.861535</v>
      </c>
      <c r="CX46" s="432">
        <v>354.00556999999998</v>
      </c>
      <c r="CY46" s="432">
        <v>714.64131799999996</v>
      </c>
      <c r="CZ46" s="432">
        <v>663.61450000000002</v>
      </c>
      <c r="DA46" s="432">
        <v>1188.63096</v>
      </c>
      <c r="DB46" s="432">
        <v>1089.580751</v>
      </c>
      <c r="DC46" s="432">
        <v>527.82336499999997</v>
      </c>
      <c r="DD46" s="432">
        <v>492.38653699999998</v>
      </c>
      <c r="DE46" s="432">
        <v>723.28728799999999</v>
      </c>
      <c r="DF46" s="432">
        <v>599.46810300000004</v>
      </c>
      <c r="DG46" s="432">
        <v>378.19845099999998</v>
      </c>
      <c r="DH46" s="432">
        <v>313.59947599999998</v>
      </c>
      <c r="DI46" s="432">
        <v>736.86501899999996</v>
      </c>
      <c r="DJ46" s="432">
        <v>592.57975999999996</v>
      </c>
      <c r="DK46" s="432">
        <v>1283.766404</v>
      </c>
      <c r="DL46" s="432">
        <v>1024.6238269999999</v>
      </c>
      <c r="DM46" s="432">
        <v>526.98660299999995</v>
      </c>
      <c r="DN46" s="432">
        <v>421.65153600000002</v>
      </c>
      <c r="DO46" s="432">
        <v>13611.256214000001</v>
      </c>
      <c r="DP46" s="432">
        <v>13603.070310999999</v>
      </c>
      <c r="DQ46" s="432">
        <v>8971.2453939999996</v>
      </c>
      <c r="DR46" s="432">
        <v>8966.8321460000006</v>
      </c>
      <c r="DS46" s="432">
        <v>12815.342629000001</v>
      </c>
      <c r="DT46" s="432">
        <v>12805.537879</v>
      </c>
      <c r="DU46" s="432">
        <v>19591.713887999998</v>
      </c>
      <c r="DV46" s="432">
        <v>19573.082576000001</v>
      </c>
      <c r="DW46" s="432">
        <v>10390.393661</v>
      </c>
      <c r="DX46" s="432">
        <v>10382.970724000001</v>
      </c>
    </row>
    <row r="47" spans="2:128" ht="15.75" thickBot="1">
      <c r="B47" s="452" t="s">
        <v>678</v>
      </c>
      <c r="C47" s="272" t="s">
        <v>679</v>
      </c>
      <c r="D47" s="272" t="s">
        <v>542</v>
      </c>
      <c r="E47" s="453">
        <v>12</v>
      </c>
      <c r="F47" s="272" t="s">
        <v>673</v>
      </c>
      <c r="G47" s="275" t="s">
        <v>528</v>
      </c>
      <c r="H47" t="s">
        <v>678</v>
      </c>
      <c r="I47" s="31">
        <v>4272.867886</v>
      </c>
      <c r="J47" s="31">
        <v>4542.4800240000004</v>
      </c>
      <c r="K47" s="431">
        <v>2215.3882352941173</v>
      </c>
      <c r="L47" s="31">
        <v>4272.867886</v>
      </c>
      <c r="M47" s="31">
        <v>4483.6157069999999</v>
      </c>
      <c r="N47" s="431">
        <v>2142.6470588235297</v>
      </c>
      <c r="O47" s="31">
        <v>4648.4807280000005</v>
      </c>
      <c r="P47" s="31">
        <v>4943.277478</v>
      </c>
      <c r="Q47" s="431">
        <v>2402.2411764705885</v>
      </c>
      <c r="R47" s="31">
        <v>4648.4807280000005</v>
      </c>
      <c r="S47" s="31">
        <v>4878.9852389999996</v>
      </c>
      <c r="T47" s="431">
        <v>2323.8705882352942</v>
      </c>
      <c r="U47" s="31">
        <v>8835.0592809999998</v>
      </c>
      <c r="V47" s="31">
        <v>9319.136724</v>
      </c>
      <c r="W47" s="431">
        <v>4951.3705882352942</v>
      </c>
      <c r="X47" s="31">
        <v>8835.0592809999998</v>
      </c>
      <c r="Y47" s="31">
        <v>9199.1695359999994</v>
      </c>
      <c r="Z47" s="431">
        <v>4756.2294117647061</v>
      </c>
      <c r="AA47" s="31">
        <v>6234.4732780000004</v>
      </c>
      <c r="AB47" s="31">
        <v>6602.6290870000003</v>
      </c>
      <c r="AC47" s="431">
        <v>3586.535294117647</v>
      </c>
      <c r="AD47" s="31">
        <v>6234.4732780000004</v>
      </c>
      <c r="AE47" s="31">
        <v>6515.3626709999999</v>
      </c>
      <c r="AF47" s="431">
        <v>3438.035294117647</v>
      </c>
      <c r="AG47" s="31">
        <v>10964.710396</v>
      </c>
      <c r="AH47" s="31">
        <v>11521.854078</v>
      </c>
      <c r="AI47" s="431">
        <v>6643.0764705882357</v>
      </c>
      <c r="AJ47" s="31">
        <v>10964.710396</v>
      </c>
      <c r="AK47" s="31">
        <v>11374.163399999999</v>
      </c>
      <c r="AL47" s="431">
        <v>6364.9058823529413</v>
      </c>
      <c r="AM47" s="31">
        <v>4371.4606869999998</v>
      </c>
      <c r="AN47" s="31">
        <v>4598.3255669999999</v>
      </c>
      <c r="AO47" s="431">
        <v>2462.5882352941176</v>
      </c>
      <c r="AP47" s="31">
        <v>4371.4606869999998</v>
      </c>
      <c r="AQ47" s="31">
        <v>4588.8708729999998</v>
      </c>
      <c r="AR47" s="431">
        <v>2345.6176470588234</v>
      </c>
      <c r="AS47" s="31">
        <v>4768.6037120000001</v>
      </c>
      <c r="AT47" s="31">
        <v>5018.3332879999998</v>
      </c>
      <c r="AU47" s="431">
        <v>2673.2529411764708</v>
      </c>
      <c r="AV47" s="31">
        <v>4768.6037120000001</v>
      </c>
      <c r="AW47" s="31">
        <v>5007.7589150000003</v>
      </c>
      <c r="AX47" s="431">
        <v>2545.4588235294118</v>
      </c>
      <c r="AY47" s="31">
        <v>9058.1124999999993</v>
      </c>
      <c r="AZ47" s="31">
        <v>9535.5001520000005</v>
      </c>
      <c r="BA47" s="431">
        <v>5687.6411764705881</v>
      </c>
      <c r="BB47" s="31">
        <v>9058.1124999999993</v>
      </c>
      <c r="BC47" s="31">
        <v>9516.9414730000008</v>
      </c>
      <c r="BD47" s="431">
        <v>5370.2529411764708</v>
      </c>
      <c r="BE47" s="31">
        <v>6407.4293980000002</v>
      </c>
      <c r="BF47" s="31">
        <v>6745.1643119999999</v>
      </c>
      <c r="BG47" s="431">
        <v>4091.0941176470587</v>
      </c>
      <c r="BH47" s="31">
        <v>6407.4293980000002</v>
      </c>
      <c r="BI47" s="31">
        <v>6732.082899</v>
      </c>
      <c r="BJ47" s="431">
        <v>3864.6588235294121</v>
      </c>
      <c r="BK47" s="31">
        <v>11348.958909999999</v>
      </c>
      <c r="BL47" s="31">
        <v>11944.385966</v>
      </c>
      <c r="BM47" s="431">
        <v>7743.5705882352941</v>
      </c>
      <c r="BN47" s="31">
        <v>11348.958909999999</v>
      </c>
      <c r="BO47" s="31">
        <v>11922.827945000001</v>
      </c>
      <c r="BP47" s="431">
        <v>7319.176470588236</v>
      </c>
      <c r="BQ47" s="31">
        <v>32003.720119000001</v>
      </c>
      <c r="BR47" s="31">
        <v>32350.19454</v>
      </c>
      <c r="BS47" s="431">
        <v>17417.341176470589</v>
      </c>
      <c r="BT47" s="31">
        <v>32003.720119000001</v>
      </c>
      <c r="BU47" s="31">
        <v>32336.209714000001</v>
      </c>
      <c r="BV47" s="431">
        <v>17415.817647058822</v>
      </c>
      <c r="BW47" s="31">
        <v>35126.680893999997</v>
      </c>
      <c r="BX47" s="31">
        <v>35528.008306999996</v>
      </c>
      <c r="BY47" s="431">
        <v>18987.588235294119</v>
      </c>
      <c r="BZ47" s="31">
        <v>35126.680893999997</v>
      </c>
      <c r="CA47" s="31">
        <v>35511.401955000001</v>
      </c>
      <c r="CB47" s="431">
        <v>18986.117647058825</v>
      </c>
      <c r="CC47" s="31">
        <v>84754.713910999999</v>
      </c>
      <c r="CD47" s="31">
        <v>85428.768639000002</v>
      </c>
      <c r="CE47" s="431">
        <v>45615.76470588235</v>
      </c>
      <c r="CF47" s="31">
        <v>84754.713910999999</v>
      </c>
      <c r="CG47" s="31">
        <v>85403.372042000003</v>
      </c>
      <c r="CH47" s="431">
        <v>45611.76470588235</v>
      </c>
      <c r="CI47" s="31">
        <v>54420.602316999997</v>
      </c>
      <c r="CJ47" s="31">
        <v>54933.227989999999</v>
      </c>
      <c r="CK47" s="431">
        <v>30362.176470588238</v>
      </c>
      <c r="CL47" s="31">
        <v>54420.602316999997</v>
      </c>
      <c r="CM47" s="31">
        <v>54914.830370000003</v>
      </c>
      <c r="CN47" s="431">
        <v>30359.176470588234</v>
      </c>
      <c r="CO47" s="31">
        <v>109239.138315</v>
      </c>
      <c r="CP47" s="31">
        <v>109931.07737299999</v>
      </c>
      <c r="CQ47" s="431">
        <v>62911.23529411765</v>
      </c>
      <c r="CR47" s="31">
        <v>109239.138315</v>
      </c>
      <c r="CS47" s="31">
        <v>109906.996541</v>
      </c>
      <c r="CT47" s="431">
        <v>62907.23529411765</v>
      </c>
      <c r="CU47" s="432">
        <v>665.197362</v>
      </c>
      <c r="CV47" s="432">
        <v>653.59722099999999</v>
      </c>
      <c r="CW47" s="432">
        <v>359.70813700000002</v>
      </c>
      <c r="CX47" s="432">
        <v>354.00556999999998</v>
      </c>
      <c r="CY47" s="432">
        <v>678.19654400000002</v>
      </c>
      <c r="CZ47" s="432">
        <v>663.61450000000002</v>
      </c>
      <c r="DA47" s="432">
        <v>1117.7915069999999</v>
      </c>
      <c r="DB47" s="432">
        <v>1089.580751</v>
      </c>
      <c r="DC47" s="432">
        <v>502.53154499999999</v>
      </c>
      <c r="DD47" s="432">
        <v>492.38653699999998</v>
      </c>
      <c r="DE47" s="432">
        <v>634.61415099999999</v>
      </c>
      <c r="DF47" s="432">
        <v>599.46810300000004</v>
      </c>
      <c r="DG47" s="432">
        <v>331.726136</v>
      </c>
      <c r="DH47" s="432">
        <v>313.59947599999998</v>
      </c>
      <c r="DI47" s="432">
        <v>632.91651999999999</v>
      </c>
      <c r="DJ47" s="432">
        <v>592.57975999999996</v>
      </c>
      <c r="DK47" s="432">
        <v>1100.3090549999999</v>
      </c>
      <c r="DL47" s="432">
        <v>1024.6238269999999</v>
      </c>
      <c r="DM47" s="432">
        <v>450.77968900000002</v>
      </c>
      <c r="DN47" s="432">
        <v>421.65153600000002</v>
      </c>
      <c r="DO47" s="432">
        <v>13605.137261</v>
      </c>
      <c r="DP47" s="432">
        <v>13603.070310999999</v>
      </c>
      <c r="DQ47" s="432">
        <v>8967.9463670000005</v>
      </c>
      <c r="DR47" s="432">
        <v>8966.8321460000006</v>
      </c>
      <c r="DS47" s="432">
        <v>12808.011503</v>
      </c>
      <c r="DT47" s="432">
        <v>12805.537879</v>
      </c>
      <c r="DU47" s="432">
        <v>19577.783243000002</v>
      </c>
      <c r="DV47" s="432">
        <v>19573.082576000001</v>
      </c>
      <c r="DW47" s="432">
        <v>10384.84403</v>
      </c>
      <c r="DX47" s="432">
        <v>10382.970724000001</v>
      </c>
    </row>
    <row r="48" spans="2:128" ht="15">
      <c r="B48" s="446" t="s">
        <v>681</v>
      </c>
      <c r="C48" s="260" t="s">
        <v>682</v>
      </c>
      <c r="D48" s="260" t="s">
        <v>543</v>
      </c>
      <c r="E48" s="447">
        <v>10</v>
      </c>
      <c r="F48" s="448" t="s">
        <v>683</v>
      </c>
      <c r="G48" s="449" t="s">
        <v>684</v>
      </c>
      <c r="H48" t="s">
        <v>681</v>
      </c>
      <c r="I48" s="31"/>
      <c r="J48" s="31"/>
      <c r="K48" s="432">
        <v>2933.1162337662336</v>
      </c>
      <c r="L48" s="432"/>
      <c r="M48" s="432"/>
      <c r="N48" s="432">
        <v>2737.4941176470593</v>
      </c>
      <c r="O48" s="432"/>
      <c r="P48" s="432"/>
      <c r="Q48" s="432">
        <v>3187.8571428571427</v>
      </c>
      <c r="R48" s="432"/>
      <c r="S48" s="432"/>
      <c r="T48" s="432">
        <v>2974.697058823529</v>
      </c>
      <c r="U48" s="432"/>
      <c r="V48" s="432"/>
      <c r="W48" s="432">
        <v>6708.3220779220774</v>
      </c>
      <c r="X48" s="432"/>
      <c r="Y48" s="432"/>
      <c r="Z48" s="432">
        <v>6459.0647058823524</v>
      </c>
      <c r="AA48" s="432"/>
      <c r="AB48" s="432"/>
      <c r="AC48" s="432">
        <v>4804.136363636364</v>
      </c>
      <c r="AD48" s="432"/>
      <c r="AE48" s="432"/>
      <c r="AF48" s="432">
        <v>4608.285294117647</v>
      </c>
      <c r="AG48" s="432"/>
      <c r="AH48" s="432"/>
      <c r="AI48" s="432">
        <v>8892.1714285714279</v>
      </c>
      <c r="AJ48" s="432"/>
      <c r="AK48" s="432"/>
      <c r="AL48" s="432">
        <v>8639.2411764705885</v>
      </c>
      <c r="AM48" s="432"/>
      <c r="AN48" s="432"/>
      <c r="AO48" s="432">
        <v>3272.7980519480516</v>
      </c>
      <c r="AP48" s="432"/>
      <c r="AQ48" s="432"/>
      <c r="AR48" s="432">
        <v>3079.7676470588235</v>
      </c>
      <c r="AS48" s="432"/>
      <c r="AT48" s="432"/>
      <c r="AU48" s="432">
        <v>3561.1876623376625</v>
      </c>
      <c r="AV48" s="432"/>
      <c r="AW48" s="432"/>
      <c r="AX48" s="432">
        <v>3349.9176470588236</v>
      </c>
      <c r="AY48" s="432"/>
      <c r="AZ48" s="432"/>
      <c r="BA48" s="432">
        <v>7648.7214285714272</v>
      </c>
      <c r="BB48" s="432"/>
      <c r="BC48" s="432"/>
      <c r="BD48" s="432">
        <v>7426.7088235294123</v>
      </c>
      <c r="BE48" s="432"/>
      <c r="BF48" s="432"/>
      <c r="BG48" s="432">
        <v>5442.4370129870131</v>
      </c>
      <c r="BH48" s="432"/>
      <c r="BI48" s="432"/>
      <c r="BJ48" s="432">
        <v>5261.9323529411758</v>
      </c>
      <c r="BK48" s="432"/>
      <c r="BL48" s="432"/>
      <c r="BM48" s="432">
        <v>10193.981818181817</v>
      </c>
      <c r="BN48" s="432"/>
      <c r="BO48" s="432"/>
      <c r="BP48" s="432">
        <v>9980.1764705882342</v>
      </c>
      <c r="BQ48" s="432"/>
      <c r="BR48" s="432"/>
      <c r="BS48" s="432">
        <v>20244.379870129869</v>
      </c>
      <c r="BT48" s="432"/>
      <c r="BU48" s="432"/>
      <c r="BV48" s="432">
        <v>18188.161764705881</v>
      </c>
      <c r="BW48" s="432"/>
      <c r="BX48" s="432"/>
      <c r="BY48" s="432">
        <v>22131.796103896104</v>
      </c>
      <c r="BZ48" s="432"/>
      <c r="CA48" s="432"/>
      <c r="CB48" s="432">
        <v>19897.267647058823</v>
      </c>
      <c r="CC48" s="432"/>
      <c r="CD48" s="432"/>
      <c r="CE48" s="432">
        <v>55392.270129870129</v>
      </c>
      <c r="CF48" s="432"/>
      <c r="CG48" s="432"/>
      <c r="CH48" s="432">
        <v>51759.74705882353</v>
      </c>
      <c r="CI48" s="432"/>
      <c r="CJ48" s="432"/>
      <c r="CK48" s="432">
        <v>36641.444155844154</v>
      </c>
      <c r="CL48" s="432"/>
      <c r="CM48" s="432"/>
      <c r="CN48" s="432">
        <v>34116.23529411765</v>
      </c>
      <c r="CO48" s="432"/>
      <c r="CP48" s="432"/>
      <c r="CQ48" s="432">
        <v>76824.548051948048</v>
      </c>
      <c r="CR48" s="432"/>
      <c r="CS48" s="432"/>
      <c r="CT48" s="432">
        <v>72750.452941176467</v>
      </c>
      <c r="CU48" s="462">
        <v>663.11950400000001</v>
      </c>
      <c r="CV48" s="462">
        <v>663.11950400000001</v>
      </c>
      <c r="CW48" s="462">
        <v>359.35441400000002</v>
      </c>
      <c r="CX48" s="462">
        <v>359.35441400000002</v>
      </c>
      <c r="CY48" s="462">
        <v>681.21081400000003</v>
      </c>
      <c r="CZ48" s="462">
        <v>681.21081400000003</v>
      </c>
      <c r="DA48" s="462">
        <v>1123.411216</v>
      </c>
      <c r="DB48" s="462">
        <v>1123.411216</v>
      </c>
      <c r="DC48" s="462">
        <v>503.804979</v>
      </c>
      <c r="DD48" s="462">
        <v>503.804979</v>
      </c>
      <c r="DE48" s="462">
        <v>644.55975999999998</v>
      </c>
      <c r="DF48" s="462">
        <v>644.55975999999998</v>
      </c>
      <c r="DG48" s="462">
        <v>338.46128399999998</v>
      </c>
      <c r="DH48" s="462">
        <v>338.46128399999998</v>
      </c>
      <c r="DI48" s="462">
        <v>650.06783099999996</v>
      </c>
      <c r="DJ48" s="462">
        <v>650.06783099999996</v>
      </c>
      <c r="DK48" s="462">
        <v>1121.268926</v>
      </c>
      <c r="DL48" s="462">
        <v>1121.268926</v>
      </c>
      <c r="DM48" s="462">
        <v>463.40099500000002</v>
      </c>
      <c r="DN48" s="462">
        <v>463.40099500000002</v>
      </c>
      <c r="DO48" s="462">
        <v>13456.619878</v>
      </c>
      <c r="DP48" s="462">
        <v>13456.619878</v>
      </c>
      <c r="DQ48" s="462">
        <v>8890.0291130000005</v>
      </c>
      <c r="DR48" s="462">
        <v>8890.0291130000005</v>
      </c>
      <c r="DS48" s="462">
        <v>12722.868863</v>
      </c>
      <c r="DT48" s="462">
        <v>12722.868863</v>
      </c>
      <c r="DU48" s="462">
        <v>19453.650016</v>
      </c>
      <c r="DV48" s="462">
        <v>19453.650016</v>
      </c>
      <c r="DW48" s="462">
        <v>10298.886124000001</v>
      </c>
      <c r="DX48" s="462">
        <v>10298.886124000001</v>
      </c>
    </row>
    <row r="49" spans="2:129" ht="15">
      <c r="B49" s="463" t="s">
        <v>686</v>
      </c>
      <c r="C49" s="464" t="s">
        <v>687</v>
      </c>
      <c r="D49" s="464" t="s">
        <v>543</v>
      </c>
      <c r="E49" s="465">
        <v>11</v>
      </c>
      <c r="F49" s="466" t="s">
        <v>683</v>
      </c>
      <c r="G49" s="445" t="s">
        <v>688</v>
      </c>
      <c r="H49" t="s">
        <v>686</v>
      </c>
      <c r="I49" s="31"/>
      <c r="J49" s="31"/>
      <c r="K49" s="432">
        <v>2933.1162337662336</v>
      </c>
      <c r="L49" s="432"/>
      <c r="M49" s="432"/>
      <c r="N49" s="432">
        <v>2651.8</v>
      </c>
      <c r="O49" s="432"/>
      <c r="P49" s="432"/>
      <c r="Q49" s="432">
        <v>3187.8571428571427</v>
      </c>
      <c r="R49" s="432"/>
      <c r="S49" s="432"/>
      <c r="T49" s="432">
        <v>2879.85</v>
      </c>
      <c r="U49" s="432"/>
      <c r="V49" s="432"/>
      <c r="W49" s="432">
        <v>6708.3220779220774</v>
      </c>
      <c r="X49" s="432"/>
      <c r="Y49" s="432"/>
      <c r="Z49" s="432">
        <v>6353.7</v>
      </c>
      <c r="AA49" s="432"/>
      <c r="AB49" s="432"/>
      <c r="AC49" s="432">
        <v>4804.136363636364</v>
      </c>
      <c r="AD49" s="432"/>
      <c r="AE49" s="432"/>
      <c r="AF49" s="432">
        <v>4523.6499999999996</v>
      </c>
      <c r="AG49" s="432"/>
      <c r="AH49" s="432"/>
      <c r="AI49" s="432">
        <v>8892.1714285714279</v>
      </c>
      <c r="AJ49" s="432"/>
      <c r="AK49" s="432"/>
      <c r="AL49" s="432">
        <v>8538.7000000000007</v>
      </c>
      <c r="AM49" s="432"/>
      <c r="AN49" s="432"/>
      <c r="AO49" s="432">
        <v>3272.7980519480516</v>
      </c>
      <c r="AP49" s="432"/>
      <c r="AQ49" s="432"/>
      <c r="AR49" s="432">
        <v>2999.65</v>
      </c>
      <c r="AS49" s="432"/>
      <c r="AT49" s="432"/>
      <c r="AU49" s="432">
        <v>3561.1876623376625</v>
      </c>
      <c r="AV49" s="432"/>
      <c r="AW49" s="432"/>
      <c r="AX49" s="432">
        <v>3260.6</v>
      </c>
      <c r="AY49" s="432"/>
      <c r="AZ49" s="432"/>
      <c r="BA49" s="432">
        <v>7648.7214285714272</v>
      </c>
      <c r="BB49" s="432"/>
      <c r="BC49" s="432"/>
      <c r="BD49" s="432">
        <v>7350.05</v>
      </c>
      <c r="BE49" s="432"/>
      <c r="BF49" s="432"/>
      <c r="BG49" s="432">
        <v>5442.4370129870131</v>
      </c>
      <c r="BH49" s="432"/>
      <c r="BI49" s="432"/>
      <c r="BJ49" s="432">
        <v>5193.6499999999996</v>
      </c>
      <c r="BK49" s="432"/>
      <c r="BL49" s="432"/>
      <c r="BM49" s="432">
        <v>10193.981818181817</v>
      </c>
      <c r="BN49" s="432"/>
      <c r="BO49" s="432"/>
      <c r="BP49" s="432">
        <v>9918.2000000000007</v>
      </c>
      <c r="BQ49" s="432"/>
      <c r="BR49" s="432"/>
      <c r="BS49" s="432">
        <v>20244.379870129869</v>
      </c>
      <c r="BT49" s="432"/>
      <c r="BU49" s="432"/>
      <c r="BV49" s="432">
        <v>17193.150000000001</v>
      </c>
      <c r="BW49" s="432"/>
      <c r="BX49" s="432"/>
      <c r="BY49" s="432">
        <v>22131.796103896104</v>
      </c>
      <c r="BZ49" s="432"/>
      <c r="CA49" s="432"/>
      <c r="CB49" s="432">
        <v>18812.75</v>
      </c>
      <c r="CC49" s="432"/>
      <c r="CD49" s="432"/>
      <c r="CE49" s="432">
        <v>55392.270129870129</v>
      </c>
      <c r="CF49" s="432"/>
      <c r="CG49" s="432"/>
      <c r="CH49" s="432">
        <v>49909.7</v>
      </c>
      <c r="CI49" s="432"/>
      <c r="CJ49" s="432"/>
      <c r="CK49" s="432">
        <v>36641.444155844154</v>
      </c>
      <c r="CL49" s="432"/>
      <c r="CM49" s="432"/>
      <c r="CN49" s="432">
        <v>32843.199999999997</v>
      </c>
      <c r="CO49" s="432"/>
      <c r="CP49" s="432"/>
      <c r="CQ49" s="432">
        <v>76824.548051948048</v>
      </c>
      <c r="CR49" s="432"/>
      <c r="CS49" s="432"/>
      <c r="CT49" s="432">
        <v>70671.3</v>
      </c>
      <c r="CU49" s="462">
        <v>663.11950400000001</v>
      </c>
      <c r="CV49" s="462">
        <v>590.96095082142858</v>
      </c>
      <c r="CW49" s="462">
        <v>359.35441400000002</v>
      </c>
      <c r="CX49" s="462">
        <v>320.91488035714292</v>
      </c>
      <c r="CY49" s="462">
        <v>681.21081400000003</v>
      </c>
      <c r="CZ49" s="462">
        <v>613.08138439285722</v>
      </c>
      <c r="DA49" s="462">
        <v>1123.411216</v>
      </c>
      <c r="DB49" s="462">
        <v>1011.4749319285716</v>
      </c>
      <c r="DC49" s="462">
        <v>503.804979</v>
      </c>
      <c r="DD49" s="462">
        <v>454.87022310714292</v>
      </c>
      <c r="DE49" s="462">
        <v>644.55975999999998</v>
      </c>
      <c r="DF49" s="462">
        <v>577.40760507142863</v>
      </c>
      <c r="DG49" s="462">
        <v>338.46128399999998</v>
      </c>
      <c r="DH49" s="462">
        <v>304.30285903571433</v>
      </c>
      <c r="DI49" s="462">
        <v>650.06783099999996</v>
      </c>
      <c r="DJ49" s="462">
        <v>588.56931253571429</v>
      </c>
      <c r="DK49" s="462">
        <v>1121.268926</v>
      </c>
      <c r="DL49" s="462">
        <v>1013.1084739642858</v>
      </c>
      <c r="DM49" s="462">
        <v>463.40099500000002</v>
      </c>
      <c r="DN49" s="462">
        <v>421.6192643214286</v>
      </c>
      <c r="DO49" s="462">
        <v>13456.619878</v>
      </c>
      <c r="DP49" s="462">
        <v>11881.754227000001</v>
      </c>
      <c r="DQ49" s="462">
        <v>8890.0291130000005</v>
      </c>
      <c r="DR49" s="462">
        <v>7856.3042055714295</v>
      </c>
      <c r="DS49" s="462">
        <v>12722.868863</v>
      </c>
      <c r="DT49" s="462">
        <v>11332.460700928572</v>
      </c>
      <c r="DU49" s="462">
        <v>19453.650016</v>
      </c>
      <c r="DV49" s="462">
        <v>17342.86259982143</v>
      </c>
      <c r="DW49" s="462">
        <v>10298.886124000001</v>
      </c>
      <c r="DX49" s="462">
        <v>9197.4118103928595</v>
      </c>
    </row>
    <row r="50" spans="2:129" ht="15.75" thickBot="1">
      <c r="B50" s="467" t="s">
        <v>690</v>
      </c>
      <c r="C50" s="468" t="s">
        <v>691</v>
      </c>
      <c r="D50" s="468" t="s">
        <v>543</v>
      </c>
      <c r="E50" s="469">
        <v>12</v>
      </c>
      <c r="F50" s="470" t="s">
        <v>683</v>
      </c>
      <c r="G50" s="455" t="s">
        <v>692</v>
      </c>
      <c r="H50" s="414" t="s">
        <v>690</v>
      </c>
      <c r="I50" s="471"/>
      <c r="J50" s="471"/>
      <c r="K50" s="432">
        <v>2933.1162337662336</v>
      </c>
      <c r="L50" s="472"/>
      <c r="M50" s="472"/>
      <c r="N50" s="432">
        <v>2793.9268292682927</v>
      </c>
      <c r="O50" s="472"/>
      <c r="P50" s="472"/>
      <c r="Q50" s="432">
        <v>3187.8571428571427</v>
      </c>
      <c r="R50" s="472"/>
      <c r="S50" s="472"/>
      <c r="T50" s="432">
        <v>3037.1573170731708</v>
      </c>
      <c r="U50" s="472"/>
      <c r="V50" s="472"/>
      <c r="W50" s="432">
        <v>6708.3220779220774</v>
      </c>
      <c r="X50" s="472"/>
      <c r="Y50" s="472"/>
      <c r="Z50" s="432">
        <v>6528.4512195121952</v>
      </c>
      <c r="AA50" s="472"/>
      <c r="AB50" s="472"/>
      <c r="AC50" s="432">
        <v>4804.136363636364</v>
      </c>
      <c r="AD50" s="472"/>
      <c r="AE50" s="472"/>
      <c r="AF50" s="432">
        <v>4664.0207317073173</v>
      </c>
      <c r="AG50" s="472"/>
      <c r="AH50" s="472"/>
      <c r="AI50" s="432">
        <v>8892.1714285714279</v>
      </c>
      <c r="AJ50" s="472"/>
      <c r="AK50" s="472"/>
      <c r="AL50" s="432">
        <v>8705.451219512197</v>
      </c>
      <c r="AM50" s="472"/>
      <c r="AN50" s="472"/>
      <c r="AO50" s="472">
        <v>3272.7980519480516</v>
      </c>
      <c r="AP50" s="472"/>
      <c r="AQ50" s="472"/>
      <c r="AR50" s="472">
        <v>3132.5280487804885</v>
      </c>
      <c r="AS50" s="472"/>
      <c r="AT50" s="472"/>
      <c r="AU50" s="472">
        <v>3561.1876623376625</v>
      </c>
      <c r="AV50" s="472"/>
      <c r="AW50" s="472"/>
      <c r="AX50" s="472">
        <v>3408.7365853658539</v>
      </c>
      <c r="AY50" s="472"/>
      <c r="AZ50" s="472"/>
      <c r="BA50" s="472">
        <v>7648.7214285714272</v>
      </c>
      <c r="BB50" s="472"/>
      <c r="BC50" s="472"/>
      <c r="BD50" s="472">
        <v>7477.1914634146342</v>
      </c>
      <c r="BE50" s="472"/>
      <c r="BF50" s="472"/>
      <c r="BG50" s="472">
        <v>5442.4370129870131</v>
      </c>
      <c r="BH50" s="472"/>
      <c r="BI50" s="472"/>
      <c r="BJ50" s="472">
        <v>5306.8987804878043</v>
      </c>
      <c r="BK50" s="472"/>
      <c r="BL50" s="472"/>
      <c r="BM50" s="472">
        <v>10193.981818181817</v>
      </c>
      <c r="BN50" s="472"/>
      <c r="BO50" s="472"/>
      <c r="BP50" s="472">
        <v>10020.990243902439</v>
      </c>
      <c r="BQ50" s="472"/>
      <c r="BR50" s="472"/>
      <c r="BS50" s="472">
        <v>20244.379870129869</v>
      </c>
      <c r="BT50" s="472"/>
      <c r="BU50" s="472"/>
      <c r="BV50" s="472">
        <v>18843.413414634149</v>
      </c>
      <c r="BW50" s="472"/>
      <c r="BX50" s="472"/>
      <c r="BY50" s="472">
        <v>22131.796103896104</v>
      </c>
      <c r="BZ50" s="472"/>
      <c r="CA50" s="472"/>
      <c r="CB50" s="472">
        <v>20611.462195121949</v>
      </c>
      <c r="CC50" s="472"/>
      <c r="CD50" s="472"/>
      <c r="CE50" s="472">
        <v>55392.270129870129</v>
      </c>
      <c r="CF50" s="472"/>
      <c r="CG50" s="472"/>
      <c r="CH50" s="472">
        <v>52978.070731707325</v>
      </c>
      <c r="CI50" s="472"/>
      <c r="CJ50" s="472"/>
      <c r="CK50" s="472">
        <v>36641.444155844154</v>
      </c>
      <c r="CL50" s="472"/>
      <c r="CM50" s="472"/>
      <c r="CN50" s="472">
        <v>34954.575609756102</v>
      </c>
      <c r="CO50" s="472"/>
      <c r="CP50" s="472"/>
      <c r="CQ50" s="472">
        <v>76824.548051948048</v>
      </c>
      <c r="CR50" s="472"/>
      <c r="CS50" s="472"/>
      <c r="CT50" s="472">
        <v>74119.65121951219</v>
      </c>
      <c r="CU50" s="462">
        <v>663.11950400000001</v>
      </c>
      <c r="CV50" s="462">
        <v>663.11950400000001</v>
      </c>
      <c r="CW50" s="462">
        <v>359.35441400000002</v>
      </c>
      <c r="CX50" s="462">
        <v>359.35441400000002</v>
      </c>
      <c r="CY50" s="462">
        <v>681.21081400000003</v>
      </c>
      <c r="CZ50" s="462">
        <v>681.21081400000003</v>
      </c>
      <c r="DA50" s="462">
        <v>1123.411216</v>
      </c>
      <c r="DB50" s="462">
        <v>1123.411216</v>
      </c>
      <c r="DC50" s="462">
        <v>503.804979</v>
      </c>
      <c r="DD50" s="462">
        <v>503.804979</v>
      </c>
      <c r="DE50" s="462">
        <v>644.55975999999998</v>
      </c>
      <c r="DF50" s="462">
        <v>644.55975999999998</v>
      </c>
      <c r="DG50" s="462">
        <v>338.46128399999998</v>
      </c>
      <c r="DH50" s="462">
        <v>338.46128399999998</v>
      </c>
      <c r="DI50" s="462">
        <v>650.06783099999996</v>
      </c>
      <c r="DJ50" s="462">
        <v>650.06783099999996</v>
      </c>
      <c r="DK50" s="462">
        <v>1121.268926</v>
      </c>
      <c r="DL50" s="462">
        <v>1121.268926</v>
      </c>
      <c r="DM50" s="462">
        <v>463.40099500000002</v>
      </c>
      <c r="DN50" s="462">
        <v>463.40099500000002</v>
      </c>
      <c r="DO50" s="462">
        <v>13456.619878</v>
      </c>
      <c r="DP50" s="462">
        <v>13456.619878</v>
      </c>
      <c r="DQ50" s="462">
        <v>8890.0291130000005</v>
      </c>
      <c r="DR50" s="462">
        <v>8890.0291130000005</v>
      </c>
      <c r="DS50" s="462">
        <v>12722.868863</v>
      </c>
      <c r="DT50" s="462">
        <v>12722.868863</v>
      </c>
      <c r="DU50" s="462">
        <v>19453.650016</v>
      </c>
      <c r="DV50" s="462">
        <v>19453.650016</v>
      </c>
      <c r="DW50" s="462">
        <v>10298.886124000001</v>
      </c>
      <c r="DX50" s="462">
        <v>10298.886124000001</v>
      </c>
    </row>
    <row r="51" spans="2:129" ht="15.75" thickBot="1">
      <c r="B51" s="473" t="s">
        <v>694</v>
      </c>
      <c r="C51" s="474" t="s">
        <v>695</v>
      </c>
      <c r="D51" s="474" t="s">
        <v>544</v>
      </c>
      <c r="E51" s="475">
        <v>10</v>
      </c>
      <c r="F51" s="474" t="s">
        <v>696</v>
      </c>
      <c r="G51" s="476" t="s">
        <v>178</v>
      </c>
      <c r="H51" s="477" t="s">
        <v>694</v>
      </c>
      <c r="I51" s="478"/>
      <c r="J51" s="478"/>
      <c r="K51" s="479">
        <v>2737.4941176470593</v>
      </c>
      <c r="L51" s="479"/>
      <c r="M51" s="479"/>
      <c r="N51" s="479">
        <v>2215.3882352941173</v>
      </c>
      <c r="O51" s="479"/>
      <c r="P51" s="479"/>
      <c r="Q51" s="479">
        <v>2974.697058823529</v>
      </c>
      <c r="R51" s="479"/>
      <c r="S51" s="479"/>
      <c r="T51" s="479">
        <v>2402.2411764705885</v>
      </c>
      <c r="U51" s="479"/>
      <c r="V51" s="479"/>
      <c r="W51" s="479">
        <v>6459.0647058823524</v>
      </c>
      <c r="X51" s="479"/>
      <c r="Y51" s="479"/>
      <c r="Z51" s="479">
        <v>4951.3705882352942</v>
      </c>
      <c r="AA51" s="479"/>
      <c r="AB51" s="479"/>
      <c r="AC51" s="479">
        <v>4608.285294117647</v>
      </c>
      <c r="AD51" s="479"/>
      <c r="AE51" s="479"/>
      <c r="AF51" s="479">
        <v>3586.535294117647</v>
      </c>
      <c r="AG51" s="479"/>
      <c r="AH51" s="479"/>
      <c r="AI51" s="479">
        <v>8639.2411764705885</v>
      </c>
      <c r="AJ51" s="479"/>
      <c r="AK51" s="479"/>
      <c r="AL51" s="479">
        <v>6643.0764705882357</v>
      </c>
      <c r="AM51" s="479"/>
      <c r="AN51" s="479"/>
      <c r="AO51" s="479">
        <v>3079.7676470588235</v>
      </c>
      <c r="AP51" s="479"/>
      <c r="AQ51" s="479"/>
      <c r="AR51" s="479">
        <v>2462.5882352941176</v>
      </c>
      <c r="AS51" s="479"/>
      <c r="AT51" s="479"/>
      <c r="AU51" s="479">
        <v>3349.9176470588236</v>
      </c>
      <c r="AV51" s="479"/>
      <c r="AW51" s="479"/>
      <c r="AX51" s="479">
        <v>2673.2529411764708</v>
      </c>
      <c r="AY51" s="479"/>
      <c r="AZ51" s="479"/>
      <c r="BA51" s="479">
        <v>7426.7088235294123</v>
      </c>
      <c r="BB51" s="479"/>
      <c r="BC51" s="479"/>
      <c r="BD51" s="479">
        <v>5687.6411764705881</v>
      </c>
      <c r="BE51" s="479"/>
      <c r="BF51" s="479"/>
      <c r="BG51" s="479">
        <v>5261.9323529411758</v>
      </c>
      <c r="BH51" s="479"/>
      <c r="BI51" s="479"/>
      <c r="BJ51" s="479">
        <v>4091.0941176470587</v>
      </c>
      <c r="BK51" s="479"/>
      <c r="BL51" s="479"/>
      <c r="BM51" s="479">
        <v>9980.1764705882342</v>
      </c>
      <c r="BN51" s="479"/>
      <c r="BO51" s="479"/>
      <c r="BP51" s="479">
        <v>7743.5705882352941</v>
      </c>
      <c r="BQ51" s="479"/>
      <c r="BR51" s="479"/>
      <c r="BS51" s="479">
        <v>18188.161764705881</v>
      </c>
      <c r="BT51" s="479"/>
      <c r="BU51" s="479"/>
      <c r="BV51" s="479">
        <v>17417.341176470589</v>
      </c>
      <c r="BW51" s="479"/>
      <c r="BX51" s="479"/>
      <c r="BY51" s="479">
        <v>19897.267647058823</v>
      </c>
      <c r="BZ51" s="479"/>
      <c r="CA51" s="479"/>
      <c r="CB51" s="479">
        <v>18987.588235294119</v>
      </c>
      <c r="CC51" s="479"/>
      <c r="CD51" s="479"/>
      <c r="CE51" s="479">
        <v>51759.74705882353</v>
      </c>
      <c r="CF51" s="479"/>
      <c r="CG51" s="479"/>
      <c r="CH51" s="479">
        <v>45615.76470588235</v>
      </c>
      <c r="CI51" s="479"/>
      <c r="CJ51" s="479"/>
      <c r="CK51" s="479">
        <v>34116.23529411765</v>
      </c>
      <c r="CL51" s="479"/>
      <c r="CM51" s="479"/>
      <c r="CN51" s="479">
        <v>30362.176470588238</v>
      </c>
      <c r="CO51" s="479"/>
      <c r="CP51" s="479"/>
      <c r="CQ51" s="479">
        <v>72750.452941176467</v>
      </c>
      <c r="CR51" s="479"/>
      <c r="CS51" s="479"/>
      <c r="CT51" s="479">
        <v>62911.23529411765</v>
      </c>
      <c r="CU51" s="480">
        <v>663.11950400000001</v>
      </c>
      <c r="CV51" s="480">
        <v>665.197362</v>
      </c>
      <c r="CW51" s="480">
        <v>359.35441400000002</v>
      </c>
      <c r="CX51" s="480">
        <v>359.70813700000002</v>
      </c>
      <c r="CY51" s="480">
        <v>681.21081400000003</v>
      </c>
      <c r="CZ51" s="480">
        <v>678.19654400000002</v>
      </c>
      <c r="DA51" s="480">
        <v>1123.411216</v>
      </c>
      <c r="DB51" s="480">
        <v>1117.7915069999999</v>
      </c>
      <c r="DC51" s="480">
        <v>503.804979</v>
      </c>
      <c r="DD51" s="480">
        <v>502.53154499999999</v>
      </c>
      <c r="DE51" s="480">
        <v>644.55975999999998</v>
      </c>
      <c r="DF51" s="480">
        <v>634.61415099999999</v>
      </c>
      <c r="DG51" s="480">
        <v>338.46128399999998</v>
      </c>
      <c r="DH51" s="480">
        <v>331.726136</v>
      </c>
      <c r="DI51" s="480">
        <v>650.06783099999996</v>
      </c>
      <c r="DJ51" s="480">
        <v>632.91651999999999</v>
      </c>
      <c r="DK51" s="480">
        <v>1121.268926</v>
      </c>
      <c r="DL51" s="480">
        <v>1100.3090549999999</v>
      </c>
      <c r="DM51" s="480">
        <v>463.40099500000002</v>
      </c>
      <c r="DN51" s="480">
        <v>450.77968900000002</v>
      </c>
      <c r="DO51" s="480">
        <v>13456.619878</v>
      </c>
      <c r="DP51" s="480">
        <v>13605.137261</v>
      </c>
      <c r="DQ51" s="480">
        <v>8890.0291130000005</v>
      </c>
      <c r="DR51" s="480">
        <v>8967.9463670000005</v>
      </c>
      <c r="DS51" s="480">
        <v>12722.868863</v>
      </c>
      <c r="DT51" s="480">
        <v>12808.011503</v>
      </c>
      <c r="DU51" s="480">
        <v>19453.650016</v>
      </c>
      <c r="DV51" s="480">
        <v>19577.783243000002</v>
      </c>
      <c r="DW51" s="480">
        <v>10298.886124000001</v>
      </c>
      <c r="DX51" s="480">
        <v>10384.84403</v>
      </c>
      <c r="DY51" s="480"/>
    </row>
    <row r="52" spans="2:129" ht="15">
      <c r="B52" s="420"/>
      <c r="C52" s="420"/>
      <c r="D52" s="420"/>
      <c r="E52" s="481"/>
      <c r="F52" s="420"/>
      <c r="G52" s="415"/>
      <c r="I52" s="31"/>
      <c r="J52" s="31"/>
      <c r="K52" s="431"/>
      <c r="L52" s="31"/>
      <c r="M52" s="31"/>
      <c r="N52" s="431"/>
      <c r="O52" s="31"/>
      <c r="P52" s="31"/>
      <c r="Q52" s="431"/>
      <c r="R52" s="31"/>
      <c r="S52" s="31"/>
      <c r="T52" s="431"/>
      <c r="U52" s="31"/>
      <c r="V52" s="31"/>
      <c r="W52" s="431"/>
      <c r="X52" s="31"/>
      <c r="Y52" s="31"/>
      <c r="Z52" s="431"/>
      <c r="AA52" s="31"/>
      <c r="AB52" s="31"/>
      <c r="AC52" s="431"/>
      <c r="AD52" s="31"/>
      <c r="AE52" s="31"/>
      <c r="AF52" s="431"/>
      <c r="AG52" s="31"/>
      <c r="AH52" s="31"/>
      <c r="AI52" s="431"/>
      <c r="AJ52" s="31"/>
      <c r="AK52" s="31"/>
      <c r="AL52" s="431"/>
      <c r="AM52" s="31"/>
      <c r="AN52" s="31"/>
      <c r="AO52" s="431"/>
      <c r="AP52" s="31"/>
      <c r="AQ52" s="31"/>
      <c r="AR52" s="431"/>
      <c r="AS52" s="31"/>
      <c r="AT52" s="31"/>
      <c r="AU52" s="431"/>
      <c r="AV52" s="31"/>
      <c r="AW52" s="31"/>
      <c r="AX52" s="431"/>
      <c r="AY52" s="31"/>
      <c r="AZ52" s="31"/>
      <c r="BA52" s="431"/>
      <c r="BB52" s="31"/>
      <c r="BC52" s="31"/>
      <c r="BD52" s="431"/>
      <c r="BE52" s="31"/>
      <c r="BF52" s="31"/>
      <c r="BG52" s="431"/>
      <c r="BH52" s="31"/>
      <c r="BI52" s="31"/>
      <c r="BJ52" s="431"/>
      <c r="BK52" s="31"/>
      <c r="BL52" s="31"/>
      <c r="BM52" s="431"/>
      <c r="BN52" s="31"/>
      <c r="BO52" s="31"/>
      <c r="BP52" s="431"/>
      <c r="BQ52" s="31"/>
      <c r="BR52" s="31"/>
      <c r="BS52" s="431"/>
      <c r="BT52" s="31"/>
      <c r="BU52" s="31"/>
      <c r="BV52" s="431"/>
      <c r="BW52" s="31"/>
      <c r="BX52" s="31"/>
      <c r="BY52" s="431"/>
      <c r="BZ52" s="31"/>
      <c r="CA52" s="31"/>
      <c r="CB52" s="431"/>
      <c r="CC52" s="31"/>
      <c r="CD52" s="31"/>
      <c r="CE52" s="431"/>
      <c r="CF52" s="31"/>
      <c r="CG52" s="31"/>
      <c r="CH52" s="431"/>
      <c r="CI52" s="31"/>
      <c r="CJ52" s="31"/>
      <c r="CK52" s="431"/>
      <c r="CL52" s="31"/>
      <c r="CM52" s="31"/>
      <c r="CN52" s="431"/>
      <c r="CO52" s="31"/>
      <c r="CP52" s="31"/>
      <c r="CQ52" s="431"/>
      <c r="CR52" s="31"/>
      <c r="CS52" s="31"/>
      <c r="CT52" s="431"/>
      <c r="CU52" s="432"/>
      <c r="CV52" s="432"/>
      <c r="CW52" s="432"/>
      <c r="CX52" s="432"/>
      <c r="CY52" s="432"/>
      <c r="CZ52" s="432"/>
      <c r="DA52" s="432"/>
      <c r="DB52" s="432"/>
      <c r="DC52" s="432"/>
      <c r="DD52" s="432"/>
      <c r="DE52" s="432"/>
      <c r="DF52" s="432"/>
      <c r="DG52" s="432"/>
      <c r="DH52" s="432"/>
      <c r="DI52" s="432"/>
      <c r="DJ52" s="432"/>
      <c r="DK52" s="432"/>
      <c r="DL52" s="432"/>
      <c r="DM52" s="432"/>
      <c r="DN52" s="432"/>
      <c r="DO52" s="432"/>
      <c r="DP52" s="432"/>
      <c r="DQ52" s="432"/>
      <c r="DR52" s="432"/>
      <c r="DS52" s="432"/>
      <c r="DT52" s="432"/>
      <c r="DU52" s="432"/>
      <c r="DV52" s="432"/>
      <c r="DW52" s="432"/>
      <c r="DX52" s="432"/>
    </row>
    <row r="53" spans="2:129" ht="13.5" thickBot="1"/>
    <row r="54" spans="2:129" ht="13.5" thickBot="1">
      <c r="I54" s="482" t="s">
        <v>522</v>
      </c>
      <c r="J54" s="483"/>
      <c r="K54" s="483"/>
      <c r="L54" s="483"/>
      <c r="M54" s="483"/>
      <c r="N54" s="483"/>
      <c r="O54" s="483"/>
      <c r="P54" s="483"/>
      <c r="Q54" s="483"/>
      <c r="R54" s="483"/>
      <c r="S54" s="483"/>
      <c r="T54" s="483"/>
      <c r="U54" s="483"/>
      <c r="V54" s="483"/>
      <c r="W54" s="483"/>
      <c r="X54" s="483"/>
      <c r="Y54" s="483"/>
      <c r="Z54" s="483"/>
      <c r="AA54" s="483"/>
      <c r="AB54" s="483"/>
      <c r="AC54" s="483"/>
      <c r="AD54" s="483"/>
      <c r="AE54" s="483"/>
      <c r="AF54" s="483"/>
      <c r="AG54" s="483"/>
      <c r="AH54" s="483"/>
      <c r="AI54" s="483"/>
      <c r="AJ54" s="483"/>
      <c r="AK54" s="483"/>
      <c r="AL54" s="483"/>
      <c r="AM54" s="483"/>
      <c r="AN54" s="483"/>
      <c r="AO54" s="483"/>
      <c r="AP54" s="483"/>
      <c r="AQ54" s="483"/>
      <c r="AR54" s="483"/>
      <c r="AS54" s="483"/>
      <c r="AT54" s="483"/>
      <c r="AU54" s="483"/>
      <c r="AV54" s="483"/>
      <c r="AW54" s="483"/>
      <c r="AX54" s="483"/>
      <c r="AY54" s="483"/>
      <c r="AZ54" s="483"/>
      <c r="BA54" s="484"/>
      <c r="BB54" s="485" t="s">
        <v>523</v>
      </c>
      <c r="BC54" s="486"/>
      <c r="BD54" s="486"/>
      <c r="BE54" s="486"/>
      <c r="BF54" s="486"/>
      <c r="BG54" s="486"/>
      <c r="BH54" s="486"/>
      <c r="BI54" s="486"/>
      <c r="BJ54" s="486"/>
      <c r="BK54" s="486"/>
      <c r="BL54" s="486"/>
      <c r="BM54" s="486"/>
      <c r="BN54" s="486"/>
      <c r="BO54" s="486"/>
      <c r="BP54" s="487"/>
    </row>
    <row r="55" spans="2:129" ht="47.25" thickBot="1">
      <c r="B55" s="488" t="s">
        <v>1242</v>
      </c>
      <c r="I55" s="489" t="s">
        <v>1229</v>
      </c>
      <c r="J55" s="490" t="s">
        <v>1229</v>
      </c>
      <c r="K55" s="491" t="s">
        <v>1229</v>
      </c>
      <c r="L55" s="490" t="s">
        <v>1229</v>
      </c>
      <c r="M55" s="490" t="s">
        <v>1229</v>
      </c>
      <c r="N55" s="490" t="s">
        <v>1229</v>
      </c>
      <c r="O55" s="490" t="s">
        <v>1229</v>
      </c>
      <c r="P55" s="490" t="s">
        <v>1229</v>
      </c>
      <c r="Q55" s="490" t="s">
        <v>1229</v>
      </c>
      <c r="R55" s="490" t="s">
        <v>1229</v>
      </c>
      <c r="S55" s="490" t="s">
        <v>1229</v>
      </c>
      <c r="T55" s="490" t="s">
        <v>1229</v>
      </c>
      <c r="U55" s="490" t="s">
        <v>1229</v>
      </c>
      <c r="V55" s="490" t="s">
        <v>1229</v>
      </c>
      <c r="W55" s="490" t="s">
        <v>1229</v>
      </c>
      <c r="X55" s="490" t="s">
        <v>1230</v>
      </c>
      <c r="Y55" s="490" t="s">
        <v>1230</v>
      </c>
      <c r="Z55" s="490" t="s">
        <v>1230</v>
      </c>
      <c r="AA55" s="490" t="s">
        <v>1230</v>
      </c>
      <c r="AB55" s="490" t="s">
        <v>1230</v>
      </c>
      <c r="AC55" s="490" t="s">
        <v>1230</v>
      </c>
      <c r="AD55" s="490" t="s">
        <v>1230</v>
      </c>
      <c r="AE55" s="490" t="s">
        <v>1230</v>
      </c>
      <c r="AF55" s="490" t="s">
        <v>1230</v>
      </c>
      <c r="AG55" s="490" t="s">
        <v>1230</v>
      </c>
      <c r="AH55" s="490" t="s">
        <v>1230</v>
      </c>
      <c r="AI55" s="490" t="s">
        <v>1230</v>
      </c>
      <c r="AJ55" s="490" t="s">
        <v>1230</v>
      </c>
      <c r="AK55" s="490" t="s">
        <v>1230</v>
      </c>
      <c r="AL55" s="490" t="s">
        <v>1230</v>
      </c>
      <c r="AM55" s="490">
        <v>1000</v>
      </c>
      <c r="AN55" s="490">
        <v>1000</v>
      </c>
      <c r="AO55" s="490">
        <v>1000</v>
      </c>
      <c r="AP55" s="490">
        <v>1000</v>
      </c>
      <c r="AQ55" s="490">
        <v>1000</v>
      </c>
      <c r="AR55" s="490">
        <v>1000</v>
      </c>
      <c r="AS55" s="490">
        <v>1000</v>
      </c>
      <c r="AT55" s="490">
        <v>1000</v>
      </c>
      <c r="AU55" s="490">
        <v>1000</v>
      </c>
      <c r="AV55" s="490">
        <v>1000</v>
      </c>
      <c r="AW55" s="490">
        <v>1000</v>
      </c>
      <c r="AX55" s="490">
        <v>1000</v>
      </c>
      <c r="AY55" s="490">
        <v>1000</v>
      </c>
      <c r="AZ55" s="490">
        <v>1000</v>
      </c>
      <c r="BA55" s="491">
        <v>1000</v>
      </c>
      <c r="BB55" s="489" t="s">
        <v>1229</v>
      </c>
      <c r="BC55" s="490" t="s">
        <v>1229</v>
      </c>
      <c r="BD55" s="490" t="s">
        <v>1229</v>
      </c>
      <c r="BE55" s="490" t="s">
        <v>1229</v>
      </c>
      <c r="BF55" s="490" t="s">
        <v>1229</v>
      </c>
      <c r="BG55" s="490" t="s">
        <v>1230</v>
      </c>
      <c r="BH55" s="490" t="s">
        <v>1230</v>
      </c>
      <c r="BI55" s="490" t="s">
        <v>1230</v>
      </c>
      <c r="BJ55" s="490" t="s">
        <v>1230</v>
      </c>
      <c r="BK55" s="490" t="s">
        <v>1230</v>
      </c>
      <c r="BL55" s="490">
        <v>1000</v>
      </c>
      <c r="BM55" s="490">
        <v>1000</v>
      </c>
      <c r="BN55" s="490">
        <v>1000</v>
      </c>
      <c r="BO55" s="490">
        <v>1000</v>
      </c>
      <c r="BP55" s="491">
        <v>1000</v>
      </c>
    </row>
    <row r="56" spans="2:129">
      <c r="I56" s="390" t="s">
        <v>1231</v>
      </c>
      <c r="J56" s="391" t="s">
        <v>1231</v>
      </c>
      <c r="K56" s="393" t="s">
        <v>1231</v>
      </c>
      <c r="L56" s="394" t="s">
        <v>1232</v>
      </c>
      <c r="M56" s="395" t="s">
        <v>1232</v>
      </c>
      <c r="N56" s="396" t="s">
        <v>1232</v>
      </c>
      <c r="O56" s="398" t="s">
        <v>1233</v>
      </c>
      <c r="P56" s="399" t="s">
        <v>1233</v>
      </c>
      <c r="Q56" s="400" t="s">
        <v>1233</v>
      </c>
      <c r="R56" s="402" t="s">
        <v>1234</v>
      </c>
      <c r="S56" s="403" t="s">
        <v>1234</v>
      </c>
      <c r="T56" s="404" t="s">
        <v>1234</v>
      </c>
      <c r="U56" s="406" t="s">
        <v>1235</v>
      </c>
      <c r="V56" s="407" t="s">
        <v>1235</v>
      </c>
      <c r="W56" s="408" t="s">
        <v>1235</v>
      </c>
      <c r="X56" s="390" t="s">
        <v>1231</v>
      </c>
      <c r="Y56" s="391" t="s">
        <v>1231</v>
      </c>
      <c r="Z56" s="392" t="s">
        <v>1231</v>
      </c>
      <c r="AA56" s="394" t="s">
        <v>1232</v>
      </c>
      <c r="AB56" s="395" t="s">
        <v>1232</v>
      </c>
      <c r="AC56" s="396" t="s">
        <v>1232</v>
      </c>
      <c r="AD56" s="398" t="s">
        <v>1233</v>
      </c>
      <c r="AE56" s="399" t="s">
        <v>1233</v>
      </c>
      <c r="AF56" s="400" t="s">
        <v>1233</v>
      </c>
      <c r="AG56" s="402" t="s">
        <v>1234</v>
      </c>
      <c r="AH56" s="403" t="s">
        <v>1234</v>
      </c>
      <c r="AI56" s="404" t="s">
        <v>1234</v>
      </c>
      <c r="AJ56" s="406" t="s">
        <v>1235</v>
      </c>
      <c r="AK56" s="407" t="s">
        <v>1235</v>
      </c>
      <c r="AL56" s="408" t="s">
        <v>1235</v>
      </c>
      <c r="AM56" s="390" t="s">
        <v>1231</v>
      </c>
      <c r="AN56" s="391" t="s">
        <v>1231</v>
      </c>
      <c r="AO56" s="392" t="s">
        <v>1231</v>
      </c>
      <c r="AP56" s="394" t="s">
        <v>1232</v>
      </c>
      <c r="AQ56" s="395" t="s">
        <v>1232</v>
      </c>
      <c r="AR56" s="396" t="s">
        <v>1232</v>
      </c>
      <c r="AS56" s="398" t="s">
        <v>1233</v>
      </c>
      <c r="AT56" s="399" t="s">
        <v>1233</v>
      </c>
      <c r="AU56" s="400" t="s">
        <v>1233</v>
      </c>
      <c r="AV56" s="402" t="s">
        <v>1234</v>
      </c>
      <c r="AW56" s="403" t="s">
        <v>1234</v>
      </c>
      <c r="AX56" s="404" t="s">
        <v>1234</v>
      </c>
      <c r="AY56" s="406" t="s">
        <v>1235</v>
      </c>
      <c r="AZ56" s="407" t="s">
        <v>1235</v>
      </c>
      <c r="BA56" s="409" t="s">
        <v>1235</v>
      </c>
      <c r="BB56" s="410" t="s">
        <v>1231</v>
      </c>
      <c r="BC56" s="396" t="s">
        <v>1232</v>
      </c>
      <c r="BD56" s="398" t="s">
        <v>1233</v>
      </c>
      <c r="BE56" s="412" t="s">
        <v>1234</v>
      </c>
      <c r="BF56" s="406" t="s">
        <v>1235</v>
      </c>
      <c r="BG56" s="410" t="s">
        <v>1231</v>
      </c>
      <c r="BH56" s="396" t="s">
        <v>1232</v>
      </c>
      <c r="BI56" s="398" t="s">
        <v>1233</v>
      </c>
      <c r="BJ56" s="412" t="s">
        <v>1234</v>
      </c>
      <c r="BK56" s="406" t="s">
        <v>1235</v>
      </c>
      <c r="BL56" s="410" t="s">
        <v>1231</v>
      </c>
      <c r="BM56" s="396" t="s">
        <v>1232</v>
      </c>
      <c r="BN56" s="398" t="s">
        <v>1233</v>
      </c>
      <c r="BO56" s="412" t="s">
        <v>1234</v>
      </c>
      <c r="BP56" s="492" t="s">
        <v>1235</v>
      </c>
    </row>
    <row r="57" spans="2:129" ht="13.5" thickBot="1">
      <c r="I57" s="477" t="s">
        <v>1237</v>
      </c>
      <c r="J57" s="493" t="s">
        <v>1238</v>
      </c>
      <c r="K57" s="494" t="s">
        <v>1239</v>
      </c>
      <c r="L57" s="477" t="s">
        <v>1237</v>
      </c>
      <c r="M57" s="493" t="s">
        <v>1238</v>
      </c>
      <c r="N57" s="495" t="s">
        <v>1239</v>
      </c>
      <c r="O57" s="477" t="s">
        <v>1237</v>
      </c>
      <c r="P57" s="493" t="s">
        <v>1238</v>
      </c>
      <c r="Q57" s="495" t="s">
        <v>1239</v>
      </c>
      <c r="R57" s="477" t="s">
        <v>1237</v>
      </c>
      <c r="S57" s="493" t="s">
        <v>1238</v>
      </c>
      <c r="T57" s="495" t="s">
        <v>1239</v>
      </c>
      <c r="U57" s="477" t="s">
        <v>1237</v>
      </c>
      <c r="V57" s="493" t="s">
        <v>1238</v>
      </c>
      <c r="W57" s="495" t="s">
        <v>1239</v>
      </c>
      <c r="X57" s="477" t="s">
        <v>1237</v>
      </c>
      <c r="Y57" s="493" t="s">
        <v>1238</v>
      </c>
      <c r="Z57" s="495" t="s">
        <v>1239</v>
      </c>
      <c r="AA57" s="477" t="s">
        <v>1237</v>
      </c>
      <c r="AB57" s="493" t="s">
        <v>1238</v>
      </c>
      <c r="AC57" s="495" t="s">
        <v>1239</v>
      </c>
      <c r="AD57" s="477" t="s">
        <v>1237</v>
      </c>
      <c r="AE57" s="493" t="s">
        <v>1238</v>
      </c>
      <c r="AF57" s="495" t="s">
        <v>1239</v>
      </c>
      <c r="AG57" s="477" t="s">
        <v>1237</v>
      </c>
      <c r="AH57" s="493" t="s">
        <v>1238</v>
      </c>
      <c r="AI57" s="495" t="s">
        <v>1239</v>
      </c>
      <c r="AJ57" s="477" t="s">
        <v>1237</v>
      </c>
      <c r="AK57" s="493" t="s">
        <v>1238</v>
      </c>
      <c r="AL57" s="495" t="s">
        <v>1239</v>
      </c>
      <c r="AM57" s="477" t="s">
        <v>1237</v>
      </c>
      <c r="AN57" s="493" t="s">
        <v>1238</v>
      </c>
      <c r="AO57" s="495" t="s">
        <v>1239</v>
      </c>
      <c r="AP57" s="477" t="s">
        <v>1237</v>
      </c>
      <c r="AQ57" s="493" t="s">
        <v>1238</v>
      </c>
      <c r="AR57" s="495" t="s">
        <v>1239</v>
      </c>
      <c r="AS57" s="477" t="s">
        <v>1237</v>
      </c>
      <c r="AT57" s="493" t="s">
        <v>1238</v>
      </c>
      <c r="AU57" s="495" t="s">
        <v>1239</v>
      </c>
      <c r="AV57" s="477" t="s">
        <v>1237</v>
      </c>
      <c r="AW57" s="493" t="s">
        <v>1238</v>
      </c>
      <c r="AX57" s="495" t="s">
        <v>1239</v>
      </c>
      <c r="AY57" s="477" t="s">
        <v>1237</v>
      </c>
      <c r="AZ57" s="493" t="s">
        <v>1238</v>
      </c>
      <c r="BA57" s="494" t="s">
        <v>1239</v>
      </c>
      <c r="BB57" s="496" t="s">
        <v>1239</v>
      </c>
      <c r="BC57" s="495" t="s">
        <v>1239</v>
      </c>
      <c r="BD57" s="477" t="s">
        <v>1239</v>
      </c>
      <c r="BE57" s="496" t="s">
        <v>1239</v>
      </c>
      <c r="BF57" s="477" t="s">
        <v>1239</v>
      </c>
      <c r="BG57" s="496" t="s">
        <v>1239</v>
      </c>
      <c r="BH57" s="495" t="s">
        <v>1239</v>
      </c>
      <c r="BI57" s="477" t="s">
        <v>1239</v>
      </c>
      <c r="BJ57" s="496" t="s">
        <v>1239</v>
      </c>
      <c r="BK57" s="477" t="s">
        <v>1239</v>
      </c>
      <c r="BL57" s="496" t="s">
        <v>1239</v>
      </c>
      <c r="BM57" s="495" t="s">
        <v>1239</v>
      </c>
      <c r="BN57" s="477" t="s">
        <v>1239</v>
      </c>
      <c r="BO57" s="496" t="s">
        <v>1239</v>
      </c>
      <c r="BP57" s="497" t="s">
        <v>1239</v>
      </c>
    </row>
    <row r="58" spans="2:129" ht="13.5" thickBot="1">
      <c r="I58" s="498" t="s">
        <v>1243</v>
      </c>
      <c r="J58" s="498" t="s">
        <v>1244</v>
      </c>
      <c r="K58" s="498" t="s">
        <v>1245</v>
      </c>
      <c r="L58" s="498" t="s">
        <v>1246</v>
      </c>
      <c r="M58" s="498" t="s">
        <v>1247</v>
      </c>
      <c r="N58" s="498" t="s">
        <v>1248</v>
      </c>
      <c r="O58" s="498" t="s">
        <v>1249</v>
      </c>
      <c r="P58" s="498" t="s">
        <v>1250</v>
      </c>
      <c r="Q58" s="498" t="s">
        <v>1251</v>
      </c>
      <c r="R58" s="498" t="s">
        <v>1252</v>
      </c>
      <c r="S58" s="498" t="s">
        <v>1253</v>
      </c>
      <c r="T58" s="498" t="s">
        <v>1254</v>
      </c>
      <c r="U58" s="498" t="s">
        <v>1255</v>
      </c>
      <c r="V58" s="498" t="s">
        <v>1256</v>
      </c>
      <c r="W58" s="498" t="s">
        <v>1257</v>
      </c>
      <c r="X58" s="498" t="s">
        <v>1258</v>
      </c>
      <c r="Y58" s="498" t="s">
        <v>1259</v>
      </c>
      <c r="Z58" s="498" t="s">
        <v>1260</v>
      </c>
      <c r="AA58" s="498" t="s">
        <v>1261</v>
      </c>
      <c r="AB58" s="498" t="s">
        <v>1262</v>
      </c>
      <c r="AC58" s="498" t="s">
        <v>1263</v>
      </c>
      <c r="AD58" s="498" t="s">
        <v>1264</v>
      </c>
      <c r="AE58" s="498" t="s">
        <v>1265</v>
      </c>
      <c r="AF58" s="498" t="s">
        <v>1266</v>
      </c>
      <c r="AG58" s="498" t="s">
        <v>1267</v>
      </c>
      <c r="AH58" s="498" t="s">
        <v>1268</v>
      </c>
      <c r="AI58" s="498" t="s">
        <v>1269</v>
      </c>
      <c r="AJ58" s="498" t="s">
        <v>1270</v>
      </c>
      <c r="AK58" s="498" t="s">
        <v>1271</v>
      </c>
      <c r="AL58" s="498" t="s">
        <v>1272</v>
      </c>
      <c r="AM58" s="498" t="s">
        <v>1273</v>
      </c>
      <c r="AN58" s="498" t="s">
        <v>1274</v>
      </c>
      <c r="AO58" s="498" t="s">
        <v>1275</v>
      </c>
      <c r="AP58" s="498" t="s">
        <v>1276</v>
      </c>
      <c r="AQ58" s="498" t="s">
        <v>1277</v>
      </c>
      <c r="AR58" s="498" t="s">
        <v>1278</v>
      </c>
      <c r="AS58" s="498" t="s">
        <v>1279</v>
      </c>
      <c r="AT58" s="498" t="s">
        <v>1280</v>
      </c>
      <c r="AU58" s="498" t="s">
        <v>1281</v>
      </c>
      <c r="AV58" s="498" t="s">
        <v>1282</v>
      </c>
      <c r="AW58" s="498" t="s">
        <v>1283</v>
      </c>
      <c r="AX58" s="498" t="s">
        <v>1284</v>
      </c>
      <c r="AY58" s="498" t="s">
        <v>1285</v>
      </c>
      <c r="AZ58" s="498" t="s">
        <v>1286</v>
      </c>
      <c r="BA58" s="498" t="s">
        <v>1287</v>
      </c>
      <c r="BB58" s="498" t="s">
        <v>1288</v>
      </c>
      <c r="BC58" s="498" t="s">
        <v>1289</v>
      </c>
      <c r="BD58" s="498" t="s">
        <v>1290</v>
      </c>
      <c r="BE58" s="498" t="s">
        <v>1291</v>
      </c>
      <c r="BF58" s="498" t="s">
        <v>1292</v>
      </c>
      <c r="BG58" s="498" t="s">
        <v>1293</v>
      </c>
      <c r="BH58" s="498" t="s">
        <v>1294</v>
      </c>
      <c r="BI58" s="498" t="s">
        <v>1295</v>
      </c>
      <c r="BJ58" s="498" t="s">
        <v>1296</v>
      </c>
      <c r="BK58" s="498" t="s">
        <v>1297</v>
      </c>
      <c r="BL58" s="498" t="s">
        <v>1298</v>
      </c>
      <c r="BM58" s="498" t="s">
        <v>1299</v>
      </c>
      <c r="BN58" s="498" t="s">
        <v>1300</v>
      </c>
      <c r="BO58" s="498" t="s">
        <v>1301</v>
      </c>
      <c r="BP58" s="498" t="s">
        <v>1302</v>
      </c>
    </row>
    <row r="59" spans="2:129">
      <c r="B59" t="s">
        <v>525</v>
      </c>
      <c r="C59" t="s">
        <v>525</v>
      </c>
      <c r="D59" t="s">
        <v>526</v>
      </c>
      <c r="E59">
        <v>10</v>
      </c>
      <c r="F59" t="s">
        <v>527</v>
      </c>
      <c r="G59" t="s">
        <v>528</v>
      </c>
      <c r="H59" t="s">
        <v>525</v>
      </c>
      <c r="I59" s="499">
        <v>1719.2029080000002</v>
      </c>
      <c r="J59" s="471">
        <v>1830.1824669999996</v>
      </c>
      <c r="K59" s="471">
        <v>770.8882352941182</v>
      </c>
      <c r="L59" s="471">
        <v>1877.8910349999996</v>
      </c>
      <c r="M59" s="471">
        <v>2000.0845989999998</v>
      </c>
      <c r="N59" s="471">
        <v>832.14117647058811</v>
      </c>
      <c r="O59" s="471">
        <v>2776.9972849999995</v>
      </c>
      <c r="P59" s="471">
        <v>2936.5757400000002</v>
      </c>
      <c r="Q59" s="471">
        <v>1584.9352941176467</v>
      </c>
      <c r="R59" s="471">
        <v>2231.9831139999997</v>
      </c>
      <c r="S59" s="471">
        <v>2370.1556069999997</v>
      </c>
      <c r="T59" s="471">
        <v>1242.8941176470589</v>
      </c>
      <c r="U59" s="471">
        <v>3301.7267199999987</v>
      </c>
      <c r="V59" s="471">
        <v>3480.4809059999989</v>
      </c>
      <c r="W59" s="471">
        <v>2162.5235294117665</v>
      </c>
      <c r="X59" s="471">
        <v>1705.4514530000006</v>
      </c>
      <c r="Y59" s="471">
        <v>1793.3599530000001</v>
      </c>
      <c r="Z59" s="471">
        <v>832.09999999999991</v>
      </c>
      <c r="AA59" s="471">
        <v>1864.2043489999996</v>
      </c>
      <c r="AB59" s="471">
        <v>1961.0709230000002</v>
      </c>
      <c r="AC59" s="471">
        <v>900.40588235294126</v>
      </c>
      <c r="AD59" s="471">
        <v>2754.8170010000013</v>
      </c>
      <c r="AE59" s="471">
        <v>2899.5299029999987</v>
      </c>
      <c r="AF59" s="471">
        <v>1865.3882352941182</v>
      </c>
      <c r="AG59" s="471">
        <v>2209.6522480000003</v>
      </c>
      <c r="AH59" s="471">
        <v>2325.6419699999997</v>
      </c>
      <c r="AI59" s="471">
        <v>1391.4294117647059</v>
      </c>
      <c r="AJ59" s="471">
        <v>3281.0672520000007</v>
      </c>
      <c r="AK59" s="471">
        <v>3452.9165649999995</v>
      </c>
      <c r="AL59" s="471">
        <v>2526.2470588235301</v>
      </c>
      <c r="AM59" s="471">
        <v>9117.9165639999956</v>
      </c>
      <c r="AN59" s="471">
        <v>9180.878692000002</v>
      </c>
      <c r="AO59" s="471">
        <v>3862.2647058823532</v>
      </c>
      <c r="AP59" s="471">
        <v>10033.899642000004</v>
      </c>
      <c r="AQ59" s="471">
        <v>10112.442401</v>
      </c>
      <c r="AR59" s="471">
        <v>4200.1529411764714</v>
      </c>
      <c r="AS59" s="471">
        <v>16073.028864000007</v>
      </c>
      <c r="AT59" s="471">
        <v>16115.307493999993</v>
      </c>
      <c r="AU59" s="471">
        <v>7843.6470588235388</v>
      </c>
      <c r="AV59" s="471">
        <v>12231.905769000005</v>
      </c>
      <c r="AW59" s="471">
        <v>12277.261209999997</v>
      </c>
      <c r="AX59" s="471">
        <v>6139.8176470588223</v>
      </c>
      <c r="AY59" s="471">
        <v>19349.989350000003</v>
      </c>
      <c r="AZ59" s="471">
        <v>19389.951591000005</v>
      </c>
      <c r="BA59" s="500">
        <v>10664.98823529412</v>
      </c>
      <c r="BB59" s="499">
        <v>15.152217999999948</v>
      </c>
      <c r="BC59" s="471">
        <v>-4.9360389999999938</v>
      </c>
      <c r="BD59" s="471">
        <v>38.611008999999967</v>
      </c>
      <c r="BE59" s="471">
        <v>83.595011999999997</v>
      </c>
      <c r="BF59" s="471">
        <v>25.368481000000031</v>
      </c>
      <c r="BG59" s="471">
        <v>19.924004999999966</v>
      </c>
      <c r="BH59" s="471">
        <v>-1.4417999999977837E-2</v>
      </c>
      <c r="BI59" s="471">
        <v>44.038515999999959</v>
      </c>
      <c r="BJ59" s="471">
        <v>87.653332999999975</v>
      </c>
      <c r="BK59" s="471">
        <v>33.783214999999984</v>
      </c>
      <c r="BL59" s="471">
        <v>-306.92901100000017</v>
      </c>
      <c r="BM59" s="471">
        <v>-430.44689800000015</v>
      </c>
      <c r="BN59" s="471">
        <v>-96.610269999999218</v>
      </c>
      <c r="BO59" s="471">
        <v>98.37030699999741</v>
      </c>
      <c r="BP59" s="500">
        <v>-178.13358599999992</v>
      </c>
    </row>
    <row r="60" spans="2:129">
      <c r="B60" t="s">
        <v>531</v>
      </c>
      <c r="C60" t="s">
        <v>532</v>
      </c>
      <c r="D60" t="s">
        <v>533</v>
      </c>
      <c r="E60">
        <v>10</v>
      </c>
      <c r="F60" t="s">
        <v>527</v>
      </c>
      <c r="G60" t="s">
        <v>528</v>
      </c>
      <c r="H60" t="s">
        <v>531</v>
      </c>
      <c r="I60" s="499">
        <v>0</v>
      </c>
      <c r="J60" s="471">
        <v>0</v>
      </c>
      <c r="K60" s="471">
        <v>0</v>
      </c>
      <c r="L60" s="471">
        <v>0</v>
      </c>
      <c r="M60" s="471">
        <v>0</v>
      </c>
      <c r="N60" s="471">
        <v>0</v>
      </c>
      <c r="O60" s="471">
        <v>0</v>
      </c>
      <c r="P60" s="471">
        <v>0</v>
      </c>
      <c r="Q60" s="471">
        <v>0</v>
      </c>
      <c r="R60" s="471">
        <v>0</v>
      </c>
      <c r="S60" s="471">
        <v>0</v>
      </c>
      <c r="T60" s="471">
        <v>0</v>
      </c>
      <c r="U60" s="471">
        <v>0</v>
      </c>
      <c r="V60" s="471">
        <v>0</v>
      </c>
      <c r="W60" s="471">
        <v>0</v>
      </c>
      <c r="X60" s="471">
        <v>0</v>
      </c>
      <c r="Y60" s="471">
        <v>0</v>
      </c>
      <c r="Z60" s="471">
        <v>0</v>
      </c>
      <c r="AA60" s="471">
        <v>0</v>
      </c>
      <c r="AB60" s="471">
        <v>0</v>
      </c>
      <c r="AC60" s="471">
        <v>0</v>
      </c>
      <c r="AD60" s="471">
        <v>0</v>
      </c>
      <c r="AE60" s="471">
        <v>0</v>
      </c>
      <c r="AF60" s="471">
        <v>0</v>
      </c>
      <c r="AG60" s="471">
        <v>0</v>
      </c>
      <c r="AH60" s="471">
        <v>0</v>
      </c>
      <c r="AI60" s="471">
        <v>0</v>
      </c>
      <c r="AJ60" s="471">
        <v>0</v>
      </c>
      <c r="AK60" s="471">
        <v>0</v>
      </c>
      <c r="AL60" s="471">
        <v>0</v>
      </c>
      <c r="AM60" s="471">
        <v>0</v>
      </c>
      <c r="AN60" s="471">
        <v>0</v>
      </c>
      <c r="AO60" s="471">
        <v>0</v>
      </c>
      <c r="AP60" s="471">
        <v>0</v>
      </c>
      <c r="AQ60" s="471">
        <v>0</v>
      </c>
      <c r="AR60" s="471">
        <v>0</v>
      </c>
      <c r="AS60" s="471">
        <v>0</v>
      </c>
      <c r="AT60" s="471">
        <v>0</v>
      </c>
      <c r="AU60" s="471">
        <v>0</v>
      </c>
      <c r="AV60" s="471">
        <v>0</v>
      </c>
      <c r="AW60" s="471">
        <v>0</v>
      </c>
      <c r="AX60" s="471">
        <v>0</v>
      </c>
      <c r="AY60" s="471">
        <v>0</v>
      </c>
      <c r="AZ60" s="471">
        <v>0</v>
      </c>
      <c r="BA60" s="500">
        <v>0</v>
      </c>
      <c r="BB60" s="499">
        <v>0</v>
      </c>
      <c r="BC60" s="471">
        <v>0</v>
      </c>
      <c r="BD60" s="471">
        <v>0</v>
      </c>
      <c r="BE60" s="471">
        <v>0</v>
      </c>
      <c r="BF60" s="471">
        <v>0</v>
      </c>
      <c r="BG60" s="471">
        <v>0</v>
      </c>
      <c r="BH60" s="471">
        <v>0</v>
      </c>
      <c r="BI60" s="471">
        <v>0</v>
      </c>
      <c r="BJ60" s="471">
        <v>0</v>
      </c>
      <c r="BK60" s="471">
        <v>0</v>
      </c>
      <c r="BL60" s="471">
        <v>0</v>
      </c>
      <c r="BM60" s="471">
        <v>0</v>
      </c>
      <c r="BN60" s="471">
        <v>0</v>
      </c>
      <c r="BO60" s="471">
        <v>0</v>
      </c>
      <c r="BP60" s="500">
        <v>0</v>
      </c>
    </row>
    <row r="61" spans="2:129">
      <c r="B61" t="s">
        <v>535</v>
      </c>
      <c r="C61" t="s">
        <v>536</v>
      </c>
      <c r="D61" t="s">
        <v>537</v>
      </c>
      <c r="E61">
        <v>10</v>
      </c>
      <c r="F61" t="s">
        <v>527</v>
      </c>
      <c r="G61" t="s">
        <v>538</v>
      </c>
      <c r="H61" t="s">
        <v>535</v>
      </c>
      <c r="I61" s="499">
        <v>344.15628200000083</v>
      </c>
      <c r="J61" s="471">
        <v>328.64759200000026</v>
      </c>
      <c r="K61" s="471">
        <v>118.74117647058802</v>
      </c>
      <c r="L61" s="471">
        <v>379.27213400000073</v>
      </c>
      <c r="M61" s="471">
        <v>362.71424399999978</v>
      </c>
      <c r="N61" s="471">
        <v>128.88235294117612</v>
      </c>
      <c r="O61" s="471">
        <v>495.65746199999921</v>
      </c>
      <c r="P61" s="471">
        <v>448.61850499999855</v>
      </c>
      <c r="Q61" s="471">
        <v>171.6352941176483</v>
      </c>
      <c r="R61" s="471">
        <v>414.2283980000002</v>
      </c>
      <c r="S61" s="471">
        <v>382.70253099999991</v>
      </c>
      <c r="T61" s="471">
        <v>147.63529411764739</v>
      </c>
      <c r="U61" s="471">
        <v>581.3241160000016</v>
      </c>
      <c r="V61" s="471">
        <v>519.81327700000111</v>
      </c>
      <c r="W61" s="471">
        <v>207.58823529411711</v>
      </c>
      <c r="X61" s="471">
        <v>0</v>
      </c>
      <c r="Y61" s="471">
        <v>0</v>
      </c>
      <c r="Z61" s="471">
        <v>0</v>
      </c>
      <c r="AA61" s="471">
        <v>0</v>
      </c>
      <c r="AB61" s="471">
        <v>0</v>
      </c>
      <c r="AC61" s="471">
        <v>0</v>
      </c>
      <c r="AD61" s="471">
        <v>0</v>
      </c>
      <c r="AE61" s="471">
        <v>0</v>
      </c>
      <c r="AF61" s="471">
        <v>0</v>
      </c>
      <c r="AG61" s="471">
        <v>0</v>
      </c>
      <c r="AH61" s="471">
        <v>0</v>
      </c>
      <c r="AI61" s="471">
        <v>0</v>
      </c>
      <c r="AJ61" s="471">
        <v>0</v>
      </c>
      <c r="AK61" s="471">
        <v>0</v>
      </c>
      <c r="AL61" s="471">
        <v>0</v>
      </c>
      <c r="AM61" s="471">
        <v>3816.8995440000035</v>
      </c>
      <c r="AN61" s="471">
        <v>3861.8347739999954</v>
      </c>
      <c r="AO61" s="471">
        <v>1650.7470588235301</v>
      </c>
      <c r="AP61" s="471">
        <v>4224.799205000003</v>
      </c>
      <c r="AQ61" s="471">
        <v>4278.7052290000065</v>
      </c>
      <c r="AR61" s="471">
        <v>1798.2294117647034</v>
      </c>
      <c r="AS61" s="471">
        <v>5795.6365520000109</v>
      </c>
      <c r="AT61" s="471">
        <v>5857.4134139999951</v>
      </c>
      <c r="AU61" s="471">
        <v>2781.6470588235243</v>
      </c>
      <c r="AV61" s="471">
        <v>4509.9394880000036</v>
      </c>
      <c r="AW61" s="471">
        <v>4558.9413869999989</v>
      </c>
      <c r="AX61" s="471">
        <v>2264.2352941176432</v>
      </c>
      <c r="AY61" s="471">
        <v>6776.4762940000073</v>
      </c>
      <c r="AZ61" s="471">
        <v>6848.6024319999997</v>
      </c>
      <c r="BA61" s="500">
        <v>3487.9941176470602</v>
      </c>
      <c r="BB61" s="499">
        <v>-37.747064000000023</v>
      </c>
      <c r="BC61" s="471">
        <v>-32.334803000000022</v>
      </c>
      <c r="BD61" s="471">
        <v>-34.832965999999942</v>
      </c>
      <c r="BE61" s="471">
        <v>-38.461764999999787</v>
      </c>
      <c r="BF61" s="471">
        <v>-33.810053000000039</v>
      </c>
      <c r="BG61" s="471">
        <v>0</v>
      </c>
      <c r="BH61" s="471">
        <v>0</v>
      </c>
      <c r="BI61" s="471">
        <v>0</v>
      </c>
      <c r="BJ61" s="471">
        <v>0</v>
      </c>
      <c r="BK61" s="471">
        <v>0</v>
      </c>
      <c r="BL61" s="471">
        <v>-839.25357500000064</v>
      </c>
      <c r="BM61" s="471">
        <v>-792.68319900000006</v>
      </c>
      <c r="BN61" s="471">
        <v>-762.50582799999938</v>
      </c>
      <c r="BO61" s="471">
        <v>-813.16389399999753</v>
      </c>
      <c r="BP61" s="500">
        <v>-764.25607400000081</v>
      </c>
    </row>
    <row r="62" spans="2:129">
      <c r="B62" t="s">
        <v>546</v>
      </c>
      <c r="C62" t="s">
        <v>547</v>
      </c>
      <c r="D62" t="s">
        <v>537</v>
      </c>
      <c r="E62">
        <v>11</v>
      </c>
      <c r="F62" t="s">
        <v>527</v>
      </c>
      <c r="G62" t="s">
        <v>548</v>
      </c>
      <c r="H62" t="s">
        <v>546</v>
      </c>
      <c r="I62" s="499">
        <v>392.94790900000044</v>
      </c>
      <c r="J62" s="471">
        <v>375.52059499999996</v>
      </c>
      <c r="K62" s="471">
        <v>135.7352941176473</v>
      </c>
      <c r="L62" s="471">
        <v>433.55791899999986</v>
      </c>
      <c r="M62" s="471">
        <v>414.96324699999968</v>
      </c>
      <c r="N62" s="471">
        <v>147.3470588235291</v>
      </c>
      <c r="O62" s="471">
        <v>567.0509689999999</v>
      </c>
      <c r="P62" s="471">
        <v>513.58209899999929</v>
      </c>
      <c r="Q62" s="471">
        <v>196.52352941176559</v>
      </c>
      <c r="R62" s="471">
        <v>473.83003899999949</v>
      </c>
      <c r="S62" s="471">
        <v>438.06507299999976</v>
      </c>
      <c r="T62" s="471">
        <v>169.05294117647099</v>
      </c>
      <c r="U62" s="471">
        <v>665.03721500000029</v>
      </c>
      <c r="V62" s="471">
        <v>595.00211800000034</v>
      </c>
      <c r="W62" s="471">
        <v>236.58235294117549</v>
      </c>
      <c r="X62" s="471">
        <v>0</v>
      </c>
      <c r="Y62" s="471">
        <v>0</v>
      </c>
      <c r="Z62" s="471">
        <v>0</v>
      </c>
      <c r="AA62" s="471">
        <v>0</v>
      </c>
      <c r="AB62" s="471">
        <v>0</v>
      </c>
      <c r="AC62" s="471">
        <v>0</v>
      </c>
      <c r="AD62" s="471">
        <v>0</v>
      </c>
      <c r="AE62" s="471">
        <v>0</v>
      </c>
      <c r="AF62" s="471">
        <v>0</v>
      </c>
      <c r="AG62" s="471">
        <v>0</v>
      </c>
      <c r="AH62" s="471">
        <v>0</v>
      </c>
      <c r="AI62" s="471">
        <v>0</v>
      </c>
      <c r="AJ62" s="471">
        <v>0</v>
      </c>
      <c r="AK62" s="471">
        <v>0</v>
      </c>
      <c r="AL62" s="471">
        <v>0</v>
      </c>
      <c r="AM62" s="471">
        <v>4373.0734560000019</v>
      </c>
      <c r="AN62" s="471">
        <v>4424.6521279999979</v>
      </c>
      <c r="AO62" s="471">
        <v>1896.2823529411762</v>
      </c>
      <c r="AP62" s="471">
        <v>4841.3105550000037</v>
      </c>
      <c r="AQ62" s="471">
        <v>4903.1576250000071</v>
      </c>
      <c r="AR62" s="471">
        <v>2063.2294117647034</v>
      </c>
      <c r="AS62" s="471">
        <v>6658.5205640000058</v>
      </c>
      <c r="AT62" s="471">
        <v>6729.6247379999986</v>
      </c>
      <c r="AU62" s="471">
        <v>3200.9411764705874</v>
      </c>
      <c r="AV62" s="471">
        <v>5182.7513500000059</v>
      </c>
      <c r="AW62" s="471">
        <v>5239.1956900000005</v>
      </c>
      <c r="AX62" s="471">
        <v>2601.7058823529369</v>
      </c>
      <c r="AY62" s="471">
        <v>7791.1692340000009</v>
      </c>
      <c r="AZ62" s="471">
        <v>7874.3596480000124</v>
      </c>
      <c r="BA62" s="500">
        <v>4008.2882352941087</v>
      </c>
      <c r="BB62" s="499">
        <v>-43.523012999999992</v>
      </c>
      <c r="BC62" s="471">
        <v>-37.347491000000048</v>
      </c>
      <c r="BD62" s="471">
        <v>-40.123433999999975</v>
      </c>
      <c r="BE62" s="471">
        <v>-44.289478999999801</v>
      </c>
      <c r="BF62" s="471">
        <v>-39.010826000000009</v>
      </c>
      <c r="BG62" s="471">
        <v>0</v>
      </c>
      <c r="BH62" s="471">
        <v>0</v>
      </c>
      <c r="BI62" s="471">
        <v>0</v>
      </c>
      <c r="BJ62" s="471">
        <v>0</v>
      </c>
      <c r="BK62" s="471">
        <v>0</v>
      </c>
      <c r="BL62" s="471">
        <v>-972.6723320000001</v>
      </c>
      <c r="BM62" s="471">
        <v>-919.2871980000009</v>
      </c>
      <c r="BN62" s="471">
        <v>-885.97991199999888</v>
      </c>
      <c r="BO62" s="471">
        <v>-945.47361000000092</v>
      </c>
      <c r="BP62" s="500">
        <v>-889.58543900000041</v>
      </c>
    </row>
    <row r="63" spans="2:129">
      <c r="B63" t="s">
        <v>550</v>
      </c>
      <c r="C63" t="s">
        <v>551</v>
      </c>
      <c r="D63" t="s">
        <v>537</v>
      </c>
      <c r="E63">
        <v>12</v>
      </c>
      <c r="F63" t="s">
        <v>527</v>
      </c>
      <c r="G63" t="s">
        <v>552</v>
      </c>
      <c r="H63" t="s">
        <v>550</v>
      </c>
      <c r="I63" s="499">
        <v>443.93071800000052</v>
      </c>
      <c r="J63" s="471">
        <v>424.56152300000031</v>
      </c>
      <c r="K63" s="471">
        <v>153.20000000000027</v>
      </c>
      <c r="L63" s="471">
        <v>490.41053100000045</v>
      </c>
      <c r="M63" s="471">
        <v>469.75042499999927</v>
      </c>
      <c r="N63" s="471">
        <v>167.28823529411738</v>
      </c>
      <c r="O63" s="471">
        <v>641.97692199999983</v>
      </c>
      <c r="P63" s="471">
        <v>581.85237699999925</v>
      </c>
      <c r="Q63" s="471">
        <v>222.56470588235425</v>
      </c>
      <c r="R63" s="471">
        <v>536.36246299999948</v>
      </c>
      <c r="S63" s="471">
        <v>496.25666499999988</v>
      </c>
      <c r="T63" s="471">
        <v>191.57058823529405</v>
      </c>
      <c r="U63" s="471">
        <v>752.89365900000121</v>
      </c>
      <c r="V63" s="471">
        <v>673.97184700000071</v>
      </c>
      <c r="W63" s="471">
        <v>268.04705882352937</v>
      </c>
      <c r="X63" s="471">
        <v>0</v>
      </c>
      <c r="Y63" s="471">
        <v>0</v>
      </c>
      <c r="Z63" s="471">
        <v>0</v>
      </c>
      <c r="AA63" s="471">
        <v>0</v>
      </c>
      <c r="AB63" s="471">
        <v>0</v>
      </c>
      <c r="AC63" s="471">
        <v>0</v>
      </c>
      <c r="AD63" s="471">
        <v>0</v>
      </c>
      <c r="AE63" s="471">
        <v>0</v>
      </c>
      <c r="AF63" s="471">
        <v>0</v>
      </c>
      <c r="AG63" s="471">
        <v>0</v>
      </c>
      <c r="AH63" s="471">
        <v>0</v>
      </c>
      <c r="AI63" s="471">
        <v>0</v>
      </c>
      <c r="AJ63" s="471">
        <v>0</v>
      </c>
      <c r="AK63" s="471">
        <v>0</v>
      </c>
      <c r="AL63" s="471">
        <v>0</v>
      </c>
      <c r="AM63" s="471">
        <v>4958.4458600000034</v>
      </c>
      <c r="AN63" s="471">
        <v>5017.03773</v>
      </c>
      <c r="AO63" s="471">
        <v>2152.8647058823517</v>
      </c>
      <c r="AP63" s="471">
        <v>5489.1249690000041</v>
      </c>
      <c r="AQ63" s="471">
        <v>5559.3550560000003</v>
      </c>
      <c r="AR63" s="471">
        <v>2345.6411764705845</v>
      </c>
      <c r="AS63" s="471">
        <v>7572.2750390000001</v>
      </c>
      <c r="AT63" s="471">
        <v>7653.2759470000019</v>
      </c>
      <c r="AU63" s="471">
        <v>3646.1764705882306</v>
      </c>
      <c r="AV63" s="471">
        <v>5895.356283000001</v>
      </c>
      <c r="AW63" s="471">
        <v>5959.7533810000023</v>
      </c>
      <c r="AX63" s="471">
        <v>2959.6470588235279</v>
      </c>
      <c r="AY63" s="471">
        <v>8866.7131570000056</v>
      </c>
      <c r="AZ63" s="471">
        <v>8961.6661220000096</v>
      </c>
      <c r="BA63" s="500">
        <v>4558.9941176470529</v>
      </c>
      <c r="BB63" s="499">
        <v>-49.684798999999998</v>
      </c>
      <c r="BC63" s="471">
        <v>-42.717314000000044</v>
      </c>
      <c r="BD63" s="471">
        <v>-45.760356999999999</v>
      </c>
      <c r="BE63" s="471">
        <v>-50.476633999999876</v>
      </c>
      <c r="BF63" s="471">
        <v>-44.557836000000009</v>
      </c>
      <c r="BG63" s="471">
        <v>0</v>
      </c>
      <c r="BH63" s="471">
        <v>0</v>
      </c>
      <c r="BI63" s="471">
        <v>0</v>
      </c>
      <c r="BJ63" s="471">
        <v>0</v>
      </c>
      <c r="BK63" s="471">
        <v>0</v>
      </c>
      <c r="BL63" s="471">
        <v>-1116.4825110000002</v>
      </c>
      <c r="BM63" s="471">
        <v>-1055.8685880000003</v>
      </c>
      <c r="BN63" s="471">
        <v>-1019.488863999999</v>
      </c>
      <c r="BO63" s="471">
        <v>-1089.0708329999979</v>
      </c>
      <c r="BP63" s="500">
        <v>-1025.8541760000007</v>
      </c>
    </row>
    <row r="64" spans="2:129">
      <c r="B64" t="s">
        <v>554</v>
      </c>
      <c r="C64" t="s">
        <v>555</v>
      </c>
      <c r="D64" t="s">
        <v>537</v>
      </c>
      <c r="E64">
        <v>13</v>
      </c>
      <c r="F64" t="s">
        <v>527</v>
      </c>
      <c r="G64" t="s">
        <v>556</v>
      </c>
      <c r="H64" t="s">
        <v>554</v>
      </c>
      <c r="I64" s="499">
        <v>457.42258500000025</v>
      </c>
      <c r="J64" s="471">
        <v>437.56068400000004</v>
      </c>
      <c r="K64" s="471">
        <v>157.7235294117645</v>
      </c>
      <c r="L64" s="471">
        <v>505.46927600000072</v>
      </c>
      <c r="M64" s="471">
        <v>484.26450199999999</v>
      </c>
      <c r="N64" s="471">
        <v>172.75882352941153</v>
      </c>
      <c r="O64" s="471">
        <v>661.86218399999962</v>
      </c>
      <c r="P64" s="471">
        <v>599.97977699999865</v>
      </c>
      <c r="Q64" s="471">
        <v>229.03529411764794</v>
      </c>
      <c r="R64" s="471">
        <v>552.94130299999961</v>
      </c>
      <c r="S64" s="471">
        <v>511.68965599999956</v>
      </c>
      <c r="T64" s="471">
        <v>197.04117647058865</v>
      </c>
      <c r="U64" s="471">
        <v>776.20325400000002</v>
      </c>
      <c r="V64" s="471">
        <v>694.92870700000094</v>
      </c>
      <c r="W64" s="471">
        <v>276.99411764705837</v>
      </c>
      <c r="X64" s="471">
        <v>0</v>
      </c>
      <c r="Y64" s="471">
        <v>0</v>
      </c>
      <c r="Z64" s="471">
        <v>0</v>
      </c>
      <c r="AA64" s="471">
        <v>0</v>
      </c>
      <c r="AB64" s="471">
        <v>0</v>
      </c>
      <c r="AC64" s="471">
        <v>0</v>
      </c>
      <c r="AD64" s="471">
        <v>0</v>
      </c>
      <c r="AE64" s="471">
        <v>0</v>
      </c>
      <c r="AF64" s="471">
        <v>0</v>
      </c>
      <c r="AG64" s="471">
        <v>0</v>
      </c>
      <c r="AH64" s="471">
        <v>0</v>
      </c>
      <c r="AI64" s="471">
        <v>0</v>
      </c>
      <c r="AJ64" s="471">
        <v>0</v>
      </c>
      <c r="AK64" s="471">
        <v>0</v>
      </c>
      <c r="AL64" s="471">
        <v>0</v>
      </c>
      <c r="AM64" s="471">
        <v>5113.9468390000038</v>
      </c>
      <c r="AN64" s="471">
        <v>5174.4070279999978</v>
      </c>
      <c r="AO64" s="471">
        <v>2221.5705882352922</v>
      </c>
      <c r="AP64" s="471">
        <v>5661.2697320000007</v>
      </c>
      <c r="AQ64" s="471">
        <v>5733.7240220000022</v>
      </c>
      <c r="AR64" s="471">
        <v>2414.876470588235</v>
      </c>
      <c r="AS64" s="471">
        <v>7816.1287180000072</v>
      </c>
      <c r="AT64" s="471">
        <v>7899.7879859999957</v>
      </c>
      <c r="AU64" s="471">
        <v>3765.3529411764684</v>
      </c>
      <c r="AV64" s="471">
        <v>6085.2532550000033</v>
      </c>
      <c r="AW64" s="471">
        <v>6151.778250000003</v>
      </c>
      <c r="AX64" s="471">
        <v>3055.3529411764684</v>
      </c>
      <c r="AY64" s="471">
        <v>9153.8774439999979</v>
      </c>
      <c r="AZ64" s="471">
        <v>9251.9788770000014</v>
      </c>
      <c r="BA64" s="500">
        <v>4705.6411764705845</v>
      </c>
      <c r="BB64" s="499">
        <v>-51.329902999999945</v>
      </c>
      <c r="BC64" s="471">
        <v>-44.162401000000045</v>
      </c>
      <c r="BD64" s="471">
        <v>-47.271417999999926</v>
      </c>
      <c r="BE64" s="471">
        <v>-52.13180599999987</v>
      </c>
      <c r="BF64" s="471">
        <v>-46.044101000000012</v>
      </c>
      <c r="BG64" s="471">
        <v>0</v>
      </c>
      <c r="BH64" s="471">
        <v>0</v>
      </c>
      <c r="BI64" s="471">
        <v>0</v>
      </c>
      <c r="BJ64" s="471">
        <v>0</v>
      </c>
      <c r="BK64" s="471">
        <v>0</v>
      </c>
      <c r="BL64" s="471">
        <v>-1155.2937910000001</v>
      </c>
      <c r="BM64" s="471">
        <v>-1092.7224290000004</v>
      </c>
      <c r="BN64" s="471">
        <v>-1055.6642609999999</v>
      </c>
      <c r="BO64" s="471">
        <v>-1127.9674709999999</v>
      </c>
      <c r="BP64" s="500">
        <v>-1062.7546760000005</v>
      </c>
    </row>
    <row r="65" spans="2:68">
      <c r="B65" t="s">
        <v>558</v>
      </c>
      <c r="C65" t="s">
        <v>559</v>
      </c>
      <c r="D65" t="s">
        <v>537</v>
      </c>
      <c r="E65">
        <v>14</v>
      </c>
      <c r="F65" t="s">
        <v>538</v>
      </c>
      <c r="G65" t="s">
        <v>548</v>
      </c>
      <c r="H65" t="s">
        <v>558</v>
      </c>
      <c r="I65" s="499">
        <v>48.791626999999608</v>
      </c>
      <c r="J65" s="471">
        <v>46.873002999999699</v>
      </c>
      <c r="K65" s="471">
        <v>16.994117647059284</v>
      </c>
      <c r="L65" s="471">
        <v>54.285784999999123</v>
      </c>
      <c r="M65" s="471">
        <v>52.249002999999902</v>
      </c>
      <c r="N65" s="471">
        <v>18.464705882352973</v>
      </c>
      <c r="O65" s="471">
        <v>71.393507000000682</v>
      </c>
      <c r="P65" s="471">
        <v>64.963594000000739</v>
      </c>
      <c r="Q65" s="471">
        <v>24.888235294117294</v>
      </c>
      <c r="R65" s="471">
        <v>59.60164099999929</v>
      </c>
      <c r="S65" s="471">
        <v>55.362541999999848</v>
      </c>
      <c r="T65" s="471">
        <v>21.417647058823604</v>
      </c>
      <c r="U65" s="471">
        <v>83.713098999998692</v>
      </c>
      <c r="V65" s="471">
        <v>75.188840999999229</v>
      </c>
      <c r="W65" s="471">
        <v>28.994117647058374</v>
      </c>
      <c r="X65" s="471">
        <v>0</v>
      </c>
      <c r="Y65" s="471">
        <v>0</v>
      </c>
      <c r="Z65" s="471">
        <v>0</v>
      </c>
      <c r="AA65" s="471">
        <v>0</v>
      </c>
      <c r="AB65" s="471">
        <v>0</v>
      </c>
      <c r="AC65" s="471">
        <v>0</v>
      </c>
      <c r="AD65" s="471">
        <v>0</v>
      </c>
      <c r="AE65" s="471">
        <v>0</v>
      </c>
      <c r="AF65" s="471">
        <v>0</v>
      </c>
      <c r="AG65" s="471">
        <v>0</v>
      </c>
      <c r="AH65" s="471">
        <v>0</v>
      </c>
      <c r="AI65" s="471">
        <v>0</v>
      </c>
      <c r="AJ65" s="471">
        <v>0</v>
      </c>
      <c r="AK65" s="471">
        <v>0</v>
      </c>
      <c r="AL65" s="471">
        <v>0</v>
      </c>
      <c r="AM65" s="471">
        <v>556.17391199999838</v>
      </c>
      <c r="AN65" s="471">
        <v>562.81735400000252</v>
      </c>
      <c r="AO65" s="471">
        <v>245.53529411764612</v>
      </c>
      <c r="AP65" s="471">
        <v>616.51135000000068</v>
      </c>
      <c r="AQ65" s="471">
        <v>624.45239600000059</v>
      </c>
      <c r="AR65" s="471">
        <v>265</v>
      </c>
      <c r="AS65" s="471">
        <v>862.88401199999498</v>
      </c>
      <c r="AT65" s="471">
        <v>872.21132400000351</v>
      </c>
      <c r="AU65" s="471">
        <v>419.2941176470631</v>
      </c>
      <c r="AV65" s="471">
        <v>672.81186200000229</v>
      </c>
      <c r="AW65" s="471">
        <v>680.25430300000153</v>
      </c>
      <c r="AX65" s="471">
        <v>337.47058823529369</v>
      </c>
      <c r="AY65" s="471">
        <v>1014.6929399999935</v>
      </c>
      <c r="AZ65" s="471">
        <v>1025.7572160000127</v>
      </c>
      <c r="BA65" s="500">
        <v>520.29411764704855</v>
      </c>
      <c r="BB65" s="499">
        <v>-5.7759489999999687</v>
      </c>
      <c r="BC65" s="471">
        <v>-5.0126880000000256</v>
      </c>
      <c r="BD65" s="471">
        <v>-5.2904680000000326</v>
      </c>
      <c r="BE65" s="471">
        <v>-5.8277140000000145</v>
      </c>
      <c r="BF65" s="471">
        <v>-5.2007729999999697</v>
      </c>
      <c r="BG65" s="471">
        <v>0</v>
      </c>
      <c r="BH65" s="471">
        <v>0</v>
      </c>
      <c r="BI65" s="471">
        <v>0</v>
      </c>
      <c r="BJ65" s="471">
        <v>0</v>
      </c>
      <c r="BK65" s="471">
        <v>0</v>
      </c>
      <c r="BL65" s="471">
        <v>-133.41875699999946</v>
      </c>
      <c r="BM65" s="471">
        <v>-126.60399900000084</v>
      </c>
      <c r="BN65" s="471">
        <v>-123.47408399999949</v>
      </c>
      <c r="BO65" s="471">
        <v>-132.30971600000339</v>
      </c>
      <c r="BP65" s="500">
        <v>-125.3293649999996</v>
      </c>
    </row>
    <row r="66" spans="2:68">
      <c r="B66" t="s">
        <v>562</v>
      </c>
      <c r="C66" t="s">
        <v>563</v>
      </c>
      <c r="D66" t="s">
        <v>537</v>
      </c>
      <c r="E66">
        <v>15</v>
      </c>
      <c r="F66" t="s">
        <v>538</v>
      </c>
      <c r="G66" t="s">
        <v>552</v>
      </c>
      <c r="H66" t="s">
        <v>562</v>
      </c>
      <c r="I66" s="499">
        <v>99.774435999999696</v>
      </c>
      <c r="J66" s="471">
        <v>95.913931000000048</v>
      </c>
      <c r="K66" s="471">
        <v>34.458823529412257</v>
      </c>
      <c r="L66" s="471">
        <v>111.13839699999971</v>
      </c>
      <c r="M66" s="471">
        <v>107.03618099999949</v>
      </c>
      <c r="N66" s="471">
        <v>38.405882352941262</v>
      </c>
      <c r="O66" s="471">
        <v>146.31946000000062</v>
      </c>
      <c r="P66" s="471">
        <v>133.2338720000007</v>
      </c>
      <c r="Q66" s="471">
        <v>50.929411764705947</v>
      </c>
      <c r="R66" s="471">
        <v>122.13406499999928</v>
      </c>
      <c r="S66" s="471">
        <v>113.55413399999998</v>
      </c>
      <c r="T66" s="471">
        <v>43.935294117646663</v>
      </c>
      <c r="U66" s="471">
        <v>171.56954299999961</v>
      </c>
      <c r="V66" s="471">
        <v>154.1585699999996</v>
      </c>
      <c r="W66" s="471">
        <v>60.458823529412257</v>
      </c>
      <c r="X66" s="471">
        <v>0</v>
      </c>
      <c r="Y66" s="471">
        <v>0</v>
      </c>
      <c r="Z66" s="471">
        <v>0</v>
      </c>
      <c r="AA66" s="471">
        <v>0</v>
      </c>
      <c r="AB66" s="471">
        <v>0</v>
      </c>
      <c r="AC66" s="471">
        <v>0</v>
      </c>
      <c r="AD66" s="471">
        <v>0</v>
      </c>
      <c r="AE66" s="471">
        <v>0</v>
      </c>
      <c r="AF66" s="471">
        <v>0</v>
      </c>
      <c r="AG66" s="471">
        <v>0</v>
      </c>
      <c r="AH66" s="471">
        <v>0</v>
      </c>
      <c r="AI66" s="471">
        <v>0</v>
      </c>
      <c r="AJ66" s="471">
        <v>0</v>
      </c>
      <c r="AK66" s="471">
        <v>0</v>
      </c>
      <c r="AL66" s="471">
        <v>0</v>
      </c>
      <c r="AM66" s="471">
        <v>1141.5463159999999</v>
      </c>
      <c r="AN66" s="471">
        <v>1155.2029560000046</v>
      </c>
      <c r="AO66" s="471">
        <v>502.1176470588216</v>
      </c>
      <c r="AP66" s="471">
        <v>1264.3257640000011</v>
      </c>
      <c r="AQ66" s="471">
        <v>1280.6498269999938</v>
      </c>
      <c r="AR66" s="471">
        <v>547.41176470588107</v>
      </c>
      <c r="AS66" s="471">
        <v>1776.6384869999893</v>
      </c>
      <c r="AT66" s="471">
        <v>1795.8625330000068</v>
      </c>
      <c r="AU66" s="471">
        <v>864.52941176470631</v>
      </c>
      <c r="AV66" s="471">
        <v>1385.4167949999974</v>
      </c>
      <c r="AW66" s="471">
        <v>1400.8119940000033</v>
      </c>
      <c r="AX66" s="471">
        <v>695.41176470588471</v>
      </c>
      <c r="AY66" s="471">
        <v>2090.2368629999983</v>
      </c>
      <c r="AZ66" s="471">
        <v>2113.06369000001</v>
      </c>
      <c r="BA66" s="500">
        <v>1070.9999999999927</v>
      </c>
      <c r="BB66" s="499">
        <v>-11.937734999999975</v>
      </c>
      <c r="BC66" s="471">
        <v>-10.382511000000022</v>
      </c>
      <c r="BD66" s="471">
        <v>-10.927391000000057</v>
      </c>
      <c r="BE66" s="471">
        <v>-12.01486900000009</v>
      </c>
      <c r="BF66" s="471">
        <v>-10.74778299999997</v>
      </c>
      <c r="BG66" s="471">
        <v>0</v>
      </c>
      <c r="BH66" s="471">
        <v>0</v>
      </c>
      <c r="BI66" s="471">
        <v>0</v>
      </c>
      <c r="BJ66" s="471">
        <v>0</v>
      </c>
      <c r="BK66" s="471">
        <v>0</v>
      </c>
      <c r="BL66" s="471">
        <v>-277.22893599999952</v>
      </c>
      <c r="BM66" s="471">
        <v>-263.18538900000021</v>
      </c>
      <c r="BN66" s="471">
        <v>-256.98303599999963</v>
      </c>
      <c r="BO66" s="471">
        <v>-275.90693900000042</v>
      </c>
      <c r="BP66" s="500">
        <v>-261.59810199999993</v>
      </c>
    </row>
    <row r="67" spans="2:68">
      <c r="B67" t="s">
        <v>565</v>
      </c>
      <c r="C67" t="s">
        <v>566</v>
      </c>
      <c r="D67" t="s">
        <v>537</v>
      </c>
      <c r="E67">
        <v>16</v>
      </c>
      <c r="F67" t="s">
        <v>538</v>
      </c>
      <c r="G67" t="s">
        <v>556</v>
      </c>
      <c r="H67" t="s">
        <v>565</v>
      </c>
      <c r="I67" s="499">
        <v>113.26630299999943</v>
      </c>
      <c r="J67" s="471">
        <v>108.91309199999978</v>
      </c>
      <c r="K67" s="471">
        <v>38.982352941176487</v>
      </c>
      <c r="L67" s="471">
        <v>126.19714199999999</v>
      </c>
      <c r="M67" s="471">
        <v>121.55025800000021</v>
      </c>
      <c r="N67" s="471">
        <v>43.876470588235406</v>
      </c>
      <c r="O67" s="471">
        <v>166.2047220000004</v>
      </c>
      <c r="P67" s="471">
        <v>151.3612720000001</v>
      </c>
      <c r="Q67" s="471">
        <v>57.399999999999636</v>
      </c>
      <c r="R67" s="471">
        <v>138.71290499999941</v>
      </c>
      <c r="S67" s="471">
        <v>128.98712499999965</v>
      </c>
      <c r="T67" s="471">
        <v>49.405882352941262</v>
      </c>
      <c r="U67" s="471">
        <v>194.87913799999842</v>
      </c>
      <c r="V67" s="471">
        <v>175.11542999999983</v>
      </c>
      <c r="W67" s="471">
        <v>69.405882352941262</v>
      </c>
      <c r="X67" s="471">
        <v>0</v>
      </c>
      <c r="Y67" s="471">
        <v>0</v>
      </c>
      <c r="Z67" s="471">
        <v>0</v>
      </c>
      <c r="AA67" s="471">
        <v>0</v>
      </c>
      <c r="AB67" s="471">
        <v>0</v>
      </c>
      <c r="AC67" s="471">
        <v>0</v>
      </c>
      <c r="AD67" s="471">
        <v>0</v>
      </c>
      <c r="AE67" s="471">
        <v>0</v>
      </c>
      <c r="AF67" s="471">
        <v>0</v>
      </c>
      <c r="AG67" s="471">
        <v>0</v>
      </c>
      <c r="AH67" s="471">
        <v>0</v>
      </c>
      <c r="AI67" s="471">
        <v>0</v>
      </c>
      <c r="AJ67" s="471">
        <v>0</v>
      </c>
      <c r="AK67" s="471">
        <v>0</v>
      </c>
      <c r="AL67" s="471">
        <v>0</v>
      </c>
      <c r="AM67" s="471">
        <v>1297.0472950000003</v>
      </c>
      <c r="AN67" s="471">
        <v>1312.5722540000024</v>
      </c>
      <c r="AO67" s="471">
        <v>570.82352941176214</v>
      </c>
      <c r="AP67" s="471">
        <v>1436.4705269999977</v>
      </c>
      <c r="AQ67" s="471">
        <v>1455.0187929999956</v>
      </c>
      <c r="AR67" s="471">
        <v>616.64705882353155</v>
      </c>
      <c r="AS67" s="471">
        <v>2020.4921659999964</v>
      </c>
      <c r="AT67" s="471">
        <v>2042.3745720000006</v>
      </c>
      <c r="AU67" s="471">
        <v>983.70588235294417</v>
      </c>
      <c r="AV67" s="471">
        <v>1575.3137669999996</v>
      </c>
      <c r="AW67" s="471">
        <v>1592.8368630000041</v>
      </c>
      <c r="AX67" s="471">
        <v>791.11764705882524</v>
      </c>
      <c r="AY67" s="471">
        <v>2377.4011499999906</v>
      </c>
      <c r="AZ67" s="471">
        <v>2403.3764450000017</v>
      </c>
      <c r="BA67" s="500">
        <v>1217.6470588235243</v>
      </c>
      <c r="BB67" s="499">
        <v>-13.582838999999922</v>
      </c>
      <c r="BC67" s="471">
        <v>-11.827598000000023</v>
      </c>
      <c r="BD67" s="471">
        <v>-12.438451999999984</v>
      </c>
      <c r="BE67" s="471">
        <v>-13.670041000000083</v>
      </c>
      <c r="BF67" s="471">
        <v>-12.234047999999973</v>
      </c>
      <c r="BG67" s="471">
        <v>0</v>
      </c>
      <c r="BH67" s="471">
        <v>0</v>
      </c>
      <c r="BI67" s="471">
        <v>0</v>
      </c>
      <c r="BJ67" s="471">
        <v>0</v>
      </c>
      <c r="BK67" s="471">
        <v>0</v>
      </c>
      <c r="BL67" s="471">
        <v>-316.04021599999942</v>
      </c>
      <c r="BM67" s="471">
        <v>-300.03923000000032</v>
      </c>
      <c r="BN67" s="471">
        <v>-293.15843300000051</v>
      </c>
      <c r="BO67" s="471">
        <v>-314.80357700000241</v>
      </c>
      <c r="BP67" s="500">
        <v>-298.49860199999966</v>
      </c>
    </row>
    <row r="68" spans="2:68">
      <c r="B68" t="s">
        <v>568</v>
      </c>
      <c r="C68" t="s">
        <v>569</v>
      </c>
      <c r="D68" t="s">
        <v>537</v>
      </c>
      <c r="E68">
        <v>17</v>
      </c>
      <c r="F68" t="s">
        <v>528</v>
      </c>
      <c r="G68" t="s">
        <v>552</v>
      </c>
      <c r="H68" t="s">
        <v>568</v>
      </c>
      <c r="I68" s="499">
        <v>1039.5202980000004</v>
      </c>
      <c r="J68" s="471">
        <v>986.17975899999965</v>
      </c>
      <c r="K68" s="471">
        <v>352.37058823529424</v>
      </c>
      <c r="L68" s="471">
        <v>1141.9862730000004</v>
      </c>
      <c r="M68" s="471">
        <v>1084.137428</v>
      </c>
      <c r="N68" s="471">
        <v>384.97058823529369</v>
      </c>
      <c r="O68" s="471">
        <v>1482.2927679999993</v>
      </c>
      <c r="P68" s="471">
        <v>1334.0678630000002</v>
      </c>
      <c r="Q68" s="471">
        <v>508.58235294117731</v>
      </c>
      <c r="R68" s="471">
        <v>1234.4046759999992</v>
      </c>
      <c r="S68" s="471">
        <v>1133.1073139999999</v>
      </c>
      <c r="T68" s="471">
        <v>436.01764705882306</v>
      </c>
      <c r="U68" s="471">
        <v>1728.8708150000002</v>
      </c>
      <c r="V68" s="471">
        <v>1537.7360750000007</v>
      </c>
      <c r="W68" s="471">
        <v>614.64117647058902</v>
      </c>
      <c r="X68" s="471">
        <v>0</v>
      </c>
      <c r="Y68" s="471">
        <v>0</v>
      </c>
      <c r="Z68" s="471">
        <v>0</v>
      </c>
      <c r="AA68" s="471">
        <v>0</v>
      </c>
      <c r="AB68" s="471">
        <v>0</v>
      </c>
      <c r="AC68" s="471">
        <v>0</v>
      </c>
      <c r="AD68" s="471">
        <v>0</v>
      </c>
      <c r="AE68" s="471">
        <v>0</v>
      </c>
      <c r="AF68" s="471">
        <v>0</v>
      </c>
      <c r="AG68" s="471">
        <v>0</v>
      </c>
      <c r="AH68" s="471">
        <v>0</v>
      </c>
      <c r="AI68" s="471">
        <v>0</v>
      </c>
      <c r="AJ68" s="471">
        <v>0</v>
      </c>
      <c r="AK68" s="471">
        <v>0</v>
      </c>
      <c r="AL68" s="471">
        <v>0</v>
      </c>
      <c r="AM68" s="471">
        <v>11143.851876999997</v>
      </c>
      <c r="AN68" s="471">
        <v>11272.607927000001</v>
      </c>
      <c r="AO68" s="471">
        <v>4766.3882352941182</v>
      </c>
      <c r="AP68" s="471">
        <v>12276.705247000005</v>
      </c>
      <c r="AQ68" s="471">
        <v>12430.469114</v>
      </c>
      <c r="AR68" s="471">
        <v>5181.3882352941146</v>
      </c>
      <c r="AS68" s="471">
        <v>16555.204979999995</v>
      </c>
      <c r="AT68" s="471">
        <v>16728.176852000004</v>
      </c>
      <c r="AU68" s="471">
        <v>7957.117647058818</v>
      </c>
      <c r="AV68" s="471">
        <v>12902.378962000003</v>
      </c>
      <c r="AW68" s="471">
        <v>13037.627096000004</v>
      </c>
      <c r="AX68" s="471">
        <v>6438.2941176470595</v>
      </c>
      <c r="AY68" s="471">
        <v>19249.587528000004</v>
      </c>
      <c r="AZ68" s="471">
        <v>19450.842667000004</v>
      </c>
      <c r="BA68" s="500">
        <v>9955.0294117647209</v>
      </c>
      <c r="BB68" s="499">
        <v>-105.86534900000004</v>
      </c>
      <c r="BC68" s="471">
        <v>-88.076616000000001</v>
      </c>
      <c r="BD68" s="471">
        <v>-96.700530000000072</v>
      </c>
      <c r="BE68" s="471">
        <v>-107.43763100000001</v>
      </c>
      <c r="BF68" s="471">
        <v>-90.73534699999999</v>
      </c>
      <c r="BG68" s="471">
        <v>0</v>
      </c>
      <c r="BH68" s="471">
        <v>0</v>
      </c>
      <c r="BI68" s="471">
        <v>0</v>
      </c>
      <c r="BJ68" s="471">
        <v>0</v>
      </c>
      <c r="BK68" s="471">
        <v>0</v>
      </c>
      <c r="BL68" s="471">
        <v>-2252.2070550000008</v>
      </c>
      <c r="BM68" s="471">
        <v>-2113.1333249999998</v>
      </c>
      <c r="BN68" s="471">
        <v>-1999.6382819999999</v>
      </c>
      <c r="BO68" s="471">
        <v>-2132.434444999999</v>
      </c>
      <c r="BP68" s="500">
        <v>-1977.6253710000001</v>
      </c>
    </row>
    <row r="69" spans="2:68">
      <c r="B69" t="s">
        <v>570</v>
      </c>
      <c r="C69" t="s">
        <v>571</v>
      </c>
      <c r="D69" t="s">
        <v>537</v>
      </c>
      <c r="E69">
        <v>18</v>
      </c>
      <c r="F69" t="s">
        <v>527</v>
      </c>
      <c r="G69" t="s">
        <v>538</v>
      </c>
      <c r="H69" t="s">
        <v>570</v>
      </c>
      <c r="I69" s="499">
        <v>344.15628200000083</v>
      </c>
      <c r="J69" s="471">
        <v>328.64759200000026</v>
      </c>
      <c r="K69" s="471">
        <v>118.74117647058802</v>
      </c>
      <c r="L69" s="471">
        <v>379.27213400000073</v>
      </c>
      <c r="M69" s="471">
        <v>362.71424399999978</v>
      </c>
      <c r="N69" s="471">
        <v>128.88235294117612</v>
      </c>
      <c r="O69" s="471">
        <v>495.65746199999921</v>
      </c>
      <c r="P69" s="471">
        <v>448.61850499999855</v>
      </c>
      <c r="Q69" s="471">
        <v>171.6352941176483</v>
      </c>
      <c r="R69" s="471">
        <v>414.2283980000002</v>
      </c>
      <c r="S69" s="471">
        <v>382.70253099999991</v>
      </c>
      <c r="T69" s="471">
        <v>147.63529411764739</v>
      </c>
      <c r="U69" s="471">
        <v>581.3241160000016</v>
      </c>
      <c r="V69" s="471">
        <v>519.81327700000111</v>
      </c>
      <c r="W69" s="471">
        <v>207.58823529411711</v>
      </c>
      <c r="X69" s="471">
        <v>0</v>
      </c>
      <c r="Y69" s="471">
        <v>0</v>
      </c>
      <c r="Z69" s="471">
        <v>0</v>
      </c>
      <c r="AA69" s="471">
        <v>0</v>
      </c>
      <c r="AB69" s="471">
        <v>0</v>
      </c>
      <c r="AC69" s="471">
        <v>0</v>
      </c>
      <c r="AD69" s="471">
        <v>0</v>
      </c>
      <c r="AE69" s="471">
        <v>0</v>
      </c>
      <c r="AF69" s="471">
        <v>0</v>
      </c>
      <c r="AG69" s="471">
        <v>0</v>
      </c>
      <c r="AH69" s="471">
        <v>0</v>
      </c>
      <c r="AI69" s="471">
        <v>0</v>
      </c>
      <c r="AJ69" s="471">
        <v>0</v>
      </c>
      <c r="AK69" s="471">
        <v>0</v>
      </c>
      <c r="AL69" s="471">
        <v>0</v>
      </c>
      <c r="AM69" s="471">
        <v>3816.8995440000035</v>
      </c>
      <c r="AN69" s="471">
        <v>3861.8347739999954</v>
      </c>
      <c r="AO69" s="471">
        <v>1650.7470588235301</v>
      </c>
      <c r="AP69" s="471">
        <v>4224.799205000003</v>
      </c>
      <c r="AQ69" s="471">
        <v>4278.7052290000065</v>
      </c>
      <c r="AR69" s="471">
        <v>1798.2294117647034</v>
      </c>
      <c r="AS69" s="471">
        <v>5795.6365520000109</v>
      </c>
      <c r="AT69" s="471">
        <v>5857.4134139999951</v>
      </c>
      <c r="AU69" s="471">
        <v>2781.6470588235243</v>
      </c>
      <c r="AV69" s="471">
        <v>4509.9394880000036</v>
      </c>
      <c r="AW69" s="471">
        <v>4558.9413869999989</v>
      </c>
      <c r="AX69" s="471">
        <v>2264.2352941176432</v>
      </c>
      <c r="AY69" s="471">
        <v>6776.4762940000073</v>
      </c>
      <c r="AZ69" s="471">
        <v>6848.6024319999997</v>
      </c>
      <c r="BA69" s="500">
        <v>3487.9941176470602</v>
      </c>
      <c r="BB69" s="499">
        <v>-37.747064000000023</v>
      </c>
      <c r="BC69" s="471">
        <v>-32.334803000000022</v>
      </c>
      <c r="BD69" s="471">
        <v>-34.832965999999942</v>
      </c>
      <c r="BE69" s="471">
        <v>-38.461764999999787</v>
      </c>
      <c r="BF69" s="471">
        <v>-33.810053000000039</v>
      </c>
      <c r="BG69" s="471">
        <v>0</v>
      </c>
      <c r="BH69" s="471">
        <v>0</v>
      </c>
      <c r="BI69" s="471">
        <v>0</v>
      </c>
      <c r="BJ69" s="471">
        <v>0</v>
      </c>
      <c r="BK69" s="471">
        <v>0</v>
      </c>
      <c r="BL69" s="471">
        <v>-839.25357500000064</v>
      </c>
      <c r="BM69" s="471">
        <v>-792.68319900000006</v>
      </c>
      <c r="BN69" s="471">
        <v>-762.50582799999938</v>
      </c>
      <c r="BO69" s="471">
        <v>-813.16389399999753</v>
      </c>
      <c r="BP69" s="500">
        <v>-764.25607400000081</v>
      </c>
    </row>
    <row r="70" spans="2:68">
      <c r="B70" t="s">
        <v>573</v>
      </c>
      <c r="C70" t="s">
        <v>574</v>
      </c>
      <c r="D70" t="s">
        <v>540</v>
      </c>
      <c r="E70">
        <v>10</v>
      </c>
      <c r="F70" t="s">
        <v>527</v>
      </c>
      <c r="G70" t="s">
        <v>538</v>
      </c>
      <c r="H70" t="s">
        <v>573</v>
      </c>
      <c r="I70" s="499">
        <v>210.53935600000023</v>
      </c>
      <c r="J70" s="471">
        <v>223.86051800000041</v>
      </c>
      <c r="K70" s="471">
        <v>86.388235294117749</v>
      </c>
      <c r="L70" s="471">
        <v>247.12035999999989</v>
      </c>
      <c r="M70" s="471">
        <v>262.59887600000002</v>
      </c>
      <c r="N70" s="471">
        <v>99.429411764705947</v>
      </c>
      <c r="O70" s="471">
        <v>216.12529100000029</v>
      </c>
      <c r="P70" s="471">
        <v>232.13552900000104</v>
      </c>
      <c r="Q70" s="471">
        <v>101.86470588235352</v>
      </c>
      <c r="R70" s="471">
        <v>189.99142099999972</v>
      </c>
      <c r="S70" s="471">
        <v>203.75223300000016</v>
      </c>
      <c r="T70" s="471">
        <v>92.34117647058838</v>
      </c>
      <c r="U70" s="471">
        <v>181.3691230000004</v>
      </c>
      <c r="V70" s="471">
        <v>198.70169899999928</v>
      </c>
      <c r="W70" s="471">
        <v>91.294117647059466</v>
      </c>
      <c r="X70" s="471">
        <v>235.94510199999968</v>
      </c>
      <c r="Y70" s="471">
        <v>243.400216</v>
      </c>
      <c r="Z70" s="471">
        <v>77.058823529411711</v>
      </c>
      <c r="AA70" s="471">
        <v>287.99565999999959</v>
      </c>
      <c r="AB70" s="471">
        <v>297.05060100000082</v>
      </c>
      <c r="AC70" s="471">
        <v>92.000000000000455</v>
      </c>
      <c r="AD70" s="471">
        <v>263.51834100000087</v>
      </c>
      <c r="AE70" s="471">
        <v>272.59751200000028</v>
      </c>
      <c r="AF70" s="471">
        <v>67.905882352941262</v>
      </c>
      <c r="AG70" s="471">
        <v>211.49485199999981</v>
      </c>
      <c r="AH70" s="471">
        <v>220.08237800000006</v>
      </c>
      <c r="AI70" s="471">
        <v>63.28823529411784</v>
      </c>
      <c r="AJ70" s="471">
        <v>212.44519600000058</v>
      </c>
      <c r="AK70" s="471">
        <v>222.32518899999923</v>
      </c>
      <c r="AL70" s="471">
        <v>25.276470588234588</v>
      </c>
      <c r="AM70" s="471">
        <v>3456.2225269999981</v>
      </c>
      <c r="AN70" s="471">
        <v>3496.3388180000038</v>
      </c>
      <c r="AO70" s="471">
        <v>1394.2764705882364</v>
      </c>
      <c r="AP70" s="471">
        <v>4093.1330649999945</v>
      </c>
      <c r="AQ70" s="471">
        <v>4143.8022229999988</v>
      </c>
      <c r="AR70" s="471">
        <v>1605.5764705882393</v>
      </c>
      <c r="AS70" s="471">
        <v>4222.3863049999927</v>
      </c>
      <c r="AT70" s="471">
        <v>4272.3804839999939</v>
      </c>
      <c r="AU70" s="471">
        <v>1847.2352941176432</v>
      </c>
      <c r="AV70" s="471">
        <v>3398.4500340000013</v>
      </c>
      <c r="AW70" s="471">
        <v>3439.0847480000011</v>
      </c>
      <c r="AX70" s="471">
        <v>1620.3529411764757</v>
      </c>
      <c r="AY70" s="471">
        <v>3880.4841370000067</v>
      </c>
      <c r="AZ70" s="471">
        <v>3936.2033630000078</v>
      </c>
      <c r="BA70" s="500">
        <v>1795.1705882352981</v>
      </c>
      <c r="BB70" s="499">
        <v>50.338484999999991</v>
      </c>
      <c r="BC70" s="471">
        <v>35.097972999999968</v>
      </c>
      <c r="BD70" s="471">
        <v>58.256763999999976</v>
      </c>
      <c r="BE70" s="471">
        <v>88.281601999999793</v>
      </c>
      <c r="BF70" s="471">
        <v>51.637042999999949</v>
      </c>
      <c r="BG70" s="471">
        <v>41.433209000000033</v>
      </c>
      <c r="BH70" s="471">
        <v>31.035618999999997</v>
      </c>
      <c r="BI70" s="471">
        <v>47.726496999999995</v>
      </c>
      <c r="BJ70" s="471">
        <v>66.985463999999865</v>
      </c>
      <c r="BK70" s="471">
        <v>45.232731000000001</v>
      </c>
      <c r="BL70" s="471">
        <v>631.75689599999896</v>
      </c>
      <c r="BM70" s="471">
        <v>385.35170199999993</v>
      </c>
      <c r="BN70" s="471">
        <v>818.02819600000112</v>
      </c>
      <c r="BO70" s="471">
        <v>1304.4653519999993</v>
      </c>
      <c r="BP70" s="500">
        <v>722.47519400000056</v>
      </c>
    </row>
    <row r="71" spans="2:68">
      <c r="B71" t="s">
        <v>576</v>
      </c>
      <c r="C71" t="s">
        <v>577</v>
      </c>
      <c r="D71" t="s">
        <v>540</v>
      </c>
      <c r="E71">
        <v>11</v>
      </c>
      <c r="F71" t="s">
        <v>527</v>
      </c>
      <c r="G71" t="s">
        <v>556</v>
      </c>
      <c r="H71" t="s">
        <v>576</v>
      </c>
      <c r="I71" s="499">
        <v>287.08814100000018</v>
      </c>
      <c r="J71" s="471">
        <v>305.27506699999958</v>
      </c>
      <c r="K71" s="471">
        <v>117.85294117647118</v>
      </c>
      <c r="L71" s="471">
        <v>337.37502199999926</v>
      </c>
      <c r="M71" s="471">
        <v>358.53197600000021</v>
      </c>
      <c r="N71" s="471">
        <v>134.41176470588198</v>
      </c>
      <c r="O71" s="471">
        <v>295.34081900000092</v>
      </c>
      <c r="P71" s="471">
        <v>317.21883700000035</v>
      </c>
      <c r="Q71" s="471">
        <v>139.2764705882355</v>
      </c>
      <c r="R71" s="471">
        <v>259.35940099999971</v>
      </c>
      <c r="S71" s="471">
        <v>278.14102999999977</v>
      </c>
      <c r="T71" s="471">
        <v>126.22941176470613</v>
      </c>
      <c r="U71" s="471">
        <v>248.04293700000017</v>
      </c>
      <c r="V71" s="471">
        <v>271.71627199999966</v>
      </c>
      <c r="W71" s="471">
        <v>123.33529411764721</v>
      </c>
      <c r="X71" s="471">
        <v>322.17263800000001</v>
      </c>
      <c r="Y71" s="471">
        <v>332.36288500000046</v>
      </c>
      <c r="Z71" s="471">
        <v>105.51764705882351</v>
      </c>
      <c r="AA71" s="471">
        <v>393.22432599999956</v>
      </c>
      <c r="AB71" s="471">
        <v>405.63183900000058</v>
      </c>
      <c r="AC71" s="471">
        <v>125.98235294117649</v>
      </c>
      <c r="AD71" s="471">
        <v>360.29044700000122</v>
      </c>
      <c r="AE71" s="471">
        <v>372.53099699999984</v>
      </c>
      <c r="AF71" s="471">
        <v>93.311764705882524</v>
      </c>
      <c r="AG71" s="471">
        <v>288.62860699999965</v>
      </c>
      <c r="AH71" s="471">
        <v>300.20622100000037</v>
      </c>
      <c r="AI71" s="471">
        <v>86.700000000000728</v>
      </c>
      <c r="AJ71" s="471">
        <v>290.51658800000041</v>
      </c>
      <c r="AK71" s="471">
        <v>303.71367699999973</v>
      </c>
      <c r="AL71" s="471">
        <v>38.21176470588216</v>
      </c>
      <c r="AM71" s="471">
        <v>4687.7040249999955</v>
      </c>
      <c r="AN71" s="471">
        <v>4742.3583330000001</v>
      </c>
      <c r="AO71" s="471">
        <v>1898.3411764705888</v>
      </c>
      <c r="AP71" s="471">
        <v>5553.6510710000002</v>
      </c>
      <c r="AQ71" s="471">
        <v>5622.7807510000057</v>
      </c>
      <c r="AR71" s="471">
        <v>2186.4000000000015</v>
      </c>
      <c r="AS71" s="471">
        <v>5745.4367139999958</v>
      </c>
      <c r="AT71" s="471">
        <v>5813.848152999999</v>
      </c>
      <c r="AU71" s="471">
        <v>2519.1176470588252</v>
      </c>
      <c r="AV71" s="471">
        <v>4625.2225280000057</v>
      </c>
      <c r="AW71" s="471">
        <v>4680.7903200000001</v>
      </c>
      <c r="AX71" s="471">
        <v>2204</v>
      </c>
      <c r="AY71" s="471">
        <v>5294.984117</v>
      </c>
      <c r="AZ71" s="471">
        <v>5371.4790430000139</v>
      </c>
      <c r="BA71" s="500">
        <v>2447.6999999999971</v>
      </c>
      <c r="BB71" s="499">
        <v>68.889952999999991</v>
      </c>
      <c r="BC71" s="471">
        <v>47.919594999999958</v>
      </c>
      <c r="BD71" s="471">
        <v>79.834565999999995</v>
      </c>
      <c r="BE71" s="471">
        <v>121.062682</v>
      </c>
      <c r="BF71" s="471">
        <v>70.662232999999958</v>
      </c>
      <c r="BG71" s="471">
        <v>56.91565700000001</v>
      </c>
      <c r="BH71" s="471">
        <v>42.397168000000022</v>
      </c>
      <c r="BI71" s="471">
        <v>65.591123000000039</v>
      </c>
      <c r="BJ71" s="471">
        <v>92.204267999999956</v>
      </c>
      <c r="BK71" s="471">
        <v>61.926046999999983</v>
      </c>
      <c r="BL71" s="471">
        <v>862.89313399999992</v>
      </c>
      <c r="BM71" s="471">
        <v>521.59326599999986</v>
      </c>
      <c r="BN71" s="471">
        <v>1120.2044590000005</v>
      </c>
      <c r="BO71" s="471">
        <v>1788.7470379999977</v>
      </c>
      <c r="BP71" s="500">
        <v>988.41560500000014</v>
      </c>
    </row>
    <row r="72" spans="2:68">
      <c r="B72" t="s">
        <v>579</v>
      </c>
      <c r="C72" t="s">
        <v>580</v>
      </c>
      <c r="D72" t="s">
        <v>540</v>
      </c>
      <c r="E72">
        <v>12</v>
      </c>
      <c r="F72" t="s">
        <v>527</v>
      </c>
      <c r="G72" t="s">
        <v>581</v>
      </c>
      <c r="H72" t="s">
        <v>579</v>
      </c>
      <c r="I72" s="499">
        <v>304.86976899999991</v>
      </c>
      <c r="J72" s="471">
        <v>324.17868699999963</v>
      </c>
      <c r="K72" s="471">
        <v>124.42352941176478</v>
      </c>
      <c r="L72" s="471">
        <v>358.35931100000016</v>
      </c>
      <c r="M72" s="471">
        <v>380.83951500000057</v>
      </c>
      <c r="N72" s="471">
        <v>142.88235294117612</v>
      </c>
      <c r="O72" s="471">
        <v>313.79100900000049</v>
      </c>
      <c r="P72" s="471">
        <v>337.03642000000036</v>
      </c>
      <c r="Q72" s="471">
        <v>147.84705882352955</v>
      </c>
      <c r="R72" s="471">
        <v>275.47596799999974</v>
      </c>
      <c r="S72" s="471">
        <v>295.43532400000004</v>
      </c>
      <c r="T72" s="471">
        <v>134.2764705882355</v>
      </c>
      <c r="U72" s="471">
        <v>263.56949800000075</v>
      </c>
      <c r="V72" s="471">
        <v>288.71473499999956</v>
      </c>
      <c r="W72" s="471">
        <v>131.80588235294181</v>
      </c>
      <c r="X72" s="471">
        <v>342.24643399999968</v>
      </c>
      <c r="Y72" s="471">
        <v>353.07686000000012</v>
      </c>
      <c r="Z72" s="471">
        <v>111.98823529411766</v>
      </c>
      <c r="AA72" s="471">
        <v>417.69906499999979</v>
      </c>
      <c r="AB72" s="471">
        <v>430.89159199999995</v>
      </c>
      <c r="AC72" s="471">
        <v>133.55294117647054</v>
      </c>
      <c r="AD72" s="471">
        <v>382.84101800000099</v>
      </c>
      <c r="AE72" s="471">
        <v>395.80926999999974</v>
      </c>
      <c r="AF72" s="471">
        <v>98.782352941176214</v>
      </c>
      <c r="AG72" s="471">
        <v>306.56489199999942</v>
      </c>
      <c r="AH72" s="471">
        <v>318.83012899999994</v>
      </c>
      <c r="AI72" s="471">
        <v>92.223529411764957</v>
      </c>
      <c r="AJ72" s="471">
        <v>308.69684899999993</v>
      </c>
      <c r="AK72" s="471">
        <v>322.64714300000014</v>
      </c>
      <c r="AL72" s="471">
        <v>40.68235294117585</v>
      </c>
      <c r="AM72" s="471">
        <v>4972.0288029999974</v>
      </c>
      <c r="AN72" s="471">
        <v>5030.0568490000005</v>
      </c>
      <c r="AO72" s="471">
        <v>2014.876470588235</v>
      </c>
      <c r="AP72" s="471">
        <v>5889.5887210000001</v>
      </c>
      <c r="AQ72" s="471">
        <v>5963.0029760000034</v>
      </c>
      <c r="AR72" s="471">
        <v>2317.8705882352951</v>
      </c>
      <c r="AS72" s="471">
        <v>6098.7199980000005</v>
      </c>
      <c r="AT72" s="471">
        <v>6171.426919000005</v>
      </c>
      <c r="AU72" s="471">
        <v>2675.6470588235243</v>
      </c>
      <c r="AV72" s="471">
        <v>4908.7498130000022</v>
      </c>
      <c r="AW72" s="471">
        <v>4967.8037160000022</v>
      </c>
      <c r="AX72" s="471">
        <v>2339.5882352941189</v>
      </c>
      <c r="AY72" s="471">
        <v>5623.5602820000058</v>
      </c>
      <c r="AZ72" s="471">
        <v>5704.9158240000106</v>
      </c>
      <c r="BA72" s="500">
        <v>2599.2294117647107</v>
      </c>
      <c r="BB72" s="499">
        <v>73.227100999999948</v>
      </c>
      <c r="BC72" s="471">
        <v>50.906536999999958</v>
      </c>
      <c r="BD72" s="471">
        <v>84.888403000000039</v>
      </c>
      <c r="BE72" s="471">
        <v>128.74774699999989</v>
      </c>
      <c r="BF72" s="471">
        <v>75.112704999999949</v>
      </c>
      <c r="BG72" s="471">
        <v>60.545064000000025</v>
      </c>
      <c r="BH72" s="471">
        <v>45.064945000000023</v>
      </c>
      <c r="BI72" s="471">
        <v>69.788853000000017</v>
      </c>
      <c r="BJ72" s="471">
        <v>98.146082999999862</v>
      </c>
      <c r="BK72" s="471">
        <v>65.845342000000016</v>
      </c>
      <c r="BL72" s="471">
        <v>916.70766299999923</v>
      </c>
      <c r="BM72" s="471">
        <v>553.02125599999999</v>
      </c>
      <c r="BN72" s="471">
        <v>1190.981412000001</v>
      </c>
      <c r="BO72" s="471">
        <v>1902.2374459999992</v>
      </c>
      <c r="BP72" s="500">
        <v>1050.604757000001</v>
      </c>
    </row>
    <row r="73" spans="2:68">
      <c r="B73" t="s">
        <v>583</v>
      </c>
      <c r="C73" t="s">
        <v>584</v>
      </c>
      <c r="D73" t="s">
        <v>540</v>
      </c>
      <c r="E73">
        <v>13</v>
      </c>
      <c r="F73" t="s">
        <v>552</v>
      </c>
      <c r="G73" t="s">
        <v>556</v>
      </c>
      <c r="H73" t="s">
        <v>583</v>
      </c>
      <c r="I73" s="499">
        <v>21.098473000000013</v>
      </c>
      <c r="J73" s="471">
        <v>22.437509999999747</v>
      </c>
      <c r="K73" s="471">
        <v>9</v>
      </c>
      <c r="L73" s="471">
        <v>24.896055999999589</v>
      </c>
      <c r="M73" s="471">
        <v>26.455054000000018</v>
      </c>
      <c r="N73" s="471">
        <v>9.5176470588235134</v>
      </c>
      <c r="O73" s="471">
        <v>21.864299999999275</v>
      </c>
      <c r="P73" s="471">
        <v>23.48371699999916</v>
      </c>
      <c r="Q73" s="471">
        <v>10.42352941176523</v>
      </c>
      <c r="R73" s="471">
        <v>19.108893999999964</v>
      </c>
      <c r="S73" s="471">
        <v>20.495401999999558</v>
      </c>
      <c r="T73" s="471">
        <v>9.4235294117652302</v>
      </c>
      <c r="U73" s="471">
        <v>18.40081999999893</v>
      </c>
      <c r="V73" s="471">
        <v>20.150601999999708</v>
      </c>
      <c r="W73" s="471">
        <v>9</v>
      </c>
      <c r="X73" s="471">
        <v>23.788650999999845</v>
      </c>
      <c r="Y73" s="471">
        <v>24.545344000000114</v>
      </c>
      <c r="Z73" s="471">
        <v>7.5235294117646845</v>
      </c>
      <c r="AA73" s="471">
        <v>29.024352999999792</v>
      </c>
      <c r="AB73" s="471">
        <v>29.952481000000262</v>
      </c>
      <c r="AC73" s="471">
        <v>9.4705882352936896</v>
      </c>
      <c r="AD73" s="471">
        <v>26.713788000000932</v>
      </c>
      <c r="AE73" s="471">
        <v>27.579691999999341</v>
      </c>
      <c r="AF73" s="471">
        <v>7.4705882352945991</v>
      </c>
      <c r="AG73" s="471">
        <v>21.271090999999615</v>
      </c>
      <c r="AH73" s="471">
        <v>22.089606000000458</v>
      </c>
      <c r="AI73" s="471">
        <v>6.4235294117652302</v>
      </c>
      <c r="AJ73" s="471">
        <v>21.551267000000735</v>
      </c>
      <c r="AK73" s="471">
        <v>22.452554999999847</v>
      </c>
      <c r="AL73" s="471">
        <v>2.5235294117646845</v>
      </c>
      <c r="AM73" s="471">
        <v>338.3184540000002</v>
      </c>
      <c r="AN73" s="471">
        <v>342.32225399999879</v>
      </c>
      <c r="AO73" s="471">
        <v>138.94705882353082</v>
      </c>
      <c r="AP73" s="471">
        <v>400.50616200000513</v>
      </c>
      <c r="AQ73" s="471">
        <v>405.59191000000283</v>
      </c>
      <c r="AR73" s="471">
        <v>161.41176470588107</v>
      </c>
      <c r="AS73" s="471">
        <v>419.46977700000571</v>
      </c>
      <c r="AT73" s="471">
        <v>424.56126899999799</v>
      </c>
      <c r="AU73" s="471">
        <v>185.41176470588834</v>
      </c>
      <c r="AV73" s="471">
        <v>336.80643899999995</v>
      </c>
      <c r="AW73" s="471">
        <v>340.92502899999818</v>
      </c>
      <c r="AX73" s="471">
        <v>160.47058823529369</v>
      </c>
      <c r="AY73" s="471">
        <v>389.82893899999908</v>
      </c>
      <c r="AZ73" s="471">
        <v>395.58309900001041</v>
      </c>
      <c r="BA73" s="500">
        <v>179.94117647058738</v>
      </c>
      <c r="BB73" s="499">
        <v>5.1302140000000236</v>
      </c>
      <c r="BC73" s="471">
        <v>3.5420379999999909</v>
      </c>
      <c r="BD73" s="471">
        <v>5.9720820000000003</v>
      </c>
      <c r="BE73" s="471">
        <v>9.0753300000001218</v>
      </c>
      <c r="BF73" s="471">
        <v>5.2647620000000188</v>
      </c>
      <c r="BG73" s="471">
        <v>4.2872559999999567</v>
      </c>
      <c r="BH73" s="471">
        <v>3.1456739999999854</v>
      </c>
      <c r="BI73" s="471">
        <v>4.9575939999999719</v>
      </c>
      <c r="BJ73" s="471">
        <v>7.0018690000001698</v>
      </c>
      <c r="BK73" s="471">
        <v>4.6300439999999981</v>
      </c>
      <c r="BL73" s="471">
        <v>63.765547000000879</v>
      </c>
      <c r="BM73" s="471">
        <v>37.41954799999985</v>
      </c>
      <c r="BN73" s="471">
        <v>83.631386999999449</v>
      </c>
      <c r="BO73" s="471">
        <v>134.12303999999858</v>
      </c>
      <c r="BP73" s="500">
        <v>73.58173799999895</v>
      </c>
    </row>
    <row r="74" spans="2:68">
      <c r="B74" t="s">
        <v>586</v>
      </c>
      <c r="C74" t="s">
        <v>587</v>
      </c>
      <c r="D74" t="s">
        <v>540</v>
      </c>
      <c r="E74">
        <v>14</v>
      </c>
      <c r="F74" t="s">
        <v>552</v>
      </c>
      <c r="G74" t="s">
        <v>581</v>
      </c>
      <c r="H74" t="s">
        <v>586</v>
      </c>
      <c r="I74" s="499">
        <v>38.88010099999974</v>
      </c>
      <c r="J74" s="471">
        <v>41.341129999999794</v>
      </c>
      <c r="K74" s="471">
        <v>15.570588235293599</v>
      </c>
      <c r="L74" s="471">
        <v>45.880345000000489</v>
      </c>
      <c r="M74" s="471">
        <v>48.762593000000379</v>
      </c>
      <c r="N74" s="471">
        <v>17.988235294117658</v>
      </c>
      <c r="O74" s="471">
        <v>40.314489999998841</v>
      </c>
      <c r="P74" s="471">
        <v>43.301299999999173</v>
      </c>
      <c r="Q74" s="471">
        <v>18.994117647059284</v>
      </c>
      <c r="R74" s="471">
        <v>35.225460999999996</v>
      </c>
      <c r="S74" s="471">
        <v>37.789695999999822</v>
      </c>
      <c r="T74" s="471">
        <v>17.470588235294599</v>
      </c>
      <c r="U74" s="471">
        <v>33.927380999999514</v>
      </c>
      <c r="V74" s="471">
        <v>37.149064999999609</v>
      </c>
      <c r="W74" s="471">
        <v>17.470588235294599</v>
      </c>
      <c r="X74" s="471">
        <v>43.86244699999952</v>
      </c>
      <c r="Y74" s="471">
        <v>45.259318999999778</v>
      </c>
      <c r="Z74" s="471">
        <v>13.994117647058829</v>
      </c>
      <c r="AA74" s="471">
        <v>53.499092000000019</v>
      </c>
      <c r="AB74" s="471">
        <v>55.212233999999626</v>
      </c>
      <c r="AC74" s="471">
        <v>17.041176470587743</v>
      </c>
      <c r="AD74" s="471">
        <v>49.264359000000695</v>
      </c>
      <c r="AE74" s="471">
        <v>50.85796499999924</v>
      </c>
      <c r="AF74" s="471">
        <v>12.941176470588289</v>
      </c>
      <c r="AG74" s="471">
        <v>39.207375999999385</v>
      </c>
      <c r="AH74" s="471">
        <v>40.713514000000032</v>
      </c>
      <c r="AI74" s="471">
        <v>11.94705882352946</v>
      </c>
      <c r="AJ74" s="471">
        <v>39.731528000000253</v>
      </c>
      <c r="AK74" s="471">
        <v>41.386021000000255</v>
      </c>
      <c r="AL74" s="471">
        <v>4.9941176470583741</v>
      </c>
      <c r="AM74" s="471">
        <v>622.64323200000217</v>
      </c>
      <c r="AN74" s="471">
        <v>630.02076999999917</v>
      </c>
      <c r="AO74" s="471">
        <v>255.48235294117694</v>
      </c>
      <c r="AP74" s="471">
        <v>736.44381200000498</v>
      </c>
      <c r="AQ74" s="471">
        <v>745.81413500000053</v>
      </c>
      <c r="AR74" s="471">
        <v>292.88235294117476</v>
      </c>
      <c r="AS74" s="471">
        <v>772.75306100001035</v>
      </c>
      <c r="AT74" s="471">
        <v>782.14003500000399</v>
      </c>
      <c r="AU74" s="471">
        <v>341.94117647058738</v>
      </c>
      <c r="AV74" s="471">
        <v>620.33372399999644</v>
      </c>
      <c r="AW74" s="471">
        <v>627.93842500000028</v>
      </c>
      <c r="AX74" s="471">
        <v>296.05882352941262</v>
      </c>
      <c r="AY74" s="471">
        <v>718.40510400000494</v>
      </c>
      <c r="AZ74" s="471">
        <v>729.01988000000711</v>
      </c>
      <c r="BA74" s="500">
        <v>331.47058823530097</v>
      </c>
      <c r="BB74" s="499">
        <v>9.4673619999999801</v>
      </c>
      <c r="BC74" s="471">
        <v>6.52897999999999</v>
      </c>
      <c r="BD74" s="471">
        <v>11.025919000000044</v>
      </c>
      <c r="BE74" s="471">
        <v>16.760395000000017</v>
      </c>
      <c r="BF74" s="471">
        <v>9.7152340000000095</v>
      </c>
      <c r="BG74" s="471">
        <v>7.9166629999999714</v>
      </c>
      <c r="BH74" s="471">
        <v>5.8134509999999864</v>
      </c>
      <c r="BI74" s="471">
        <v>9.1553239999999505</v>
      </c>
      <c r="BJ74" s="471">
        <v>12.943684000000076</v>
      </c>
      <c r="BK74" s="471">
        <v>8.5493390000000318</v>
      </c>
      <c r="BL74" s="471">
        <v>117.58007600000019</v>
      </c>
      <c r="BM74" s="471">
        <v>68.847537999999986</v>
      </c>
      <c r="BN74" s="471">
        <v>154.40833999999995</v>
      </c>
      <c r="BO74" s="471">
        <v>247.61344800000006</v>
      </c>
      <c r="BP74" s="500">
        <v>135.77088999999978</v>
      </c>
    </row>
    <row r="75" spans="2:68">
      <c r="B75" t="s">
        <v>589</v>
      </c>
      <c r="C75" t="s">
        <v>590</v>
      </c>
      <c r="D75" t="s">
        <v>540</v>
      </c>
      <c r="E75">
        <v>15</v>
      </c>
      <c r="F75" t="s">
        <v>538</v>
      </c>
      <c r="G75" t="s">
        <v>552</v>
      </c>
      <c r="H75" t="s">
        <v>589</v>
      </c>
      <c r="I75" s="499">
        <v>55.45031199999994</v>
      </c>
      <c r="J75" s="471">
        <v>58.977038999999422</v>
      </c>
      <c r="K75" s="471">
        <v>22.464705882353428</v>
      </c>
      <c r="L75" s="471">
        <v>65.358605999999781</v>
      </c>
      <c r="M75" s="471">
        <v>69.478046000000177</v>
      </c>
      <c r="N75" s="471">
        <v>25.464705882352519</v>
      </c>
      <c r="O75" s="471">
        <v>57.351228000001356</v>
      </c>
      <c r="P75" s="471">
        <v>61.599591000000146</v>
      </c>
      <c r="Q75" s="471">
        <v>26.988235294116748</v>
      </c>
      <c r="R75" s="471">
        <v>50.259086000000025</v>
      </c>
      <c r="S75" s="471">
        <v>53.893395000000055</v>
      </c>
      <c r="T75" s="471">
        <v>24.464705882352519</v>
      </c>
      <c r="U75" s="471">
        <v>48.272994000000836</v>
      </c>
      <c r="V75" s="471">
        <v>52.863971000000674</v>
      </c>
      <c r="W75" s="471">
        <v>23.041176470587743</v>
      </c>
      <c r="X75" s="471">
        <v>62.438885000000482</v>
      </c>
      <c r="Y75" s="471">
        <v>64.417325000000346</v>
      </c>
      <c r="Z75" s="471">
        <v>20.935294117647118</v>
      </c>
      <c r="AA75" s="471">
        <v>76.204313000000184</v>
      </c>
      <c r="AB75" s="471">
        <v>78.628756999999496</v>
      </c>
      <c r="AC75" s="471">
        <v>24.511764705882342</v>
      </c>
      <c r="AD75" s="471">
        <v>70.058317999999417</v>
      </c>
      <c r="AE75" s="471">
        <v>72.353793000000223</v>
      </c>
      <c r="AF75" s="471">
        <v>17.935294117646663</v>
      </c>
      <c r="AG75" s="471">
        <v>55.862664000000223</v>
      </c>
      <c r="AH75" s="471">
        <v>58.034236999999848</v>
      </c>
      <c r="AI75" s="471">
        <v>16.988235294117658</v>
      </c>
      <c r="AJ75" s="471">
        <v>56.520124999999098</v>
      </c>
      <c r="AK75" s="471">
        <v>58.935933000000659</v>
      </c>
      <c r="AL75" s="471">
        <v>10.411764705882888</v>
      </c>
      <c r="AM75" s="471">
        <v>893.16304399999717</v>
      </c>
      <c r="AN75" s="471">
        <v>903.69726099999752</v>
      </c>
      <c r="AO75" s="471">
        <v>365.1176470588216</v>
      </c>
      <c r="AP75" s="471">
        <v>1060.0118440000006</v>
      </c>
      <c r="AQ75" s="471">
        <v>1073.3866180000041</v>
      </c>
      <c r="AR75" s="471">
        <v>419.41176470588107</v>
      </c>
      <c r="AS75" s="471">
        <v>1103.5806319999974</v>
      </c>
      <c r="AT75" s="471">
        <v>1116.9064000000071</v>
      </c>
      <c r="AU75" s="471">
        <v>486.47058823529369</v>
      </c>
      <c r="AV75" s="471">
        <v>889.96605500000442</v>
      </c>
      <c r="AW75" s="471">
        <v>900.78054300000076</v>
      </c>
      <c r="AX75" s="471">
        <v>423.17647058823059</v>
      </c>
      <c r="AY75" s="471">
        <v>1024.6710409999941</v>
      </c>
      <c r="AZ75" s="471">
        <v>1039.6925809999957</v>
      </c>
      <c r="BA75" s="500">
        <v>472.58823529411166</v>
      </c>
      <c r="BB75" s="499">
        <v>13.421253999999976</v>
      </c>
      <c r="BC75" s="471">
        <v>9.2795839999999998</v>
      </c>
      <c r="BD75" s="471">
        <v>15.605720000000019</v>
      </c>
      <c r="BE75" s="471">
        <v>23.70575000000008</v>
      </c>
      <c r="BF75" s="471">
        <v>13.76042799999999</v>
      </c>
      <c r="BG75" s="471">
        <v>11.19519200000002</v>
      </c>
      <c r="BH75" s="471">
        <v>8.2158750000000396</v>
      </c>
      <c r="BI75" s="471">
        <v>12.907032000000072</v>
      </c>
      <c r="BJ75" s="471">
        <v>18.216934999999921</v>
      </c>
      <c r="BK75" s="471">
        <v>12.063271999999984</v>
      </c>
      <c r="BL75" s="471">
        <v>167.37069100000008</v>
      </c>
      <c r="BM75" s="471">
        <v>98.822016000000076</v>
      </c>
      <c r="BN75" s="471">
        <v>218.54487599999993</v>
      </c>
      <c r="BO75" s="471">
        <v>350.15864599999986</v>
      </c>
      <c r="BP75" s="500">
        <v>192.35867300000064</v>
      </c>
    </row>
    <row r="76" spans="2:68">
      <c r="B76" t="s">
        <v>592</v>
      </c>
      <c r="C76" t="s">
        <v>593</v>
      </c>
      <c r="D76" t="s">
        <v>540</v>
      </c>
      <c r="E76">
        <v>16</v>
      </c>
      <c r="F76" t="s">
        <v>538</v>
      </c>
      <c r="G76" t="s">
        <v>556</v>
      </c>
      <c r="H76" t="s">
        <v>592</v>
      </c>
      <c r="I76" s="499">
        <v>76.548784999999953</v>
      </c>
      <c r="J76" s="471">
        <v>81.41454899999917</v>
      </c>
      <c r="K76" s="471">
        <v>31.464705882353428</v>
      </c>
      <c r="L76" s="471">
        <v>90.254661999999371</v>
      </c>
      <c r="M76" s="471">
        <v>95.933100000000195</v>
      </c>
      <c r="N76" s="471">
        <v>34.982352941176032</v>
      </c>
      <c r="O76" s="471">
        <v>79.215528000000631</v>
      </c>
      <c r="P76" s="471">
        <v>85.083307999999306</v>
      </c>
      <c r="Q76" s="471">
        <v>37.411764705881978</v>
      </c>
      <c r="R76" s="471">
        <v>69.367979999999989</v>
      </c>
      <c r="S76" s="471">
        <v>74.388796999999613</v>
      </c>
      <c r="T76" s="471">
        <v>33.888235294117749</v>
      </c>
      <c r="U76" s="471">
        <v>66.673813999999766</v>
      </c>
      <c r="V76" s="471">
        <v>73.014573000000382</v>
      </c>
      <c r="W76" s="471">
        <v>32.041176470587743</v>
      </c>
      <c r="X76" s="471">
        <v>86.227536000000327</v>
      </c>
      <c r="Y76" s="471">
        <v>88.96266900000046</v>
      </c>
      <c r="Z76" s="471">
        <v>28.458823529411802</v>
      </c>
      <c r="AA76" s="471">
        <v>105.22866599999998</v>
      </c>
      <c r="AB76" s="471">
        <v>108.58123799999976</v>
      </c>
      <c r="AC76" s="471">
        <v>33.982352941176032</v>
      </c>
      <c r="AD76" s="471">
        <v>96.772106000000349</v>
      </c>
      <c r="AE76" s="471">
        <v>99.933484999999564</v>
      </c>
      <c r="AF76" s="471">
        <v>25.405882352941262</v>
      </c>
      <c r="AG76" s="471">
        <v>77.133754999999837</v>
      </c>
      <c r="AH76" s="471">
        <v>80.123843000000306</v>
      </c>
      <c r="AI76" s="471">
        <v>23.411764705882888</v>
      </c>
      <c r="AJ76" s="471">
        <v>78.071391999999832</v>
      </c>
      <c r="AK76" s="471">
        <v>81.388488000000507</v>
      </c>
      <c r="AL76" s="471">
        <v>12.935294117647572</v>
      </c>
      <c r="AM76" s="471">
        <v>1231.4814979999974</v>
      </c>
      <c r="AN76" s="471">
        <v>1246.0195149999963</v>
      </c>
      <c r="AO76" s="471">
        <v>504.06470588235243</v>
      </c>
      <c r="AP76" s="471">
        <v>1460.5180060000057</v>
      </c>
      <c r="AQ76" s="471">
        <v>1478.9785280000069</v>
      </c>
      <c r="AR76" s="471">
        <v>580.82352941176214</v>
      </c>
      <c r="AS76" s="471">
        <v>1523.0504090000031</v>
      </c>
      <c r="AT76" s="471">
        <v>1541.4676690000051</v>
      </c>
      <c r="AU76" s="471">
        <v>671.88235294118203</v>
      </c>
      <c r="AV76" s="471">
        <v>1226.7724940000044</v>
      </c>
      <c r="AW76" s="471">
        <v>1241.7055719999989</v>
      </c>
      <c r="AX76" s="471">
        <v>583.64705882352428</v>
      </c>
      <c r="AY76" s="471">
        <v>1414.4999799999932</v>
      </c>
      <c r="AZ76" s="471">
        <v>1435.2756800000061</v>
      </c>
      <c r="BA76" s="500">
        <v>652.52941176469903</v>
      </c>
      <c r="BB76" s="499">
        <v>18.551468</v>
      </c>
      <c r="BC76" s="471">
        <v>12.821621999999991</v>
      </c>
      <c r="BD76" s="471">
        <v>21.57780200000002</v>
      </c>
      <c r="BE76" s="471">
        <v>32.781080000000202</v>
      </c>
      <c r="BF76" s="471">
        <v>19.025190000000009</v>
      </c>
      <c r="BG76" s="471">
        <v>15.482447999999977</v>
      </c>
      <c r="BH76" s="471">
        <v>11.361549000000025</v>
      </c>
      <c r="BI76" s="471">
        <v>17.864626000000044</v>
      </c>
      <c r="BJ76" s="471">
        <v>25.218804000000091</v>
      </c>
      <c r="BK76" s="471">
        <v>16.693315999999982</v>
      </c>
      <c r="BL76" s="471">
        <v>231.13623800000096</v>
      </c>
      <c r="BM76" s="471">
        <v>136.24156399999993</v>
      </c>
      <c r="BN76" s="471">
        <v>302.17626299999938</v>
      </c>
      <c r="BO76" s="471">
        <v>484.28168599999844</v>
      </c>
      <c r="BP76" s="500">
        <v>265.94041099999959</v>
      </c>
    </row>
    <row r="77" spans="2:68">
      <c r="B77" t="s">
        <v>595</v>
      </c>
      <c r="C77" t="s">
        <v>596</v>
      </c>
      <c r="D77" t="s">
        <v>540</v>
      </c>
      <c r="E77">
        <v>17</v>
      </c>
      <c r="F77" t="s">
        <v>538</v>
      </c>
      <c r="G77" t="s">
        <v>581</v>
      </c>
      <c r="H77" t="s">
        <v>595</v>
      </c>
      <c r="I77" s="499">
        <v>94.33041299999968</v>
      </c>
      <c r="J77" s="471">
        <v>100.31816899999922</v>
      </c>
      <c r="K77" s="471">
        <v>38.035294117647027</v>
      </c>
      <c r="L77" s="471">
        <v>111.23895100000027</v>
      </c>
      <c r="M77" s="471">
        <v>118.24063900000056</v>
      </c>
      <c r="N77" s="471">
        <v>43.452941176470176</v>
      </c>
      <c r="O77" s="471">
        <v>97.665718000000197</v>
      </c>
      <c r="P77" s="471">
        <v>104.90089099999932</v>
      </c>
      <c r="Q77" s="471">
        <v>45.982352941176032</v>
      </c>
      <c r="R77" s="471">
        <v>85.48454700000002</v>
      </c>
      <c r="S77" s="471">
        <v>91.683090999999877</v>
      </c>
      <c r="T77" s="471">
        <v>41.935294117647118</v>
      </c>
      <c r="U77" s="471">
        <v>82.200375000000349</v>
      </c>
      <c r="V77" s="471">
        <v>90.013036000000284</v>
      </c>
      <c r="W77" s="471">
        <v>40.511764705882342</v>
      </c>
      <c r="X77" s="471">
        <v>106.301332</v>
      </c>
      <c r="Y77" s="471">
        <v>109.67664400000012</v>
      </c>
      <c r="Z77" s="471">
        <v>34.929411764705947</v>
      </c>
      <c r="AA77" s="471">
        <v>129.7034050000002</v>
      </c>
      <c r="AB77" s="471">
        <v>133.84099099999912</v>
      </c>
      <c r="AC77" s="471">
        <v>41.552941176470085</v>
      </c>
      <c r="AD77" s="471">
        <v>119.32267700000011</v>
      </c>
      <c r="AE77" s="471">
        <v>123.21175799999946</v>
      </c>
      <c r="AF77" s="471">
        <v>30.876470588234952</v>
      </c>
      <c r="AG77" s="471">
        <v>95.070039999999608</v>
      </c>
      <c r="AH77" s="471">
        <v>98.74775099999988</v>
      </c>
      <c r="AI77" s="471">
        <v>28.935294117647118</v>
      </c>
      <c r="AJ77" s="471">
        <v>96.251652999999351</v>
      </c>
      <c r="AK77" s="471">
        <v>100.32195400000091</v>
      </c>
      <c r="AL77" s="471">
        <v>15.405882352941262</v>
      </c>
      <c r="AM77" s="471">
        <v>1515.8062759999993</v>
      </c>
      <c r="AN77" s="471">
        <v>1533.7180309999967</v>
      </c>
      <c r="AO77" s="471">
        <v>620.59999999999854</v>
      </c>
      <c r="AP77" s="471">
        <v>1796.4556560000055</v>
      </c>
      <c r="AQ77" s="471">
        <v>1819.2007530000046</v>
      </c>
      <c r="AR77" s="471">
        <v>712.29411764705583</v>
      </c>
      <c r="AS77" s="471">
        <v>1876.3336930000078</v>
      </c>
      <c r="AT77" s="471">
        <v>1899.0464350000111</v>
      </c>
      <c r="AU77" s="471">
        <v>828.41176470588107</v>
      </c>
      <c r="AV77" s="471">
        <v>1510.2997790000009</v>
      </c>
      <c r="AW77" s="471">
        <v>1528.718968000001</v>
      </c>
      <c r="AX77" s="471">
        <v>719.23529411764321</v>
      </c>
      <c r="AY77" s="471">
        <v>1743.0761449999991</v>
      </c>
      <c r="AZ77" s="471">
        <v>1768.7124610000028</v>
      </c>
      <c r="BA77" s="500">
        <v>804.05882352941262</v>
      </c>
      <c r="BB77" s="499">
        <v>22.888615999999956</v>
      </c>
      <c r="BC77" s="471">
        <v>15.80856399999999</v>
      </c>
      <c r="BD77" s="471">
        <v>26.631639000000064</v>
      </c>
      <c r="BE77" s="471">
        <v>40.466145000000097</v>
      </c>
      <c r="BF77" s="471">
        <v>23.475662</v>
      </c>
      <c r="BG77" s="471">
        <v>19.111854999999991</v>
      </c>
      <c r="BH77" s="471">
        <v>14.029326000000026</v>
      </c>
      <c r="BI77" s="471">
        <v>22.062356000000023</v>
      </c>
      <c r="BJ77" s="471">
        <v>31.160618999999997</v>
      </c>
      <c r="BK77" s="471">
        <v>20.612611000000015</v>
      </c>
      <c r="BL77" s="471">
        <v>284.95076700000027</v>
      </c>
      <c r="BM77" s="471">
        <v>167.66955400000006</v>
      </c>
      <c r="BN77" s="471">
        <v>372.95321599999988</v>
      </c>
      <c r="BO77" s="471">
        <v>597.77209399999992</v>
      </c>
      <c r="BP77" s="500">
        <v>328.12956300000042</v>
      </c>
    </row>
    <row r="78" spans="2:68">
      <c r="B78" t="s">
        <v>598</v>
      </c>
      <c r="C78" t="s">
        <v>599</v>
      </c>
      <c r="D78" t="s">
        <v>540</v>
      </c>
      <c r="E78">
        <v>18</v>
      </c>
      <c r="F78" t="s">
        <v>556</v>
      </c>
      <c r="G78" t="s">
        <v>581</v>
      </c>
      <c r="H78" t="s">
        <v>598</v>
      </c>
      <c r="I78" s="499">
        <v>17.781627999999728</v>
      </c>
      <c r="J78" s="471">
        <v>18.903620000000046</v>
      </c>
      <c r="K78" s="471">
        <v>6.5705882352935987</v>
      </c>
      <c r="L78" s="471">
        <v>20.984289000000899</v>
      </c>
      <c r="M78" s="471">
        <v>22.307539000000361</v>
      </c>
      <c r="N78" s="471">
        <v>8.4705882352941444</v>
      </c>
      <c r="O78" s="471">
        <v>18.450189999999566</v>
      </c>
      <c r="P78" s="471">
        <v>19.817583000000013</v>
      </c>
      <c r="Q78" s="471">
        <v>8.5705882352940534</v>
      </c>
      <c r="R78" s="471">
        <v>16.116567000000032</v>
      </c>
      <c r="S78" s="471">
        <v>17.294294000000264</v>
      </c>
      <c r="T78" s="471">
        <v>8.047058823529369</v>
      </c>
      <c r="U78" s="471">
        <v>15.526561000000584</v>
      </c>
      <c r="V78" s="471">
        <v>16.998462999999902</v>
      </c>
      <c r="W78" s="471">
        <v>8.4705882352945991</v>
      </c>
      <c r="X78" s="471">
        <v>20.073795999999675</v>
      </c>
      <c r="Y78" s="471">
        <v>20.713974999999664</v>
      </c>
      <c r="Z78" s="471">
        <v>6.4705882352941444</v>
      </c>
      <c r="AA78" s="471">
        <v>24.474739000000227</v>
      </c>
      <c r="AB78" s="471">
        <v>25.259752999999364</v>
      </c>
      <c r="AC78" s="471">
        <v>7.5705882352940534</v>
      </c>
      <c r="AD78" s="471">
        <v>22.550570999999763</v>
      </c>
      <c r="AE78" s="471">
        <v>23.278272999999899</v>
      </c>
      <c r="AF78" s="471">
        <v>5.4705882352936896</v>
      </c>
      <c r="AG78" s="471">
        <v>17.936284999999771</v>
      </c>
      <c r="AH78" s="471">
        <v>18.623907999999574</v>
      </c>
      <c r="AI78" s="471">
        <v>5.5235294117642297</v>
      </c>
      <c r="AJ78" s="471">
        <v>18.180260999999518</v>
      </c>
      <c r="AK78" s="471">
        <v>18.933466000000408</v>
      </c>
      <c r="AL78" s="471">
        <v>2.4705882352936896</v>
      </c>
      <c r="AM78" s="471">
        <v>284.32477800000197</v>
      </c>
      <c r="AN78" s="471">
        <v>287.69851600000038</v>
      </c>
      <c r="AO78" s="471">
        <v>116.53529411764612</v>
      </c>
      <c r="AP78" s="471">
        <v>335.93764999999985</v>
      </c>
      <c r="AQ78" s="471">
        <v>340.22222499999771</v>
      </c>
      <c r="AR78" s="471">
        <v>131.47058823529369</v>
      </c>
      <c r="AS78" s="471">
        <v>353.28328400000464</v>
      </c>
      <c r="AT78" s="471">
        <v>357.578766000006</v>
      </c>
      <c r="AU78" s="471">
        <v>156.52941176469903</v>
      </c>
      <c r="AV78" s="471">
        <v>283.52728499999648</v>
      </c>
      <c r="AW78" s="471">
        <v>287.0133960000021</v>
      </c>
      <c r="AX78" s="471">
        <v>135.58823529411893</v>
      </c>
      <c r="AY78" s="471">
        <v>328.57616500000586</v>
      </c>
      <c r="AZ78" s="471">
        <v>333.4367809999967</v>
      </c>
      <c r="BA78" s="500">
        <v>151.52941176471359</v>
      </c>
      <c r="BB78" s="499">
        <v>4.3371479999999565</v>
      </c>
      <c r="BC78" s="471">
        <v>2.9869419999999991</v>
      </c>
      <c r="BD78" s="471">
        <v>5.0538370000000441</v>
      </c>
      <c r="BE78" s="471">
        <v>7.685064999999895</v>
      </c>
      <c r="BF78" s="471">
        <v>4.4504719999999907</v>
      </c>
      <c r="BG78" s="471">
        <v>3.6294070000000147</v>
      </c>
      <c r="BH78" s="471">
        <v>2.667777000000001</v>
      </c>
      <c r="BI78" s="471">
        <v>4.1977299999999786</v>
      </c>
      <c r="BJ78" s="471">
        <v>5.9418149999999059</v>
      </c>
      <c r="BK78" s="471">
        <v>3.9192950000000337</v>
      </c>
      <c r="BL78" s="471">
        <v>53.814528999999311</v>
      </c>
      <c r="BM78" s="471">
        <v>31.427990000000136</v>
      </c>
      <c r="BN78" s="471">
        <v>70.776953000000503</v>
      </c>
      <c r="BO78" s="471">
        <v>113.49040800000148</v>
      </c>
      <c r="BP78" s="500">
        <v>62.189152000000831</v>
      </c>
    </row>
    <row r="79" spans="2:68">
      <c r="B79" t="s">
        <v>601</v>
      </c>
      <c r="C79" t="s">
        <v>602</v>
      </c>
      <c r="D79" t="s">
        <v>176</v>
      </c>
      <c r="E79">
        <v>10</v>
      </c>
      <c r="F79" t="s">
        <v>603</v>
      </c>
      <c r="G79" t="s">
        <v>604</v>
      </c>
      <c r="H79" t="s">
        <v>601</v>
      </c>
      <c r="I79" s="499">
        <v>-1182.568722</v>
      </c>
      <c r="J79" s="471">
        <v>-1259.2351230000004</v>
      </c>
      <c r="K79" s="471">
        <v>-548.85294117647072</v>
      </c>
      <c r="L79" s="471">
        <v>-1303.1036469999999</v>
      </c>
      <c r="M79" s="471">
        <v>-1388.1867610000004</v>
      </c>
      <c r="N79" s="471">
        <v>-591.28235294117621</v>
      </c>
      <c r="O79" s="471">
        <v>-2028.9327420000009</v>
      </c>
      <c r="P79" s="471">
        <v>-2143.2531649999992</v>
      </c>
      <c r="Q79" s="471">
        <v>-1169.1470588235297</v>
      </c>
      <c r="R79" s="471">
        <v>-1524.9067110000005</v>
      </c>
      <c r="S79" s="471">
        <v>-1617.5877820000005</v>
      </c>
      <c r="T79" s="471">
        <v>-898.4176470588236</v>
      </c>
      <c r="U79" s="471">
        <v>-2512.81718</v>
      </c>
      <c r="V79" s="471">
        <v>-2644.4482530000005</v>
      </c>
      <c r="W79" s="471">
        <v>-1650.1294117647067</v>
      </c>
      <c r="X79" s="471">
        <v>-1156.5772820000002</v>
      </c>
      <c r="Y79" s="471">
        <v>-1217.263696</v>
      </c>
      <c r="Z79" s="471">
        <v>-589.90588235294103</v>
      </c>
      <c r="AA79" s="471">
        <v>-1271.1457380000002</v>
      </c>
      <c r="AB79" s="471">
        <v>-1338.4693089999996</v>
      </c>
      <c r="AC79" s="471">
        <v>-633.48235294117649</v>
      </c>
      <c r="AD79" s="471">
        <v>-1981.5264919999991</v>
      </c>
      <c r="AE79" s="471">
        <v>-2087.2181520000004</v>
      </c>
      <c r="AF79" s="471">
        <v>-1342.3294117647065</v>
      </c>
      <c r="AG79" s="471">
        <v>-1486.6207589999995</v>
      </c>
      <c r="AH79" s="471">
        <v>-1566.1267989999997</v>
      </c>
      <c r="AI79" s="471">
        <v>-996.38823529411729</v>
      </c>
      <c r="AJ79" s="471">
        <v>-2459.6145980000001</v>
      </c>
      <c r="AK79" s="471">
        <v>-2589.6512310000016</v>
      </c>
      <c r="AL79" s="471">
        <v>-1905.9176470588236</v>
      </c>
      <c r="AM79" s="471">
        <v>-22163.285366</v>
      </c>
      <c r="AN79" s="471">
        <v>-22392.435261999999</v>
      </c>
      <c r="AO79" s="471">
        <v>-9727.9176470588263</v>
      </c>
      <c r="AP79" s="471">
        <v>-24448.516992999997</v>
      </c>
      <c r="AQ79" s="471">
        <v>-24715.463472000003</v>
      </c>
      <c r="AR79" s="471">
        <v>-10697.941176470587</v>
      </c>
      <c r="AS79" s="471">
        <v>-41184.843615999998</v>
      </c>
      <c r="AT79" s="471">
        <v>-41386.370865000004</v>
      </c>
      <c r="AU79" s="471">
        <v>-20504.411764705881</v>
      </c>
      <c r="AV79" s="471">
        <v>-30086.557781</v>
      </c>
      <c r="AW79" s="471">
        <v>-30294.944893000004</v>
      </c>
      <c r="AX79" s="471">
        <v>-15242.705882352937</v>
      </c>
      <c r="AY79" s="471">
        <v>-51367.971453999999</v>
      </c>
      <c r="AZ79" s="471">
        <v>-51551.125446999999</v>
      </c>
      <c r="BA79" s="500">
        <v>-28220.464705882347</v>
      </c>
      <c r="BB79" s="499">
        <v>-232.87444900000003</v>
      </c>
      <c r="BC79" s="471">
        <v>-158.50803499999998</v>
      </c>
      <c r="BD79" s="471">
        <v>-256.63462099999998</v>
      </c>
      <c r="BE79" s="471">
        <v>-375.66486299999997</v>
      </c>
      <c r="BF79" s="471">
        <v>-208.596587</v>
      </c>
      <c r="BG79" s="471">
        <v>-248.98634700000002</v>
      </c>
      <c r="BH79" s="471">
        <v>-167.20677000000003</v>
      </c>
      <c r="BI79" s="471">
        <v>-271.34618800000004</v>
      </c>
      <c r="BJ79" s="471">
        <v>-401.79334700000004</v>
      </c>
      <c r="BK79" s="471">
        <v>-223.65456099999997</v>
      </c>
      <c r="BL79" s="471">
        <v>-3947.8625729999985</v>
      </c>
      <c r="BM79" s="471">
        <v>-2783.7289609999998</v>
      </c>
      <c r="BN79" s="471">
        <v>-4707.8253260000001</v>
      </c>
      <c r="BO79" s="471">
        <v>-6956.4852299999984</v>
      </c>
      <c r="BP79" s="500">
        <v>-3772.5049659999995</v>
      </c>
    </row>
    <row r="80" spans="2:68">
      <c r="B80" t="s">
        <v>606</v>
      </c>
      <c r="C80" t="s">
        <v>607</v>
      </c>
      <c r="D80" t="s">
        <v>176</v>
      </c>
      <c r="E80">
        <v>11</v>
      </c>
      <c r="F80" t="s">
        <v>603</v>
      </c>
      <c r="G80" t="s">
        <v>608</v>
      </c>
      <c r="H80" t="s">
        <v>606</v>
      </c>
      <c r="I80" s="499">
        <v>-964.29540600000018</v>
      </c>
      <c r="J80" s="471">
        <v>-1026.9010800000005</v>
      </c>
      <c r="K80" s="471">
        <v>-449.46470588235252</v>
      </c>
      <c r="L80" s="471">
        <v>-1063.5600840000006</v>
      </c>
      <c r="M80" s="471">
        <v>-1133.049219</v>
      </c>
      <c r="N80" s="471">
        <v>-485.32352941176487</v>
      </c>
      <c r="O80" s="471">
        <v>-1670.448144</v>
      </c>
      <c r="P80" s="471">
        <v>-1764.2491529999998</v>
      </c>
      <c r="Q80" s="471">
        <v>-967.42941176470595</v>
      </c>
      <c r="R80" s="471">
        <v>-1240.0443140000007</v>
      </c>
      <c r="S80" s="471">
        <v>-1315.2564030000003</v>
      </c>
      <c r="T80" s="471">
        <v>-738.65294117647045</v>
      </c>
      <c r="U80" s="471">
        <v>-2081.7952239999995</v>
      </c>
      <c r="V80" s="471">
        <v>-2190.335701</v>
      </c>
      <c r="W80" s="471">
        <v>-1375.1470588235297</v>
      </c>
      <c r="X80" s="471">
        <v>-939.59619699999985</v>
      </c>
      <c r="Y80" s="471">
        <v>-989.0661799999998</v>
      </c>
      <c r="Z80" s="471">
        <v>-482.88823529411752</v>
      </c>
      <c r="AA80" s="471">
        <v>-1033.0655999999999</v>
      </c>
      <c r="AB80" s="471">
        <v>-1087.9821889999998</v>
      </c>
      <c r="AC80" s="471">
        <v>-517.94705882352946</v>
      </c>
      <c r="AD80" s="471">
        <v>-1624.1916939999992</v>
      </c>
      <c r="AE80" s="471">
        <v>-1711.0742080000009</v>
      </c>
      <c r="AF80" s="471">
        <v>-1106.7647058823532</v>
      </c>
      <c r="AG80" s="471">
        <v>-1205.2336489999998</v>
      </c>
      <c r="AH80" s="471">
        <v>-1269.9312399999999</v>
      </c>
      <c r="AI80" s="471">
        <v>-818.98823529411766</v>
      </c>
      <c r="AJ80" s="471">
        <v>-2031.2240529999999</v>
      </c>
      <c r="AK80" s="471">
        <v>-2138.7973980000006</v>
      </c>
      <c r="AL80" s="471">
        <v>-1583.7647058823532</v>
      </c>
      <c r="AM80" s="471">
        <v>-18233.743086000002</v>
      </c>
      <c r="AN80" s="471">
        <v>-18433.710623999999</v>
      </c>
      <c r="AO80" s="471">
        <v>-8036.9294117647059</v>
      </c>
      <c r="AP80" s="471">
        <v>-20110.253899999996</v>
      </c>
      <c r="AQ80" s="471">
        <v>-20340.690713999997</v>
      </c>
      <c r="AR80" s="471">
        <v>-8863.8823529411784</v>
      </c>
      <c r="AS80" s="471">
        <v>-34176.359599999996</v>
      </c>
      <c r="AT80" s="471">
        <v>-34358.300812000001</v>
      </c>
      <c r="AU80" s="471">
        <v>-17047.117647058818</v>
      </c>
      <c r="AV80" s="471">
        <v>-24782.423275999998</v>
      </c>
      <c r="AW80" s="471">
        <v>-24969.426656</v>
      </c>
      <c r="AX80" s="471">
        <v>-12557.294117647063</v>
      </c>
      <c r="AY80" s="471">
        <v>-42853.837268000003</v>
      </c>
      <c r="AZ80" s="471">
        <v>-43018.035330999992</v>
      </c>
      <c r="BA80" s="500">
        <v>-23515.823529411762</v>
      </c>
      <c r="BB80" s="499">
        <v>-226.28054099999997</v>
      </c>
      <c r="BC80" s="471">
        <v>-156.40107900000001</v>
      </c>
      <c r="BD80" s="471">
        <v>-246.496689</v>
      </c>
      <c r="BE80" s="471">
        <v>-357.18345699999986</v>
      </c>
      <c r="BF80" s="471">
        <v>-201.73888999999997</v>
      </c>
      <c r="BG80" s="471">
        <v>-241.37050699999998</v>
      </c>
      <c r="BH80" s="471">
        <v>-164.26180600000001</v>
      </c>
      <c r="BI80" s="471">
        <v>-260.126327</v>
      </c>
      <c r="BJ80" s="471">
        <v>-382.14635999999996</v>
      </c>
      <c r="BK80" s="471">
        <v>-215.19036500000001</v>
      </c>
      <c r="BL80" s="471">
        <v>-3961.7988069999992</v>
      </c>
      <c r="BM80" s="471">
        <v>-2876.2995220000003</v>
      </c>
      <c r="BN80" s="471">
        <v>-4622.456612</v>
      </c>
      <c r="BO80" s="471">
        <v>-6736.7534870000018</v>
      </c>
      <c r="BP80" s="500">
        <v>-3741.5621220000003</v>
      </c>
    </row>
    <row r="81" spans="2:68">
      <c r="B81" t="s">
        <v>610</v>
      </c>
      <c r="C81" t="s">
        <v>611</v>
      </c>
      <c r="D81" t="s">
        <v>176</v>
      </c>
      <c r="E81">
        <v>12</v>
      </c>
      <c r="F81" t="s">
        <v>603</v>
      </c>
      <c r="G81" t="s">
        <v>612</v>
      </c>
      <c r="H81" t="s">
        <v>610</v>
      </c>
      <c r="I81" s="499">
        <v>0</v>
      </c>
      <c r="J81" s="471">
        <v>0</v>
      </c>
      <c r="K81" s="471">
        <v>0</v>
      </c>
      <c r="L81" s="471">
        <v>0</v>
      </c>
      <c r="M81" s="471">
        <v>0</v>
      </c>
      <c r="N81" s="471">
        <v>0</v>
      </c>
      <c r="O81" s="471">
        <v>0</v>
      </c>
      <c r="P81" s="471">
        <v>0</v>
      </c>
      <c r="Q81" s="471">
        <v>0</v>
      </c>
      <c r="R81" s="471">
        <v>0</v>
      </c>
      <c r="S81" s="471">
        <v>0</v>
      </c>
      <c r="T81" s="471">
        <v>0</v>
      </c>
      <c r="U81" s="471">
        <v>0</v>
      </c>
      <c r="V81" s="471">
        <v>0</v>
      </c>
      <c r="W81" s="471">
        <v>0</v>
      </c>
      <c r="X81" s="471">
        <v>0</v>
      </c>
      <c r="Y81" s="471">
        <v>0</v>
      </c>
      <c r="Z81" s="471">
        <v>0</v>
      </c>
      <c r="AA81" s="471">
        <v>0</v>
      </c>
      <c r="AB81" s="471">
        <v>0</v>
      </c>
      <c r="AC81" s="471">
        <v>0</v>
      </c>
      <c r="AD81" s="471">
        <v>0</v>
      </c>
      <c r="AE81" s="471">
        <v>0</v>
      </c>
      <c r="AF81" s="471">
        <v>0</v>
      </c>
      <c r="AG81" s="471">
        <v>0</v>
      </c>
      <c r="AH81" s="471">
        <v>0</v>
      </c>
      <c r="AI81" s="471">
        <v>0</v>
      </c>
      <c r="AJ81" s="471">
        <v>0</v>
      </c>
      <c r="AK81" s="471">
        <v>0</v>
      </c>
      <c r="AL81" s="471">
        <v>0</v>
      </c>
      <c r="AM81" s="471">
        <v>0</v>
      </c>
      <c r="AN81" s="471">
        <v>0</v>
      </c>
      <c r="AO81" s="471">
        <v>0</v>
      </c>
      <c r="AP81" s="471">
        <v>0</v>
      </c>
      <c r="AQ81" s="471">
        <v>0</v>
      </c>
      <c r="AR81" s="471">
        <v>0</v>
      </c>
      <c r="AS81" s="471">
        <v>0</v>
      </c>
      <c r="AT81" s="471">
        <v>0</v>
      </c>
      <c r="AU81" s="471">
        <v>0</v>
      </c>
      <c r="AV81" s="471">
        <v>0</v>
      </c>
      <c r="AW81" s="471">
        <v>0</v>
      </c>
      <c r="AX81" s="471">
        <v>0</v>
      </c>
      <c r="AY81" s="471">
        <v>0</v>
      </c>
      <c r="AZ81" s="471">
        <v>0</v>
      </c>
      <c r="BA81" s="500">
        <v>0</v>
      </c>
      <c r="BB81" s="499">
        <v>0</v>
      </c>
      <c r="BC81" s="471">
        <v>0</v>
      </c>
      <c r="BD81" s="471">
        <v>0</v>
      </c>
      <c r="BE81" s="471">
        <v>0</v>
      </c>
      <c r="BF81" s="471">
        <v>0</v>
      </c>
      <c r="BG81" s="471">
        <v>0</v>
      </c>
      <c r="BH81" s="471">
        <v>0</v>
      </c>
      <c r="BI81" s="471">
        <v>0</v>
      </c>
      <c r="BJ81" s="471">
        <v>0</v>
      </c>
      <c r="BK81" s="471">
        <v>0</v>
      </c>
      <c r="BL81" s="471">
        <v>0</v>
      </c>
      <c r="BM81" s="471">
        <v>0</v>
      </c>
      <c r="BN81" s="471">
        <v>0</v>
      </c>
      <c r="BO81" s="471">
        <v>0</v>
      </c>
      <c r="BP81" s="500">
        <v>0</v>
      </c>
    </row>
    <row r="82" spans="2:68">
      <c r="B82" t="s">
        <v>614</v>
      </c>
      <c r="C82" t="s">
        <v>615</v>
      </c>
      <c r="D82" t="s">
        <v>176</v>
      </c>
      <c r="E82">
        <v>13</v>
      </c>
      <c r="F82" t="s">
        <v>603</v>
      </c>
      <c r="G82" t="s">
        <v>616</v>
      </c>
      <c r="H82" t="s">
        <v>614</v>
      </c>
      <c r="I82" s="499">
        <v>-558.73038900000029</v>
      </c>
      <c r="J82" s="471">
        <v>-595.17935300000045</v>
      </c>
      <c r="K82" s="471">
        <v>-264.68235294117653</v>
      </c>
      <c r="L82" s="471">
        <v>-616.21817499999997</v>
      </c>
      <c r="M82" s="471">
        <v>-656.7474559999996</v>
      </c>
      <c r="N82" s="471">
        <v>-284.97058823529369</v>
      </c>
      <c r="O82" s="471">
        <v>-993.5428380000003</v>
      </c>
      <c r="P82" s="471">
        <v>-1048.8256869999996</v>
      </c>
      <c r="Q82" s="471">
        <v>-589.64117647058811</v>
      </c>
      <c r="R82" s="471">
        <v>-709.25385199999982</v>
      </c>
      <c r="S82" s="471">
        <v>-751.94605599999977</v>
      </c>
      <c r="T82" s="471">
        <v>-439.38823529411775</v>
      </c>
      <c r="U82" s="471">
        <v>-1263.6685199999993</v>
      </c>
      <c r="V82" s="471">
        <v>-1328.6796759999997</v>
      </c>
      <c r="W82" s="471">
        <v>-855.44705882352901</v>
      </c>
      <c r="X82" s="471">
        <v>-536.06987000000026</v>
      </c>
      <c r="Y82" s="471">
        <v>-564.63467500000024</v>
      </c>
      <c r="Z82" s="471">
        <v>-282.47058823529437</v>
      </c>
      <c r="AA82" s="471">
        <v>-589.76678699999957</v>
      </c>
      <c r="AB82" s="471">
        <v>-621.53627300000016</v>
      </c>
      <c r="AC82" s="471">
        <v>-301.34117647058838</v>
      </c>
      <c r="AD82" s="471">
        <v>-951.85425100000066</v>
      </c>
      <c r="AE82" s="471">
        <v>-1003.2861089999997</v>
      </c>
      <c r="AF82" s="471">
        <v>-669.15294117647136</v>
      </c>
      <c r="AG82" s="471">
        <v>-680.80969699999969</v>
      </c>
      <c r="AH82" s="471">
        <v>-717.84939899999972</v>
      </c>
      <c r="AI82" s="471">
        <v>-486.65882352941208</v>
      </c>
      <c r="AJ82" s="471">
        <v>-1220.215975000001</v>
      </c>
      <c r="AK82" s="471">
        <v>-1285.2154060000012</v>
      </c>
      <c r="AL82" s="471">
        <v>-979.07647058823568</v>
      </c>
      <c r="AM82" s="471">
        <v>-10993.000778000001</v>
      </c>
      <c r="AN82" s="471">
        <v>-11129.791203000002</v>
      </c>
      <c r="AO82" s="471">
        <v>-4890.5294117647045</v>
      </c>
      <c r="AP82" s="471">
        <v>-12215.918396999999</v>
      </c>
      <c r="AQ82" s="471">
        <v>-12371.489474999998</v>
      </c>
      <c r="AR82" s="471">
        <v>-5412.2941176470595</v>
      </c>
      <c r="AS82" s="471">
        <v>-21058.568457999994</v>
      </c>
      <c r="AT82" s="471">
        <v>-21197.127787999998</v>
      </c>
      <c r="AU82" s="471">
        <v>-10548.117647058818</v>
      </c>
      <c r="AV82" s="471">
        <v>-14945.903571999999</v>
      </c>
      <c r="AW82" s="471">
        <v>-15084.551844999998</v>
      </c>
      <c r="AX82" s="471">
        <v>-7558.2941176470631</v>
      </c>
      <c r="AY82" s="471">
        <v>-26708.888623000006</v>
      </c>
      <c r="AZ82" s="471">
        <v>-26829.532905999993</v>
      </c>
      <c r="BA82" s="500">
        <v>-14676.941176470587</v>
      </c>
      <c r="BB82" s="499">
        <v>-203.588615</v>
      </c>
      <c r="BC82" s="471">
        <v>-144.47743</v>
      </c>
      <c r="BD82" s="471">
        <v>-215.85715299999998</v>
      </c>
      <c r="BE82" s="471">
        <v>-306.25753299999997</v>
      </c>
      <c r="BF82" s="471">
        <v>-179.36001799999997</v>
      </c>
      <c r="BG82" s="471">
        <v>-215.70626300000004</v>
      </c>
      <c r="BH82" s="471">
        <v>-150.067847</v>
      </c>
      <c r="BI82" s="471">
        <v>-226.65986700000002</v>
      </c>
      <c r="BJ82" s="471">
        <v>-327.86170799999991</v>
      </c>
      <c r="BK82" s="471">
        <v>-189.69882499999997</v>
      </c>
      <c r="BL82" s="471">
        <v>-3806.5887179999991</v>
      </c>
      <c r="BM82" s="471">
        <v>-2907.9870430000001</v>
      </c>
      <c r="BN82" s="471">
        <v>-4242.5508389999995</v>
      </c>
      <c r="BO82" s="471">
        <v>-6027.0639560000018</v>
      </c>
      <c r="BP82" s="500">
        <v>-3503.4504999999999</v>
      </c>
    </row>
    <row r="83" spans="2:68">
      <c r="B83" t="s">
        <v>618</v>
      </c>
      <c r="C83" t="s">
        <v>619</v>
      </c>
      <c r="D83" t="s">
        <v>176</v>
      </c>
      <c r="E83">
        <v>14</v>
      </c>
      <c r="F83" t="s">
        <v>603</v>
      </c>
      <c r="G83" t="s">
        <v>620</v>
      </c>
      <c r="H83" t="s">
        <v>618</v>
      </c>
      <c r="I83" s="499">
        <v>-307.37983200000008</v>
      </c>
      <c r="J83" s="471">
        <v>-327.63515600000028</v>
      </c>
      <c r="K83" s="471">
        <v>-151.40588235294126</v>
      </c>
      <c r="L83" s="471">
        <v>-339.91967599999998</v>
      </c>
      <c r="M83" s="471">
        <v>-362.7749859999999</v>
      </c>
      <c r="N83" s="471">
        <v>-161.12352941176505</v>
      </c>
      <c r="O83" s="471">
        <v>-577.59878800000024</v>
      </c>
      <c r="P83" s="471">
        <v>-609.14400500000011</v>
      </c>
      <c r="Q83" s="471">
        <v>-366.41176470588198</v>
      </c>
      <c r="R83" s="471">
        <v>-376.65852200000063</v>
      </c>
      <c r="S83" s="471">
        <v>-398.97352599999977</v>
      </c>
      <c r="T83" s="471">
        <v>-259.15882352941117</v>
      </c>
      <c r="U83" s="471">
        <v>-767.90479999999843</v>
      </c>
      <c r="V83" s="471">
        <v>-806.43871299999955</v>
      </c>
      <c r="W83" s="471">
        <v>-554.58235294117731</v>
      </c>
      <c r="X83" s="471">
        <v>-284.06687800000009</v>
      </c>
      <c r="Y83" s="471">
        <v>-299.6418020000001</v>
      </c>
      <c r="Z83" s="471">
        <v>-159.61176470588248</v>
      </c>
      <c r="AA83" s="471">
        <v>-312.53144599999996</v>
      </c>
      <c r="AB83" s="471">
        <v>-329.89638100000002</v>
      </c>
      <c r="AC83" s="471">
        <v>-167.38823529411775</v>
      </c>
      <c r="AD83" s="471">
        <v>-534.81330199999957</v>
      </c>
      <c r="AE83" s="471">
        <v>-564.34747300000072</v>
      </c>
      <c r="AF83" s="471">
        <v>-411.7470588235301</v>
      </c>
      <c r="AG83" s="471">
        <v>-349.71347099999912</v>
      </c>
      <c r="AH83" s="471">
        <v>-369.38090999999986</v>
      </c>
      <c r="AI83" s="471">
        <v>-285.79411764705947</v>
      </c>
      <c r="AJ83" s="471">
        <v>-725.77427800000078</v>
      </c>
      <c r="AK83" s="471">
        <v>-764.88565999999992</v>
      </c>
      <c r="AL83" s="471">
        <v>-629.50588235294163</v>
      </c>
      <c r="AM83" s="471">
        <v>-6857.0105440000007</v>
      </c>
      <c r="AN83" s="471">
        <v>-6952.7182660000017</v>
      </c>
      <c r="AO83" s="471">
        <v>-3051.823529411764</v>
      </c>
      <c r="AP83" s="471">
        <v>-7732.1502380000002</v>
      </c>
      <c r="AQ83" s="471">
        <v>-7841.9945819999994</v>
      </c>
      <c r="AR83" s="471">
        <v>-3387.6470588235316</v>
      </c>
      <c r="AS83" s="471">
        <v>-13366.704992999999</v>
      </c>
      <c r="AT83" s="471">
        <v>-13473.074703999999</v>
      </c>
      <c r="AU83" s="471">
        <v>-6767.0588235294053</v>
      </c>
      <c r="AV83" s="471">
        <v>-9126.4902110000003</v>
      </c>
      <c r="AW83" s="471">
        <v>-9226.2619539999978</v>
      </c>
      <c r="AX83" s="471">
        <v>-4660.7647058823568</v>
      </c>
      <c r="AY83" s="471">
        <v>-17255.240149999998</v>
      </c>
      <c r="AZ83" s="471">
        <v>-17344.743120999992</v>
      </c>
      <c r="BA83" s="500">
        <v>-9661.9999999999927</v>
      </c>
      <c r="BB83" s="499">
        <v>-211.65182700000003</v>
      </c>
      <c r="BC83" s="471">
        <v>-154.166327</v>
      </c>
      <c r="BD83" s="471">
        <v>-219.24591800000002</v>
      </c>
      <c r="BE83" s="471">
        <v>-304.53481899999997</v>
      </c>
      <c r="BF83" s="471">
        <v>-184.85994699999998</v>
      </c>
      <c r="BG83" s="471">
        <v>-222.54901599999994</v>
      </c>
      <c r="BH83" s="471">
        <v>-158.72530600000002</v>
      </c>
      <c r="BI83" s="471">
        <v>-228.81119000000007</v>
      </c>
      <c r="BJ83" s="471">
        <v>-324.79832800000008</v>
      </c>
      <c r="BK83" s="471">
        <v>-194.007825</v>
      </c>
      <c r="BL83" s="471">
        <v>-4205.4029659999997</v>
      </c>
      <c r="BM83" s="471">
        <v>-3363.2253850000006</v>
      </c>
      <c r="BN83" s="471">
        <v>-4496.150979</v>
      </c>
      <c r="BO83" s="471">
        <v>-6250.2258389999988</v>
      </c>
      <c r="BP83" s="500">
        <v>-3808.5492679999998</v>
      </c>
    </row>
    <row r="84" spans="2:68">
      <c r="B84" t="s">
        <v>622</v>
      </c>
      <c r="C84" t="s">
        <v>623</v>
      </c>
      <c r="D84" t="s">
        <v>176</v>
      </c>
      <c r="E84">
        <v>15</v>
      </c>
      <c r="F84" t="s">
        <v>624</v>
      </c>
      <c r="G84" t="s">
        <v>604</v>
      </c>
      <c r="H84" t="s">
        <v>622</v>
      </c>
      <c r="I84" s="499">
        <v>116.77404999999999</v>
      </c>
      <c r="J84" s="471">
        <v>125.85707000000002</v>
      </c>
      <c r="K84" s="471">
        <v>85.094117647058738</v>
      </c>
      <c r="L84" s="471">
        <v>137.07326700000067</v>
      </c>
      <c r="M84" s="471">
        <v>147.67124499999954</v>
      </c>
      <c r="N84" s="471">
        <v>85.28823529411784</v>
      </c>
      <c r="O84" s="471">
        <v>277.7093819999991</v>
      </c>
      <c r="P84" s="471">
        <v>292.41172600000027</v>
      </c>
      <c r="Q84" s="471">
        <v>256.59411764705965</v>
      </c>
      <c r="R84" s="471">
        <v>111.50857600000018</v>
      </c>
      <c r="S84" s="471">
        <v>118.98818299999948</v>
      </c>
      <c r="T84" s="471">
        <v>174.44117647058829</v>
      </c>
      <c r="U84" s="471">
        <v>424.81621999999879</v>
      </c>
      <c r="V84" s="471">
        <v>445.21896799999922</v>
      </c>
      <c r="W84" s="471">
        <v>444.56470588235243</v>
      </c>
      <c r="X84" s="471">
        <v>81.57319600000028</v>
      </c>
      <c r="Y84" s="471">
        <v>86.556921999999759</v>
      </c>
      <c r="Z84" s="471">
        <v>82.311764705882524</v>
      </c>
      <c r="AA84" s="471">
        <v>98.492097999999714</v>
      </c>
      <c r="AB84" s="471">
        <v>104.38351899999998</v>
      </c>
      <c r="AC84" s="471">
        <v>79.505882352940716</v>
      </c>
      <c r="AD84" s="471">
        <v>225.19048199999997</v>
      </c>
      <c r="AE84" s="471">
        <v>238.00159399999939</v>
      </c>
      <c r="AF84" s="471">
        <v>287.88823529411729</v>
      </c>
      <c r="AG84" s="471">
        <v>76.72351400000025</v>
      </c>
      <c r="AH84" s="471">
        <v>81.714772000000266</v>
      </c>
      <c r="AI84" s="471">
        <v>177.66470588235279</v>
      </c>
      <c r="AJ84" s="471">
        <v>370.92173700000058</v>
      </c>
      <c r="AK84" s="471">
        <v>391.034764</v>
      </c>
      <c r="AL84" s="471">
        <v>496.37647058823586</v>
      </c>
      <c r="AM84" s="471">
        <v>4625.8547469999976</v>
      </c>
      <c r="AN84" s="471">
        <v>4647.7558360000039</v>
      </c>
      <c r="AO84" s="471">
        <v>2214.7294117647034</v>
      </c>
      <c r="AP84" s="471">
        <v>5382.5615550000002</v>
      </c>
      <c r="AQ84" s="471">
        <v>5415.6321719999978</v>
      </c>
      <c r="AR84" s="471">
        <v>2435.8000000000029</v>
      </c>
      <c r="AS84" s="471">
        <v>8449.4061709999951</v>
      </c>
      <c r="AT84" s="471">
        <v>8444.2408429999923</v>
      </c>
      <c r="AU84" s="471">
        <v>5362.4117647058811</v>
      </c>
      <c r="AV84" s="471">
        <v>5333.8854240000001</v>
      </c>
      <c r="AW84" s="471">
        <v>5323.3124689999895</v>
      </c>
      <c r="AX84" s="471">
        <v>3785.6411764705917</v>
      </c>
      <c r="AY84" s="471">
        <v>11245.515662999998</v>
      </c>
      <c r="AZ84" s="471">
        <v>11240.755397999994</v>
      </c>
      <c r="BA84" s="500">
        <v>8518.7411764705903</v>
      </c>
      <c r="BB84" s="499">
        <v>333.17784499999993</v>
      </c>
      <c r="BC84" s="471">
        <v>267.94202300000001</v>
      </c>
      <c r="BD84" s="471">
        <v>343.06428299999993</v>
      </c>
      <c r="BE84" s="471">
        <v>470.55561699999998</v>
      </c>
      <c r="BF84" s="471">
        <v>303.22141599999992</v>
      </c>
      <c r="BG84" s="471">
        <v>340.18191999999999</v>
      </c>
      <c r="BH84" s="471">
        <v>271.67312300000003</v>
      </c>
      <c r="BI84" s="471">
        <v>354.77228400000001</v>
      </c>
      <c r="BJ84" s="471">
        <v>474.71961299999998</v>
      </c>
      <c r="BK84" s="471">
        <v>310.33835199999999</v>
      </c>
      <c r="BL84" s="471">
        <v>6824.6936700000006</v>
      </c>
      <c r="BM84" s="471">
        <v>5828.3200410000009</v>
      </c>
      <c r="BN84" s="471">
        <v>7177.4468209999995</v>
      </c>
      <c r="BO84" s="471">
        <v>9458.3555980000019</v>
      </c>
      <c r="BP84" s="500">
        <v>6348.1332840000014</v>
      </c>
    </row>
    <row r="85" spans="2:68">
      <c r="B85" t="s">
        <v>626</v>
      </c>
      <c r="C85" t="s">
        <v>627</v>
      </c>
      <c r="D85" t="s">
        <v>176</v>
      </c>
      <c r="E85">
        <v>16</v>
      </c>
      <c r="F85" t="s">
        <v>624</v>
      </c>
      <c r="G85" t="s">
        <v>608</v>
      </c>
      <c r="H85" t="s">
        <v>626</v>
      </c>
      <c r="I85" s="499">
        <v>335.04736599999978</v>
      </c>
      <c r="J85" s="471">
        <v>358.19111299999986</v>
      </c>
      <c r="K85" s="471">
        <v>184.48235294117694</v>
      </c>
      <c r="L85" s="471">
        <v>376.61682999999994</v>
      </c>
      <c r="M85" s="471">
        <v>402.80878699999994</v>
      </c>
      <c r="N85" s="471">
        <v>191.24705882352919</v>
      </c>
      <c r="O85" s="471">
        <v>636.19398000000001</v>
      </c>
      <c r="P85" s="471">
        <v>671.41573799999969</v>
      </c>
      <c r="Q85" s="471">
        <v>458.31176470588343</v>
      </c>
      <c r="R85" s="471">
        <v>396.37097300000005</v>
      </c>
      <c r="S85" s="471">
        <v>421.31956199999968</v>
      </c>
      <c r="T85" s="471">
        <v>334.20588235294144</v>
      </c>
      <c r="U85" s="471">
        <v>855.83817599999929</v>
      </c>
      <c r="V85" s="471">
        <v>899.33151999999973</v>
      </c>
      <c r="W85" s="471">
        <v>719.54705882352937</v>
      </c>
      <c r="X85" s="471">
        <v>298.55428100000063</v>
      </c>
      <c r="Y85" s="471">
        <v>314.75443799999994</v>
      </c>
      <c r="Z85" s="471">
        <v>189.32941176470604</v>
      </c>
      <c r="AA85" s="471">
        <v>336.57223599999998</v>
      </c>
      <c r="AB85" s="471">
        <v>354.87063899999976</v>
      </c>
      <c r="AC85" s="471">
        <v>195.04117647058774</v>
      </c>
      <c r="AD85" s="471">
        <v>582.52527999999984</v>
      </c>
      <c r="AE85" s="471">
        <v>614.14553799999885</v>
      </c>
      <c r="AF85" s="471">
        <v>523.45294117647063</v>
      </c>
      <c r="AG85" s="471">
        <v>358.11062399999992</v>
      </c>
      <c r="AH85" s="471">
        <v>377.91033100000004</v>
      </c>
      <c r="AI85" s="471">
        <v>355.06470588235243</v>
      </c>
      <c r="AJ85" s="471">
        <v>799.31228200000078</v>
      </c>
      <c r="AK85" s="471">
        <v>841.88859700000103</v>
      </c>
      <c r="AL85" s="471">
        <v>818.52941176470631</v>
      </c>
      <c r="AM85" s="471">
        <v>8555.3970269999954</v>
      </c>
      <c r="AN85" s="471">
        <v>8606.480474</v>
      </c>
      <c r="AO85" s="471">
        <v>3905.7176470588238</v>
      </c>
      <c r="AP85" s="471">
        <v>9720.8246480000016</v>
      </c>
      <c r="AQ85" s="471">
        <v>9790.4049300000042</v>
      </c>
      <c r="AR85" s="471">
        <v>4269.8588235294119</v>
      </c>
      <c r="AS85" s="471">
        <v>15457.890186999997</v>
      </c>
      <c r="AT85" s="471">
        <v>15472.310895999995</v>
      </c>
      <c r="AU85" s="471">
        <v>8819.7058823529442</v>
      </c>
      <c r="AV85" s="471">
        <v>10638.019929000002</v>
      </c>
      <c r="AW85" s="471">
        <v>10648.830705999993</v>
      </c>
      <c r="AX85" s="471">
        <v>6471.0529411764655</v>
      </c>
      <c r="AY85" s="471">
        <v>19759.649848999994</v>
      </c>
      <c r="AZ85" s="471">
        <v>19773.845514000001</v>
      </c>
      <c r="BA85" s="500">
        <v>13223.382352941175</v>
      </c>
      <c r="BB85" s="499">
        <v>339.77175299999999</v>
      </c>
      <c r="BC85" s="471">
        <v>270.04897899999997</v>
      </c>
      <c r="BD85" s="471">
        <v>353.20221499999991</v>
      </c>
      <c r="BE85" s="471">
        <v>489.03702300000009</v>
      </c>
      <c r="BF85" s="471">
        <v>310.07911299999995</v>
      </c>
      <c r="BG85" s="471">
        <v>347.79776000000004</v>
      </c>
      <c r="BH85" s="471">
        <v>274.61808700000006</v>
      </c>
      <c r="BI85" s="471">
        <v>365.99214500000005</v>
      </c>
      <c r="BJ85" s="471">
        <v>494.36660000000006</v>
      </c>
      <c r="BK85" s="471">
        <v>318.80254799999994</v>
      </c>
      <c r="BL85" s="471">
        <v>6810.7574359999999</v>
      </c>
      <c r="BM85" s="471">
        <v>5735.7494800000004</v>
      </c>
      <c r="BN85" s="471">
        <v>7262.8155349999997</v>
      </c>
      <c r="BO85" s="471">
        <v>9678.0873409999986</v>
      </c>
      <c r="BP85" s="500">
        <v>6379.0761280000006</v>
      </c>
    </row>
    <row r="86" spans="2:68">
      <c r="B86" t="s">
        <v>629</v>
      </c>
      <c r="C86" t="s">
        <v>630</v>
      </c>
      <c r="D86" t="s">
        <v>176</v>
      </c>
      <c r="E86">
        <v>17</v>
      </c>
      <c r="F86" t="s">
        <v>624</v>
      </c>
      <c r="G86" t="s">
        <v>612</v>
      </c>
      <c r="H86" t="s">
        <v>629</v>
      </c>
      <c r="I86" s="499">
        <v>1299.342772</v>
      </c>
      <c r="J86" s="471">
        <v>1385.0921930000004</v>
      </c>
      <c r="K86" s="471">
        <v>633.94705882352946</v>
      </c>
      <c r="L86" s="471">
        <v>1440.1769140000006</v>
      </c>
      <c r="M86" s="471">
        <v>1535.8580059999999</v>
      </c>
      <c r="N86" s="471">
        <v>676.57058823529405</v>
      </c>
      <c r="O86" s="471">
        <v>2306.642124</v>
      </c>
      <c r="P86" s="471">
        <v>2435.6648909999994</v>
      </c>
      <c r="Q86" s="471">
        <v>1425.7411764705894</v>
      </c>
      <c r="R86" s="471">
        <v>1636.4152870000007</v>
      </c>
      <c r="S86" s="471">
        <v>1736.575965</v>
      </c>
      <c r="T86" s="471">
        <v>1072.8588235294119</v>
      </c>
      <c r="U86" s="471">
        <v>2937.6333999999988</v>
      </c>
      <c r="V86" s="471">
        <v>3089.6672209999997</v>
      </c>
      <c r="W86" s="471">
        <v>2094.6941176470591</v>
      </c>
      <c r="X86" s="471">
        <v>1238.1504780000005</v>
      </c>
      <c r="Y86" s="471">
        <v>1303.8206179999997</v>
      </c>
      <c r="Z86" s="471">
        <v>672.21764705882356</v>
      </c>
      <c r="AA86" s="471">
        <v>1369.6378359999999</v>
      </c>
      <c r="AB86" s="471">
        <v>1442.8528279999996</v>
      </c>
      <c r="AC86" s="471">
        <v>712.9882352941172</v>
      </c>
      <c r="AD86" s="471">
        <v>2206.716973999999</v>
      </c>
      <c r="AE86" s="471">
        <v>2325.2197459999998</v>
      </c>
      <c r="AF86" s="471">
        <v>1630.2176470588238</v>
      </c>
      <c r="AG86" s="471">
        <v>1563.3442729999997</v>
      </c>
      <c r="AH86" s="471">
        <v>1647.8415709999999</v>
      </c>
      <c r="AI86" s="471">
        <v>1174.0529411764701</v>
      </c>
      <c r="AJ86" s="471">
        <v>2830.5363350000007</v>
      </c>
      <c r="AK86" s="471">
        <v>2980.6859950000016</v>
      </c>
      <c r="AL86" s="471">
        <v>2402.2941176470595</v>
      </c>
      <c r="AM86" s="471">
        <v>26789.140112999998</v>
      </c>
      <c r="AN86" s="471">
        <v>27040.191098000003</v>
      </c>
      <c r="AO86" s="471">
        <v>11942.64705882353</v>
      </c>
      <c r="AP86" s="471">
        <v>29831.078547999998</v>
      </c>
      <c r="AQ86" s="471">
        <v>30131.095644000001</v>
      </c>
      <c r="AR86" s="471">
        <v>13133.74117647059</v>
      </c>
      <c r="AS86" s="471">
        <v>49634.249786999993</v>
      </c>
      <c r="AT86" s="471">
        <v>49830.611707999997</v>
      </c>
      <c r="AU86" s="471">
        <v>25866.823529411762</v>
      </c>
      <c r="AV86" s="471">
        <v>35420.443205000003</v>
      </c>
      <c r="AW86" s="471">
        <v>35618.257361999989</v>
      </c>
      <c r="AX86" s="471">
        <v>19028.347058823529</v>
      </c>
      <c r="AY86" s="471">
        <v>62613.487116999997</v>
      </c>
      <c r="AZ86" s="471">
        <v>62791.880844999992</v>
      </c>
      <c r="BA86" s="500">
        <v>36739.205882352937</v>
      </c>
      <c r="BB86" s="499">
        <v>566.05229399999996</v>
      </c>
      <c r="BC86" s="471">
        <v>426.45005800000001</v>
      </c>
      <c r="BD86" s="471">
        <v>599.69890399999986</v>
      </c>
      <c r="BE86" s="471">
        <v>846.22047999999995</v>
      </c>
      <c r="BF86" s="471">
        <v>511.81800299999992</v>
      </c>
      <c r="BG86" s="471">
        <v>589.16826700000001</v>
      </c>
      <c r="BH86" s="471">
        <v>438.87989300000004</v>
      </c>
      <c r="BI86" s="471">
        <v>626.11847200000011</v>
      </c>
      <c r="BJ86" s="471">
        <v>876.51296000000002</v>
      </c>
      <c r="BK86" s="471">
        <v>533.99291299999993</v>
      </c>
      <c r="BL86" s="471">
        <v>10772.556242999999</v>
      </c>
      <c r="BM86" s="471">
        <v>8612.0490019999997</v>
      </c>
      <c r="BN86" s="471">
        <v>11885.272147</v>
      </c>
      <c r="BO86" s="471">
        <v>16414.840828</v>
      </c>
      <c r="BP86" s="500">
        <v>10120.63825</v>
      </c>
    </row>
    <row r="87" spans="2:68">
      <c r="B87" t="s">
        <v>632</v>
      </c>
      <c r="C87" t="s">
        <v>633</v>
      </c>
      <c r="D87" t="s">
        <v>176</v>
      </c>
      <c r="E87">
        <v>18</v>
      </c>
      <c r="F87" t="s">
        <v>624</v>
      </c>
      <c r="G87" t="s">
        <v>616</v>
      </c>
      <c r="H87" t="s">
        <v>632</v>
      </c>
      <c r="I87" s="499">
        <v>740.61238299999968</v>
      </c>
      <c r="J87" s="471">
        <v>789.91283999999996</v>
      </c>
      <c r="K87" s="471">
        <v>369.26470588235293</v>
      </c>
      <c r="L87" s="471">
        <v>823.95873900000061</v>
      </c>
      <c r="M87" s="471">
        <v>879.11055000000033</v>
      </c>
      <c r="N87" s="471">
        <v>391.60000000000036</v>
      </c>
      <c r="O87" s="471">
        <v>1313.0992859999997</v>
      </c>
      <c r="P87" s="471">
        <v>1386.8392039999999</v>
      </c>
      <c r="Q87" s="471">
        <v>836.10000000000127</v>
      </c>
      <c r="R87" s="471">
        <v>927.16143500000089</v>
      </c>
      <c r="S87" s="471">
        <v>984.62990900000023</v>
      </c>
      <c r="T87" s="471">
        <v>633.47058823529414</v>
      </c>
      <c r="U87" s="471">
        <v>1673.9648799999995</v>
      </c>
      <c r="V87" s="471">
        <v>1760.987545</v>
      </c>
      <c r="W87" s="471">
        <v>1239.2470588235301</v>
      </c>
      <c r="X87" s="471">
        <v>702.08060800000021</v>
      </c>
      <c r="Y87" s="471">
        <v>739.1859429999995</v>
      </c>
      <c r="Z87" s="471">
        <v>389.74705882352919</v>
      </c>
      <c r="AA87" s="471">
        <v>779.87104900000031</v>
      </c>
      <c r="AB87" s="471">
        <v>821.31655499999943</v>
      </c>
      <c r="AC87" s="471">
        <v>411.64705882352882</v>
      </c>
      <c r="AD87" s="471">
        <v>1254.8627229999984</v>
      </c>
      <c r="AE87" s="471">
        <v>1321.9336370000001</v>
      </c>
      <c r="AF87" s="471">
        <v>961.06470588235243</v>
      </c>
      <c r="AG87" s="471">
        <v>882.53457600000002</v>
      </c>
      <c r="AH87" s="471">
        <v>929.99217200000021</v>
      </c>
      <c r="AI87" s="471">
        <v>687.39411764705801</v>
      </c>
      <c r="AJ87" s="471">
        <v>1610.3203599999997</v>
      </c>
      <c r="AK87" s="471">
        <v>1695.4705890000005</v>
      </c>
      <c r="AL87" s="471">
        <v>1423.2176470588238</v>
      </c>
      <c r="AM87" s="471">
        <v>15796.139334999996</v>
      </c>
      <c r="AN87" s="471">
        <v>15910.399894999999</v>
      </c>
      <c r="AO87" s="471">
        <v>7052.1176470588252</v>
      </c>
      <c r="AP87" s="471">
        <v>17615.160151</v>
      </c>
      <c r="AQ87" s="471">
        <v>17759.606169000002</v>
      </c>
      <c r="AR87" s="471">
        <v>7721.4470588235308</v>
      </c>
      <c r="AS87" s="471">
        <v>28575.681328999999</v>
      </c>
      <c r="AT87" s="471">
        <v>28633.483919999999</v>
      </c>
      <c r="AU87" s="471">
        <v>15318.705882352944</v>
      </c>
      <c r="AV87" s="471">
        <v>20474.539633</v>
      </c>
      <c r="AW87" s="471">
        <v>20533.705516999995</v>
      </c>
      <c r="AX87" s="471">
        <v>11470.052941176466</v>
      </c>
      <c r="AY87" s="471">
        <v>35904.598493999991</v>
      </c>
      <c r="AZ87" s="471">
        <v>35962.347938999999</v>
      </c>
      <c r="BA87" s="500">
        <v>22062.26470588235</v>
      </c>
      <c r="BB87" s="499">
        <v>362.46367899999996</v>
      </c>
      <c r="BC87" s="471">
        <v>281.97262799999999</v>
      </c>
      <c r="BD87" s="471">
        <v>383.84175099999993</v>
      </c>
      <c r="BE87" s="471">
        <v>539.96294699999999</v>
      </c>
      <c r="BF87" s="471">
        <v>332.45798499999995</v>
      </c>
      <c r="BG87" s="471">
        <v>373.46200399999998</v>
      </c>
      <c r="BH87" s="471">
        <v>288.81204600000007</v>
      </c>
      <c r="BI87" s="471">
        <v>399.45860500000003</v>
      </c>
      <c r="BJ87" s="471">
        <v>548.65125200000011</v>
      </c>
      <c r="BK87" s="471">
        <v>344.29408799999999</v>
      </c>
      <c r="BL87" s="471">
        <v>6965.967525</v>
      </c>
      <c r="BM87" s="471">
        <v>5704.0619590000006</v>
      </c>
      <c r="BN87" s="471">
        <v>7642.7213080000001</v>
      </c>
      <c r="BO87" s="471">
        <v>10387.776871999999</v>
      </c>
      <c r="BP87" s="500">
        <v>6617.187750000001</v>
      </c>
    </row>
    <row r="88" spans="2:68">
      <c r="B88" t="s">
        <v>635</v>
      </c>
      <c r="C88" t="s">
        <v>636</v>
      </c>
      <c r="D88" t="s">
        <v>176</v>
      </c>
      <c r="E88">
        <v>19</v>
      </c>
      <c r="F88" t="s">
        <v>604</v>
      </c>
      <c r="G88" t="s">
        <v>637</v>
      </c>
      <c r="H88" t="s">
        <v>635</v>
      </c>
      <c r="I88" s="499">
        <v>535.34609799999998</v>
      </c>
      <c r="J88" s="471">
        <v>569.8531550000007</v>
      </c>
      <c r="K88" s="471">
        <v>243.70588235294144</v>
      </c>
      <c r="L88" s="471">
        <v>589.26539999999932</v>
      </c>
      <c r="M88" s="471">
        <v>627.52906299999995</v>
      </c>
      <c r="N88" s="471">
        <v>262.85294117647027</v>
      </c>
      <c r="O88" s="471">
        <v>887.44939900000099</v>
      </c>
      <c r="P88" s="471">
        <v>938.04325599999902</v>
      </c>
      <c r="Q88" s="471">
        <v>498.04705882352937</v>
      </c>
      <c r="R88" s="471">
        <v>699.4717840000003</v>
      </c>
      <c r="S88" s="471">
        <v>742.33961800000088</v>
      </c>
      <c r="T88" s="471">
        <v>394.51764705882351</v>
      </c>
      <c r="U88" s="471">
        <v>1070.6578790000003</v>
      </c>
      <c r="V88" s="471">
        <v>1127.7506360000007</v>
      </c>
      <c r="W88" s="471">
        <v>682.79411764705947</v>
      </c>
      <c r="X88" s="471">
        <v>532.33820300000025</v>
      </c>
      <c r="Y88" s="471">
        <v>559.89450899999974</v>
      </c>
      <c r="Z88" s="471">
        <v>263.92352941176478</v>
      </c>
      <c r="AA88" s="471">
        <v>584.39203700000053</v>
      </c>
      <c r="AB88" s="471">
        <v>614.88484999999946</v>
      </c>
      <c r="AC88" s="471">
        <v>284.62941176470622</v>
      </c>
      <c r="AD88" s="471">
        <v>882.5881419999987</v>
      </c>
      <c r="AE88" s="471">
        <v>929.09633500000018</v>
      </c>
      <c r="AF88" s="471">
        <v>578.65882352941208</v>
      </c>
      <c r="AG88" s="471">
        <v>690.92702999999983</v>
      </c>
      <c r="AH88" s="471">
        <v>727.33835399999953</v>
      </c>
      <c r="AI88" s="471">
        <v>437.78823529411693</v>
      </c>
      <c r="AJ88" s="471">
        <v>1062.3573639999995</v>
      </c>
      <c r="AK88" s="471">
        <v>1118.103591000001</v>
      </c>
      <c r="AL88" s="471">
        <v>796.84117647058792</v>
      </c>
      <c r="AM88" s="471">
        <v>9617.879399999998</v>
      </c>
      <c r="AN88" s="471">
        <v>9695.5301749999962</v>
      </c>
      <c r="AO88" s="471">
        <v>4160.3294117647092</v>
      </c>
      <c r="AP88" s="471">
        <v>10554.127081999999</v>
      </c>
      <c r="AQ88" s="471">
        <v>10648.932217000001</v>
      </c>
      <c r="AR88" s="471">
        <v>4535.8235294117621</v>
      </c>
      <c r="AS88" s="471">
        <v>17294.153848999995</v>
      </c>
      <c r="AT88" s="471">
        <v>17346.685673</v>
      </c>
      <c r="AU88" s="471">
        <v>8553.8235294117621</v>
      </c>
      <c r="AV88" s="471">
        <v>13019.350752999999</v>
      </c>
      <c r="AW88" s="471">
        <v>13077.295595000003</v>
      </c>
      <c r="AX88" s="471">
        <v>6610.7647058823495</v>
      </c>
      <c r="AY88" s="471">
        <v>21162.649548000001</v>
      </c>
      <c r="AZ88" s="471">
        <v>21214.771789999999</v>
      </c>
      <c r="BA88" s="500">
        <v>11647.111764705885</v>
      </c>
      <c r="BB88" s="499">
        <v>25.457545000000096</v>
      </c>
      <c r="BC88" s="471">
        <v>12.270812999999976</v>
      </c>
      <c r="BD88" s="471">
        <v>35.154927000000043</v>
      </c>
      <c r="BE88" s="471">
        <v>59.677883999999949</v>
      </c>
      <c r="BF88" s="471">
        <v>25.332071000000042</v>
      </c>
      <c r="BG88" s="471">
        <v>28.754985000000033</v>
      </c>
      <c r="BH88" s="471">
        <v>14.878620000000012</v>
      </c>
      <c r="BI88" s="471">
        <v>38.427372999999989</v>
      </c>
      <c r="BJ88" s="471">
        <v>63.413215000000037</v>
      </c>
      <c r="BK88" s="471">
        <v>29.374070999999958</v>
      </c>
      <c r="BL88" s="471">
        <v>135.03815399999985</v>
      </c>
      <c r="BM88" s="471">
        <v>-91.472524999999223</v>
      </c>
      <c r="BN88" s="471">
        <v>406.95033899999908</v>
      </c>
      <c r="BO88" s="471">
        <v>807.99627999999939</v>
      </c>
      <c r="BP88" s="500">
        <v>241.35217399999965</v>
      </c>
    </row>
    <row r="89" spans="2:68">
      <c r="B89" t="s">
        <v>639</v>
      </c>
      <c r="C89" t="s">
        <v>640</v>
      </c>
      <c r="D89" t="s">
        <v>176</v>
      </c>
      <c r="E89">
        <v>20</v>
      </c>
      <c r="F89" t="s">
        <v>641</v>
      </c>
      <c r="G89" t="s">
        <v>637</v>
      </c>
      <c r="H89" t="s">
        <v>639</v>
      </c>
      <c r="I89" s="499">
        <v>3870.1752740000002</v>
      </c>
      <c r="J89" s="471">
        <v>4121.9007110000011</v>
      </c>
      <c r="K89" s="471">
        <v>1798.5411764705887</v>
      </c>
      <c r="L89" s="471">
        <v>4236.6220879999992</v>
      </c>
      <c r="M89" s="471">
        <v>4514.0076950000002</v>
      </c>
      <c r="N89" s="471">
        <v>1931.9294117647059</v>
      </c>
      <c r="O89" s="471">
        <v>6332.452279000001</v>
      </c>
      <c r="P89" s="471">
        <v>6696.4929090000005</v>
      </c>
      <c r="Q89" s="471">
        <v>3919.9705882352946</v>
      </c>
      <c r="R89" s="471">
        <v>5000.9895630000001</v>
      </c>
      <c r="S89" s="471">
        <v>5311.0063099999998</v>
      </c>
      <c r="T89" s="471">
        <v>2999.5058823529412</v>
      </c>
      <c r="U89" s="471">
        <v>7613.4536320000007</v>
      </c>
      <c r="V89" s="471">
        <v>8023.5868229999996</v>
      </c>
      <c r="W89" s="471">
        <v>5413.2000000000007</v>
      </c>
      <c r="X89" s="471">
        <v>3818.8200420000003</v>
      </c>
      <c r="Y89" s="471">
        <v>4016.5452329999989</v>
      </c>
      <c r="Z89" s="471">
        <v>1949.3352941176468</v>
      </c>
      <c r="AA89" s="471">
        <v>4176.5047639999993</v>
      </c>
      <c r="AB89" s="471">
        <v>4394.4599459999999</v>
      </c>
      <c r="AC89" s="471">
        <v>2087.8000000000006</v>
      </c>
      <c r="AD89" s="471">
        <v>6248.1302419999993</v>
      </c>
      <c r="AE89" s="471">
        <v>6577.5602589999999</v>
      </c>
      <c r="AF89" s="471">
        <v>4578.288235294116</v>
      </c>
      <c r="AG89" s="471">
        <v>4927.8284670000003</v>
      </c>
      <c r="AH89" s="471">
        <v>5187.6634170000007</v>
      </c>
      <c r="AI89" s="471">
        <v>3387.5823529411764</v>
      </c>
      <c r="AJ89" s="471">
        <v>7535.6533420000014</v>
      </c>
      <c r="AK89" s="471">
        <v>7931.2241020000001</v>
      </c>
      <c r="AL89" s="471">
        <v>6250.9764705882353</v>
      </c>
      <c r="AM89" s="471">
        <v>75006.322297000006</v>
      </c>
      <c r="AN89" s="471">
        <v>75329.734213999996</v>
      </c>
      <c r="AO89" s="471">
        <v>31761.117647058825</v>
      </c>
      <c r="AP89" s="471">
        <v>82134.657529000004</v>
      </c>
      <c r="AQ89" s="471">
        <v>82504.005877999996</v>
      </c>
      <c r="AR89" s="471">
        <v>34531.517647058834</v>
      </c>
      <c r="AS89" s="471">
        <v>126914.10009299999</v>
      </c>
      <c r="AT89" s="471">
        <v>127130.939099</v>
      </c>
      <c r="AU89" s="471">
        <v>69270.335294117656</v>
      </c>
      <c r="AV89" s="471">
        <v>98552.319789000001</v>
      </c>
      <c r="AW89" s="471">
        <v>98781.415207000013</v>
      </c>
      <c r="AX89" s="471">
        <v>52756.552941176473</v>
      </c>
      <c r="AY89" s="471">
        <v>153135.00464300002</v>
      </c>
      <c r="AZ89" s="471">
        <v>153332.20582500001</v>
      </c>
      <c r="BA89" s="500">
        <v>96722.558823529427</v>
      </c>
      <c r="BB89" s="499">
        <v>288.38241800000003</v>
      </c>
      <c r="BC89" s="471">
        <v>192.16952899999995</v>
      </c>
      <c r="BD89" s="471">
        <v>343.81244100000004</v>
      </c>
      <c r="BE89" s="471">
        <v>527.19017499999995</v>
      </c>
      <c r="BF89" s="471">
        <v>290.22179</v>
      </c>
      <c r="BG89" s="471">
        <v>295.38303199999996</v>
      </c>
      <c r="BH89" s="471">
        <v>196.57360299999999</v>
      </c>
      <c r="BI89" s="471">
        <v>354.90251899999998</v>
      </c>
      <c r="BJ89" s="471">
        <v>518.2182949999999</v>
      </c>
      <c r="BK89" s="471">
        <v>302.10877399999993</v>
      </c>
      <c r="BL89" s="471">
        <v>4152.6562370000011</v>
      </c>
      <c r="BM89" s="471">
        <v>2548.8042519999999</v>
      </c>
      <c r="BN89" s="471">
        <v>5546.9709519999979</v>
      </c>
      <c r="BO89" s="471">
        <v>8505.6110890000018</v>
      </c>
      <c r="BP89" s="500">
        <v>4548.8678710000004</v>
      </c>
    </row>
    <row r="90" spans="2:68">
      <c r="B90" t="s">
        <v>643</v>
      </c>
      <c r="C90" t="s">
        <v>644</v>
      </c>
      <c r="D90" t="s">
        <v>176</v>
      </c>
      <c r="E90">
        <v>21</v>
      </c>
      <c r="F90" t="s">
        <v>645</v>
      </c>
      <c r="G90" t="s">
        <v>637</v>
      </c>
      <c r="H90" t="s">
        <v>643</v>
      </c>
      <c r="I90" s="499">
        <v>2232.5061809999997</v>
      </c>
      <c r="J90" s="471">
        <v>2378.2062430000005</v>
      </c>
      <c r="K90" s="471">
        <v>1056.0235294117647</v>
      </c>
      <c r="L90" s="471">
        <v>2450.063537</v>
      </c>
      <c r="M90" s="471">
        <v>2611.3414339999999</v>
      </c>
      <c r="N90" s="471">
        <v>1133.0941176470587</v>
      </c>
      <c r="O90" s="471">
        <v>3732.4395210000002</v>
      </c>
      <c r="P90" s="471">
        <v>3945.539945999999</v>
      </c>
      <c r="Q90" s="471">
        <v>2290.1999999999998</v>
      </c>
      <c r="R90" s="471">
        <v>2869.5266860000002</v>
      </c>
      <c r="S90" s="471">
        <v>3047.0446309999998</v>
      </c>
      <c r="T90" s="471">
        <v>1758.3058823529414</v>
      </c>
      <c r="U90" s="471">
        <v>4559.2474499999989</v>
      </c>
      <c r="V90" s="471">
        <v>4802.172638</v>
      </c>
      <c r="W90" s="471">
        <v>3235.2823529411762</v>
      </c>
      <c r="X90" s="471">
        <v>2182.3068629999998</v>
      </c>
      <c r="Y90" s="471">
        <v>2295.9219789999997</v>
      </c>
      <c r="Z90" s="471">
        <v>1133.1882352941179</v>
      </c>
      <c r="AA90" s="471">
        <v>2393.6388189999998</v>
      </c>
      <c r="AB90" s="471">
        <v>2519.1922009999998</v>
      </c>
      <c r="AC90" s="471">
        <v>1209.5588235294117</v>
      </c>
      <c r="AD90" s="471">
        <v>3662.5894360000002</v>
      </c>
      <c r="AE90" s="471">
        <v>3856.4166980000009</v>
      </c>
      <c r="AF90" s="471">
        <v>2670.5294117647054</v>
      </c>
      <c r="AG90" s="471">
        <v>2805.7899719999996</v>
      </c>
      <c r="AH90" s="471">
        <v>2954.4545850000004</v>
      </c>
      <c r="AI90" s="471">
        <v>1959.3882352941173</v>
      </c>
      <c r="AJ90" s="471">
        <v>4484.4776959999999</v>
      </c>
      <c r="AK90" s="471">
        <v>4720.3725950000007</v>
      </c>
      <c r="AL90" s="471">
        <v>3736.2647058823532</v>
      </c>
      <c r="AM90" s="471">
        <v>43772.370881000003</v>
      </c>
      <c r="AN90" s="471">
        <v>44006.556580999997</v>
      </c>
      <c r="AO90" s="471">
        <v>18823.811764705883</v>
      </c>
      <c r="AP90" s="471">
        <v>48182.576386999994</v>
      </c>
      <c r="AQ90" s="471">
        <v>48454.392029000002</v>
      </c>
      <c r="AR90" s="471">
        <v>20505.847058823532</v>
      </c>
      <c r="AS90" s="471">
        <v>76150.964997999981</v>
      </c>
      <c r="AT90" s="471">
        <v>76295.001548999993</v>
      </c>
      <c r="AU90" s="471">
        <v>40467.641176470584</v>
      </c>
      <c r="AV90" s="471">
        <v>57414.158951999998</v>
      </c>
      <c r="AW90" s="471">
        <v>57563.878957000001</v>
      </c>
      <c r="AX90" s="471">
        <v>30894.664705882358</v>
      </c>
      <c r="AY90" s="471">
        <v>92891.945002000008</v>
      </c>
      <c r="AZ90" s="471">
        <v>93025.87993000001</v>
      </c>
      <c r="BA90" s="500">
        <v>57204.188235294132</v>
      </c>
      <c r="BB90" s="499">
        <v>364.12332300000003</v>
      </c>
      <c r="BC90" s="471">
        <v>266.85098299999999</v>
      </c>
      <c r="BD90" s="471">
        <v>405.46017900000015</v>
      </c>
      <c r="BE90" s="471">
        <v>589.572676</v>
      </c>
      <c r="BF90" s="471">
        <v>346.249753</v>
      </c>
      <c r="BG90" s="471">
        <v>372.609601</v>
      </c>
      <c r="BH90" s="471">
        <v>272.43954600000001</v>
      </c>
      <c r="BI90" s="471">
        <v>418.88907999999992</v>
      </c>
      <c r="BJ90" s="471">
        <v>587.28437299999996</v>
      </c>
      <c r="BK90" s="471">
        <v>359.23083199999996</v>
      </c>
      <c r="BL90" s="471">
        <v>6223.4809079999995</v>
      </c>
      <c r="BM90" s="471">
        <v>4639.796174000001</v>
      </c>
      <c r="BN90" s="471">
        <v>7310.2280179999998</v>
      </c>
      <c r="BO90" s="471">
        <v>10426.058872000001</v>
      </c>
      <c r="BP90" s="500">
        <v>6205.4658500000005</v>
      </c>
    </row>
    <row r="91" spans="2:68">
      <c r="B91" t="s">
        <v>647</v>
      </c>
      <c r="C91" t="s">
        <v>648</v>
      </c>
      <c r="D91" t="s">
        <v>176</v>
      </c>
      <c r="E91">
        <v>22</v>
      </c>
      <c r="F91" t="s">
        <v>641</v>
      </c>
      <c r="G91" t="s">
        <v>608</v>
      </c>
      <c r="H91" t="s">
        <v>647</v>
      </c>
      <c r="I91" s="499">
        <v>3553.102492</v>
      </c>
      <c r="J91" s="471">
        <v>3784.3815990000003</v>
      </c>
      <c r="K91" s="471">
        <v>1654.2235294117654</v>
      </c>
      <c r="L91" s="471">
        <v>3886.9002509999991</v>
      </c>
      <c r="M91" s="471">
        <v>4141.6161740000007</v>
      </c>
      <c r="N91" s="471">
        <v>1775.035294117647</v>
      </c>
      <c r="O91" s="471">
        <v>5803.4874780000009</v>
      </c>
      <c r="P91" s="471">
        <v>6137.4536650000009</v>
      </c>
      <c r="Q91" s="471">
        <v>3623.641176470589</v>
      </c>
      <c r="R91" s="471">
        <v>4586.3801759999997</v>
      </c>
      <c r="S91" s="471">
        <v>4870.9980709999991</v>
      </c>
      <c r="T91" s="471">
        <v>2764.7529411764708</v>
      </c>
      <c r="U91" s="471">
        <v>6973.8177090000008</v>
      </c>
      <c r="V91" s="471">
        <v>7349.9487389999995</v>
      </c>
      <c r="W91" s="471">
        <v>5005.3882352941182</v>
      </c>
      <c r="X91" s="471">
        <v>3503.4629240000004</v>
      </c>
      <c r="Y91" s="471">
        <v>3684.8482399999994</v>
      </c>
      <c r="Z91" s="471">
        <v>1792.4294117647055</v>
      </c>
      <c r="AA91" s="471">
        <v>3830.1928649999991</v>
      </c>
      <c r="AB91" s="471">
        <v>4030.0622160000003</v>
      </c>
      <c r="AC91" s="471">
        <v>1918.7058823529414</v>
      </c>
      <c r="AD91" s="471">
        <v>5722.8768980000004</v>
      </c>
      <c r="AE91" s="471">
        <v>6024.6078679999991</v>
      </c>
      <c r="AF91" s="471">
        <v>4235.1941176470573</v>
      </c>
      <c r="AG91" s="471">
        <v>4518.2885470000001</v>
      </c>
      <c r="AH91" s="471">
        <v>4756.5206220000009</v>
      </c>
      <c r="AI91" s="471">
        <v>3127.1941176470591</v>
      </c>
      <c r="AJ91" s="471">
        <v>6901.6865230000021</v>
      </c>
      <c r="AK91" s="471">
        <v>7263.9743440000002</v>
      </c>
      <c r="AL91" s="471">
        <v>5776.2882352941178</v>
      </c>
      <c r="AM91" s="471">
        <v>69317.985176999995</v>
      </c>
      <c r="AN91" s="471">
        <v>69592.928677000004</v>
      </c>
      <c r="AO91" s="471">
        <v>29291.776470588236</v>
      </c>
      <c r="AP91" s="471">
        <v>75918.793540000013</v>
      </c>
      <c r="AQ91" s="471">
        <v>76229.846419000009</v>
      </c>
      <c r="AR91" s="471">
        <v>31829.752941176477</v>
      </c>
      <c r="AS91" s="471">
        <v>116628.43025999999</v>
      </c>
      <c r="AT91" s="471">
        <v>116812.323479</v>
      </c>
      <c r="AU91" s="471">
        <v>64173.805882352957</v>
      </c>
      <c r="AV91" s="471">
        <v>90837.103541000004</v>
      </c>
      <c r="AW91" s="471">
        <v>91029.637849000006</v>
      </c>
      <c r="AX91" s="471">
        <v>48831.199999999997</v>
      </c>
      <c r="AY91" s="471">
        <v>140486.48928099999</v>
      </c>
      <c r="AZ91" s="471">
        <v>140650.52415100002</v>
      </c>
      <c r="BA91" s="500">
        <v>89780.088235294126</v>
      </c>
      <c r="BB91" s="499">
        <v>269.51878099999999</v>
      </c>
      <c r="BC91" s="471">
        <v>182.00567199999995</v>
      </c>
      <c r="BD91" s="471">
        <v>318.79544599999997</v>
      </c>
      <c r="BE91" s="471">
        <v>485.99369700000011</v>
      </c>
      <c r="BF91" s="471">
        <v>271.74741599999999</v>
      </c>
      <c r="BG91" s="471">
        <v>274.24388699999997</v>
      </c>
      <c r="BH91" s="471">
        <v>184.63994700000001</v>
      </c>
      <c r="BI91" s="471">
        <v>327.69500700000003</v>
      </c>
      <c r="BJ91" s="471">
        <v>474.45206699999994</v>
      </c>
      <c r="BK91" s="471">
        <v>281.19889899999993</v>
      </c>
      <c r="BL91" s="471">
        <v>4003.6818490000005</v>
      </c>
      <c r="BM91" s="471">
        <v>2547.7062159999987</v>
      </c>
      <c r="BN91" s="471">
        <v>5225.389326999999</v>
      </c>
      <c r="BO91" s="471">
        <v>7917.3465519999991</v>
      </c>
      <c r="BP91" s="500">
        <v>4338.458541</v>
      </c>
    </row>
    <row r="92" spans="2:68">
      <c r="B92" t="s">
        <v>650</v>
      </c>
      <c r="C92" t="s">
        <v>651</v>
      </c>
      <c r="D92" t="s">
        <v>176</v>
      </c>
      <c r="E92">
        <v>23</v>
      </c>
      <c r="F92" t="s">
        <v>645</v>
      </c>
      <c r="G92" t="s">
        <v>608</v>
      </c>
      <c r="H92" t="s">
        <v>650</v>
      </c>
      <c r="I92" s="499">
        <v>1915.4333989999996</v>
      </c>
      <c r="J92" s="471">
        <v>2040.6871309999997</v>
      </c>
      <c r="K92" s="471">
        <v>911.70588235294144</v>
      </c>
      <c r="L92" s="471">
        <v>2100.3416999999999</v>
      </c>
      <c r="M92" s="471">
        <v>2238.9499130000004</v>
      </c>
      <c r="N92" s="471">
        <v>976.19999999999982</v>
      </c>
      <c r="O92" s="471">
        <v>3203.4747200000002</v>
      </c>
      <c r="P92" s="471">
        <v>3386.5007019999994</v>
      </c>
      <c r="Q92" s="471">
        <v>1993.8705882352942</v>
      </c>
      <c r="R92" s="471">
        <v>2454.9172989999997</v>
      </c>
      <c r="S92" s="471">
        <v>2607.0363919999991</v>
      </c>
      <c r="T92" s="471">
        <v>1523.552941176471</v>
      </c>
      <c r="U92" s="471">
        <v>3919.6115269999991</v>
      </c>
      <c r="V92" s="471">
        <v>4128.5345539999998</v>
      </c>
      <c r="W92" s="471">
        <v>2827.4705882352937</v>
      </c>
      <c r="X92" s="471">
        <v>1866.9497449999999</v>
      </c>
      <c r="Y92" s="471">
        <v>1964.2249860000002</v>
      </c>
      <c r="Z92" s="471">
        <v>976.28235294117667</v>
      </c>
      <c r="AA92" s="471">
        <v>2047.3269199999995</v>
      </c>
      <c r="AB92" s="471">
        <v>2154.7944710000002</v>
      </c>
      <c r="AC92" s="471">
        <v>1040.4647058823525</v>
      </c>
      <c r="AD92" s="471">
        <v>3137.3360920000014</v>
      </c>
      <c r="AE92" s="471">
        <v>3303.4643070000002</v>
      </c>
      <c r="AF92" s="471">
        <v>2327.4352941176467</v>
      </c>
      <c r="AG92" s="471">
        <v>2396.2500519999994</v>
      </c>
      <c r="AH92" s="471">
        <v>2523.3117900000007</v>
      </c>
      <c r="AI92" s="471">
        <v>1699</v>
      </c>
      <c r="AJ92" s="471">
        <v>3850.5108770000006</v>
      </c>
      <c r="AK92" s="471">
        <v>4053.1228370000008</v>
      </c>
      <c r="AL92" s="471">
        <v>3261.5764705882357</v>
      </c>
      <c r="AM92" s="471">
        <v>38084.033760999999</v>
      </c>
      <c r="AN92" s="471">
        <v>38269.751044000004</v>
      </c>
      <c r="AO92" s="471">
        <v>16354.470588235294</v>
      </c>
      <c r="AP92" s="471">
        <v>41966.712397999996</v>
      </c>
      <c r="AQ92" s="471">
        <v>42180.232570000007</v>
      </c>
      <c r="AR92" s="471">
        <v>17804.082352941179</v>
      </c>
      <c r="AS92" s="471">
        <v>65865.295164999989</v>
      </c>
      <c r="AT92" s="471">
        <v>65976.385928999996</v>
      </c>
      <c r="AU92" s="471">
        <v>35371.111764705885</v>
      </c>
      <c r="AV92" s="471">
        <v>49698.942704000001</v>
      </c>
      <c r="AW92" s="471">
        <v>49812.101599000001</v>
      </c>
      <c r="AX92" s="471">
        <v>26969.311764705883</v>
      </c>
      <c r="AY92" s="471">
        <v>80243.429640000002</v>
      </c>
      <c r="AZ92" s="471">
        <v>80344.198256000018</v>
      </c>
      <c r="BA92" s="500">
        <v>50261.717647058831</v>
      </c>
      <c r="BB92" s="499">
        <v>345.25968599999999</v>
      </c>
      <c r="BC92" s="471">
        <v>256.68712599999998</v>
      </c>
      <c r="BD92" s="471">
        <v>380.44318400000009</v>
      </c>
      <c r="BE92" s="471">
        <v>548.37619800000016</v>
      </c>
      <c r="BF92" s="471">
        <v>327.77537899999999</v>
      </c>
      <c r="BG92" s="471">
        <v>351.47045600000001</v>
      </c>
      <c r="BH92" s="471">
        <v>260.50589000000002</v>
      </c>
      <c r="BI92" s="471">
        <v>391.68156799999997</v>
      </c>
      <c r="BJ92" s="471">
        <v>543.518145</v>
      </c>
      <c r="BK92" s="471">
        <v>338.32095699999996</v>
      </c>
      <c r="BL92" s="471">
        <v>6074.506519999999</v>
      </c>
      <c r="BM92" s="471">
        <v>4638.6981379999997</v>
      </c>
      <c r="BN92" s="471">
        <v>6988.6463930000009</v>
      </c>
      <c r="BO92" s="471">
        <v>9837.7943349999987</v>
      </c>
      <c r="BP92" s="500">
        <v>5995.0565200000001</v>
      </c>
    </row>
    <row r="93" spans="2:68">
      <c r="B93" t="s">
        <v>653</v>
      </c>
      <c r="C93" t="s">
        <v>654</v>
      </c>
      <c r="D93" t="s">
        <v>176</v>
      </c>
      <c r="E93">
        <v>24</v>
      </c>
      <c r="F93" t="s">
        <v>604</v>
      </c>
      <c r="G93" t="s">
        <v>608</v>
      </c>
      <c r="H93" t="s">
        <v>653</v>
      </c>
      <c r="I93" s="499">
        <v>218.2733159999998</v>
      </c>
      <c r="J93" s="471">
        <v>232.33404299999984</v>
      </c>
      <c r="K93" s="471">
        <v>99.388235294118203</v>
      </c>
      <c r="L93" s="471">
        <v>239.54356299999927</v>
      </c>
      <c r="M93" s="471">
        <v>255.13754200000039</v>
      </c>
      <c r="N93" s="471">
        <v>105.95882352941135</v>
      </c>
      <c r="O93" s="471">
        <v>358.48459800000091</v>
      </c>
      <c r="P93" s="471">
        <v>379.00401199999942</v>
      </c>
      <c r="Q93" s="471">
        <v>201.71764705882379</v>
      </c>
      <c r="R93" s="471">
        <v>284.86239699999987</v>
      </c>
      <c r="S93" s="471">
        <v>302.3313790000002</v>
      </c>
      <c r="T93" s="471">
        <v>159.76470588235316</v>
      </c>
      <c r="U93" s="471">
        <v>431.0219560000005</v>
      </c>
      <c r="V93" s="471">
        <v>454.11255200000051</v>
      </c>
      <c r="W93" s="471">
        <v>274.98235294117694</v>
      </c>
      <c r="X93" s="471">
        <v>216.98108500000035</v>
      </c>
      <c r="Y93" s="471">
        <v>228.19751600000018</v>
      </c>
      <c r="Z93" s="471">
        <v>107.01764705882351</v>
      </c>
      <c r="AA93" s="471">
        <v>238.08013800000026</v>
      </c>
      <c r="AB93" s="471">
        <v>250.48711999999978</v>
      </c>
      <c r="AC93" s="471">
        <v>115.53529411764703</v>
      </c>
      <c r="AD93" s="471">
        <v>357.33479799999986</v>
      </c>
      <c r="AE93" s="471">
        <v>376.14394399999946</v>
      </c>
      <c r="AF93" s="471">
        <v>235.56470588235334</v>
      </c>
      <c r="AG93" s="471">
        <v>281.38710999999967</v>
      </c>
      <c r="AH93" s="471">
        <v>296.19555899999978</v>
      </c>
      <c r="AI93" s="471">
        <v>177.39999999999964</v>
      </c>
      <c r="AJ93" s="471">
        <v>428.3905450000002</v>
      </c>
      <c r="AK93" s="471">
        <v>450.85383300000103</v>
      </c>
      <c r="AL93" s="471">
        <v>322.15294117647045</v>
      </c>
      <c r="AM93" s="471">
        <v>3929.5422799999978</v>
      </c>
      <c r="AN93" s="471">
        <v>3958.724637999996</v>
      </c>
      <c r="AO93" s="471">
        <v>1690.9882352941204</v>
      </c>
      <c r="AP93" s="471">
        <v>4338.2630930000014</v>
      </c>
      <c r="AQ93" s="471">
        <v>4374.7727580000064</v>
      </c>
      <c r="AR93" s="471">
        <v>1834.058823529409</v>
      </c>
      <c r="AS93" s="471">
        <v>7008.4840160000022</v>
      </c>
      <c r="AT93" s="471">
        <v>7028.0700530000031</v>
      </c>
      <c r="AU93" s="471">
        <v>3457.2941176470631</v>
      </c>
      <c r="AV93" s="471">
        <v>5304.1345050000018</v>
      </c>
      <c r="AW93" s="471">
        <v>5325.5182370000039</v>
      </c>
      <c r="AX93" s="471">
        <v>2685.4117647058738</v>
      </c>
      <c r="AY93" s="471">
        <v>8514.1341859999957</v>
      </c>
      <c r="AZ93" s="471">
        <v>8533.0901160000067</v>
      </c>
      <c r="BA93" s="500">
        <v>4704.6411764705845</v>
      </c>
      <c r="BB93" s="499">
        <v>6.5939080000000558</v>
      </c>
      <c r="BC93" s="471">
        <v>2.1069559999999683</v>
      </c>
      <c r="BD93" s="471">
        <v>10.137931999999978</v>
      </c>
      <c r="BE93" s="471">
        <v>18.481406000000106</v>
      </c>
      <c r="BF93" s="471">
        <v>6.8576970000000301</v>
      </c>
      <c r="BG93" s="471">
        <v>7.6158400000000483</v>
      </c>
      <c r="BH93" s="471">
        <v>2.9449640000000272</v>
      </c>
      <c r="BI93" s="471">
        <v>11.219861000000037</v>
      </c>
      <c r="BJ93" s="471">
        <v>19.646987000000081</v>
      </c>
      <c r="BK93" s="471">
        <v>8.4641959999999585</v>
      </c>
      <c r="BL93" s="471">
        <v>-13.936234000000695</v>
      </c>
      <c r="BM93" s="471">
        <v>-92.570561000000453</v>
      </c>
      <c r="BN93" s="471">
        <v>85.368714000000182</v>
      </c>
      <c r="BO93" s="471">
        <v>219.73174299999664</v>
      </c>
      <c r="BP93" s="500">
        <v>30.942843999999241</v>
      </c>
    </row>
    <row r="94" spans="2:68">
      <c r="B94" t="s">
        <v>655</v>
      </c>
      <c r="C94" t="s">
        <v>656</v>
      </c>
      <c r="D94" t="s">
        <v>58</v>
      </c>
      <c r="E94">
        <v>10</v>
      </c>
      <c r="F94" t="s">
        <v>657</v>
      </c>
      <c r="G94" t="s">
        <v>179</v>
      </c>
      <c r="H94" t="s">
        <v>655</v>
      </c>
      <c r="I94" s="499">
        <v>0</v>
      </c>
      <c r="J94" s="471">
        <v>0</v>
      </c>
      <c r="K94" s="471">
        <v>0</v>
      </c>
      <c r="L94" s="471">
        <v>0</v>
      </c>
      <c r="M94" s="471">
        <v>0</v>
      </c>
      <c r="N94" s="471">
        <v>0</v>
      </c>
      <c r="O94" s="471">
        <v>0</v>
      </c>
      <c r="P94" s="471">
        <v>0</v>
      </c>
      <c r="Q94" s="471">
        <v>0</v>
      </c>
      <c r="R94" s="471">
        <v>0</v>
      </c>
      <c r="S94" s="471">
        <v>0</v>
      </c>
      <c r="T94" s="471">
        <v>0</v>
      </c>
      <c r="U94" s="471">
        <v>0</v>
      </c>
      <c r="V94" s="471">
        <v>0</v>
      </c>
      <c r="W94" s="471">
        <v>0</v>
      </c>
      <c r="X94" s="471">
        <v>0</v>
      </c>
      <c r="Y94" s="471">
        <v>0</v>
      </c>
      <c r="Z94" s="471">
        <v>0</v>
      </c>
      <c r="AA94" s="471">
        <v>0</v>
      </c>
      <c r="AB94" s="471">
        <v>0</v>
      </c>
      <c r="AC94" s="471">
        <v>0</v>
      </c>
      <c r="AD94" s="471">
        <v>0</v>
      </c>
      <c r="AE94" s="471">
        <v>0</v>
      </c>
      <c r="AF94" s="471">
        <v>0</v>
      </c>
      <c r="AG94" s="471">
        <v>0</v>
      </c>
      <c r="AH94" s="471">
        <v>0</v>
      </c>
      <c r="AI94" s="471">
        <v>0</v>
      </c>
      <c r="AJ94" s="471">
        <v>0</v>
      </c>
      <c r="AK94" s="471">
        <v>0</v>
      </c>
      <c r="AL94" s="471">
        <v>0</v>
      </c>
      <c r="AM94" s="471">
        <v>0</v>
      </c>
      <c r="AN94" s="471">
        <v>0</v>
      </c>
      <c r="AO94" s="471">
        <v>0</v>
      </c>
      <c r="AP94" s="471">
        <v>0</v>
      </c>
      <c r="AQ94" s="471">
        <v>0</v>
      </c>
      <c r="AR94" s="471">
        <v>0</v>
      </c>
      <c r="AS94" s="471">
        <v>0</v>
      </c>
      <c r="AT94" s="471">
        <v>0</v>
      </c>
      <c r="AU94" s="471">
        <v>0</v>
      </c>
      <c r="AV94" s="471">
        <v>0</v>
      </c>
      <c r="AW94" s="471">
        <v>0</v>
      </c>
      <c r="AX94" s="471">
        <v>0</v>
      </c>
      <c r="AY94" s="471">
        <v>0</v>
      </c>
      <c r="AZ94" s="471">
        <v>0</v>
      </c>
      <c r="BA94" s="500">
        <v>0</v>
      </c>
      <c r="BB94" s="499">
        <v>0</v>
      </c>
      <c r="BC94" s="471">
        <v>0</v>
      </c>
      <c r="BD94" s="471">
        <v>0</v>
      </c>
      <c r="BE94" s="471">
        <v>0</v>
      </c>
      <c r="BF94" s="471">
        <v>0</v>
      </c>
      <c r="BG94" s="471">
        <v>0</v>
      </c>
      <c r="BH94" s="471">
        <v>0</v>
      </c>
      <c r="BI94" s="471">
        <v>0</v>
      </c>
      <c r="BJ94" s="471">
        <v>0</v>
      </c>
      <c r="BK94" s="471">
        <v>0</v>
      </c>
      <c r="BL94" s="471">
        <v>0</v>
      </c>
      <c r="BM94" s="471">
        <v>0</v>
      </c>
      <c r="BN94" s="471">
        <v>0</v>
      </c>
      <c r="BO94" s="471">
        <v>0</v>
      </c>
      <c r="BP94" s="500">
        <v>0</v>
      </c>
    </row>
    <row r="95" spans="2:68">
      <c r="B95" t="s">
        <v>659</v>
      </c>
      <c r="C95" t="s">
        <v>660</v>
      </c>
      <c r="D95" t="s">
        <v>58</v>
      </c>
      <c r="E95">
        <v>11</v>
      </c>
      <c r="F95" t="s">
        <v>657</v>
      </c>
      <c r="G95" t="s">
        <v>661</v>
      </c>
      <c r="H95" t="s">
        <v>659</v>
      </c>
      <c r="I95" s="499">
        <v>0</v>
      </c>
      <c r="J95" s="471">
        <v>0</v>
      </c>
      <c r="K95" s="471">
        <v>0</v>
      </c>
      <c r="L95" s="471">
        <v>0</v>
      </c>
      <c r="M95" s="471">
        <v>0</v>
      </c>
      <c r="N95" s="471">
        <v>0</v>
      </c>
      <c r="O95" s="471">
        <v>0</v>
      </c>
      <c r="P95" s="471">
        <v>0</v>
      </c>
      <c r="Q95" s="471">
        <v>0</v>
      </c>
      <c r="R95" s="471">
        <v>0</v>
      </c>
      <c r="S95" s="471">
        <v>0</v>
      </c>
      <c r="T95" s="471">
        <v>0</v>
      </c>
      <c r="U95" s="471">
        <v>0</v>
      </c>
      <c r="V95" s="471">
        <v>0</v>
      </c>
      <c r="W95" s="471">
        <v>0</v>
      </c>
      <c r="X95" s="471">
        <v>0</v>
      </c>
      <c r="Y95" s="471">
        <v>0</v>
      </c>
      <c r="Z95" s="471">
        <v>0</v>
      </c>
      <c r="AA95" s="471">
        <v>0</v>
      </c>
      <c r="AB95" s="471">
        <v>0</v>
      </c>
      <c r="AC95" s="471">
        <v>0</v>
      </c>
      <c r="AD95" s="471">
        <v>0</v>
      </c>
      <c r="AE95" s="471">
        <v>0</v>
      </c>
      <c r="AF95" s="471">
        <v>0</v>
      </c>
      <c r="AG95" s="471">
        <v>0</v>
      </c>
      <c r="AH95" s="471">
        <v>0</v>
      </c>
      <c r="AI95" s="471">
        <v>0</v>
      </c>
      <c r="AJ95" s="471">
        <v>0</v>
      </c>
      <c r="AK95" s="471">
        <v>0</v>
      </c>
      <c r="AL95" s="471">
        <v>0</v>
      </c>
      <c r="AM95" s="471">
        <v>0</v>
      </c>
      <c r="AN95" s="471">
        <v>0</v>
      </c>
      <c r="AO95" s="471">
        <v>0</v>
      </c>
      <c r="AP95" s="471">
        <v>0</v>
      </c>
      <c r="AQ95" s="471">
        <v>0</v>
      </c>
      <c r="AR95" s="471">
        <v>0</v>
      </c>
      <c r="AS95" s="471">
        <v>0</v>
      </c>
      <c r="AT95" s="471">
        <v>0</v>
      </c>
      <c r="AU95" s="471">
        <v>0</v>
      </c>
      <c r="AV95" s="471">
        <v>0</v>
      </c>
      <c r="AW95" s="471">
        <v>0</v>
      </c>
      <c r="AX95" s="471">
        <v>0</v>
      </c>
      <c r="AY95" s="471">
        <v>0</v>
      </c>
      <c r="AZ95" s="471">
        <v>0</v>
      </c>
      <c r="BA95" s="500">
        <v>0</v>
      </c>
      <c r="BB95" s="499">
        <v>0</v>
      </c>
      <c r="BC95" s="471">
        <v>0</v>
      </c>
      <c r="BD95" s="471">
        <v>0</v>
      </c>
      <c r="BE95" s="471">
        <v>0</v>
      </c>
      <c r="BF95" s="471">
        <v>0</v>
      </c>
      <c r="BG95" s="471">
        <v>0</v>
      </c>
      <c r="BH95" s="471">
        <v>0</v>
      </c>
      <c r="BI95" s="471">
        <v>0</v>
      </c>
      <c r="BJ95" s="471">
        <v>0</v>
      </c>
      <c r="BK95" s="471">
        <v>0</v>
      </c>
      <c r="BL95" s="471">
        <v>0</v>
      </c>
      <c r="BM95" s="471">
        <v>0</v>
      </c>
      <c r="BN95" s="471">
        <v>0</v>
      </c>
      <c r="BO95" s="471">
        <v>0</v>
      </c>
      <c r="BP95" s="500">
        <v>0</v>
      </c>
    </row>
    <row r="96" spans="2:68">
      <c r="B96" t="s">
        <v>663</v>
      </c>
      <c r="C96" t="s">
        <v>664</v>
      </c>
      <c r="D96" t="s">
        <v>58</v>
      </c>
      <c r="E96">
        <v>12</v>
      </c>
      <c r="F96" t="s">
        <v>179</v>
      </c>
      <c r="G96" t="s">
        <v>661</v>
      </c>
      <c r="H96" t="s">
        <v>663</v>
      </c>
      <c r="I96" s="499">
        <v>0</v>
      </c>
      <c r="J96" s="471">
        <v>0</v>
      </c>
      <c r="K96" s="471">
        <v>0</v>
      </c>
      <c r="L96" s="471">
        <v>0</v>
      </c>
      <c r="M96" s="471">
        <v>0</v>
      </c>
      <c r="N96" s="471">
        <v>0</v>
      </c>
      <c r="O96" s="471">
        <v>0</v>
      </c>
      <c r="P96" s="471">
        <v>0</v>
      </c>
      <c r="Q96" s="471">
        <v>0</v>
      </c>
      <c r="R96" s="471">
        <v>0</v>
      </c>
      <c r="S96" s="471">
        <v>0</v>
      </c>
      <c r="T96" s="471">
        <v>0</v>
      </c>
      <c r="U96" s="471">
        <v>0</v>
      </c>
      <c r="V96" s="471">
        <v>0</v>
      </c>
      <c r="W96" s="471">
        <v>0</v>
      </c>
      <c r="X96" s="471">
        <v>0</v>
      </c>
      <c r="Y96" s="471">
        <v>0</v>
      </c>
      <c r="Z96" s="471">
        <v>0</v>
      </c>
      <c r="AA96" s="471">
        <v>0</v>
      </c>
      <c r="AB96" s="471">
        <v>0</v>
      </c>
      <c r="AC96" s="471">
        <v>0</v>
      </c>
      <c r="AD96" s="471">
        <v>0</v>
      </c>
      <c r="AE96" s="471">
        <v>0</v>
      </c>
      <c r="AF96" s="471">
        <v>0</v>
      </c>
      <c r="AG96" s="471">
        <v>0</v>
      </c>
      <c r="AH96" s="471">
        <v>0</v>
      </c>
      <c r="AI96" s="471">
        <v>0</v>
      </c>
      <c r="AJ96" s="471">
        <v>0</v>
      </c>
      <c r="AK96" s="471">
        <v>0</v>
      </c>
      <c r="AL96" s="471">
        <v>0</v>
      </c>
      <c r="AM96" s="471">
        <v>0</v>
      </c>
      <c r="AN96" s="471">
        <v>0</v>
      </c>
      <c r="AO96" s="471">
        <v>0</v>
      </c>
      <c r="AP96" s="471">
        <v>0</v>
      </c>
      <c r="AQ96" s="471">
        <v>0</v>
      </c>
      <c r="AR96" s="471">
        <v>0</v>
      </c>
      <c r="AS96" s="471">
        <v>0</v>
      </c>
      <c r="AT96" s="471">
        <v>0</v>
      </c>
      <c r="AU96" s="471">
        <v>0</v>
      </c>
      <c r="AV96" s="471">
        <v>0</v>
      </c>
      <c r="AW96" s="471">
        <v>0</v>
      </c>
      <c r="AX96" s="471">
        <v>0</v>
      </c>
      <c r="AY96" s="471">
        <v>0</v>
      </c>
      <c r="AZ96" s="471">
        <v>0</v>
      </c>
      <c r="BA96" s="500">
        <v>0</v>
      </c>
      <c r="BB96" s="499">
        <v>0</v>
      </c>
      <c r="BC96" s="471">
        <v>0</v>
      </c>
      <c r="BD96" s="471">
        <v>0</v>
      </c>
      <c r="BE96" s="471">
        <v>0</v>
      </c>
      <c r="BF96" s="471">
        <v>0</v>
      </c>
      <c r="BG96" s="471">
        <v>0</v>
      </c>
      <c r="BH96" s="471">
        <v>0</v>
      </c>
      <c r="BI96" s="471">
        <v>0</v>
      </c>
      <c r="BJ96" s="471">
        <v>0</v>
      </c>
      <c r="BK96" s="471">
        <v>0</v>
      </c>
      <c r="BL96" s="471">
        <v>0</v>
      </c>
      <c r="BM96" s="471">
        <v>0</v>
      </c>
      <c r="BN96" s="471">
        <v>0</v>
      </c>
      <c r="BO96" s="471">
        <v>0</v>
      </c>
      <c r="BP96" s="500">
        <v>0</v>
      </c>
    </row>
    <row r="97" spans="2:68">
      <c r="B97" t="s">
        <v>666</v>
      </c>
      <c r="C97" t="s">
        <v>667</v>
      </c>
      <c r="D97" t="s">
        <v>541</v>
      </c>
      <c r="E97">
        <v>10</v>
      </c>
      <c r="F97" t="s">
        <v>668</v>
      </c>
      <c r="G97" t="s">
        <v>669</v>
      </c>
      <c r="H97" t="s">
        <v>666</v>
      </c>
      <c r="I97" s="499">
        <v>0</v>
      </c>
      <c r="J97" s="471">
        <v>336.96818599999915</v>
      </c>
      <c r="K97" s="471">
        <v>161.30588235294181</v>
      </c>
      <c r="L97" s="471">
        <v>0</v>
      </c>
      <c r="M97" s="471">
        <v>368.53079700000035</v>
      </c>
      <c r="N97" s="471">
        <v>166.21764705882333</v>
      </c>
      <c r="O97" s="471">
        <v>0</v>
      </c>
      <c r="P97" s="471">
        <v>578.5160649999998</v>
      </c>
      <c r="Q97" s="471">
        <v>255.07647058823477</v>
      </c>
      <c r="R97" s="471">
        <v>0</v>
      </c>
      <c r="S97" s="471">
        <v>446.94870699999956</v>
      </c>
      <c r="T97" s="471">
        <v>229.07058823529405</v>
      </c>
      <c r="U97" s="471">
        <v>0</v>
      </c>
      <c r="V97" s="471">
        <v>652.69113499999912</v>
      </c>
      <c r="W97" s="471">
        <v>275.41176470588198</v>
      </c>
      <c r="X97" s="471">
        <v>0</v>
      </c>
      <c r="Y97" s="471">
        <v>-4598.3255669999999</v>
      </c>
      <c r="Z97" s="471">
        <v>337.02352941176514</v>
      </c>
      <c r="AA97" s="471">
        <v>0</v>
      </c>
      <c r="AB97" s="471">
        <v>-5018.3332879999998</v>
      </c>
      <c r="AC97" s="471">
        <v>352.98235294117603</v>
      </c>
      <c r="AD97" s="471">
        <v>0</v>
      </c>
      <c r="AE97" s="471">
        <v>-9535.5001520000005</v>
      </c>
      <c r="AF97" s="471">
        <v>941.02352941176468</v>
      </c>
      <c r="AG97" s="471">
        <v>0</v>
      </c>
      <c r="AH97" s="471">
        <v>-6745.1643119999999</v>
      </c>
      <c r="AI97" s="471">
        <v>643.52352941176468</v>
      </c>
      <c r="AJ97" s="471">
        <v>0</v>
      </c>
      <c r="AK97" s="471">
        <v>-11944.385966</v>
      </c>
      <c r="AL97" s="471">
        <v>1317.8058823529409</v>
      </c>
      <c r="AM97" s="471">
        <v>0</v>
      </c>
      <c r="AN97" s="471">
        <v>1052.4374429999989</v>
      </c>
      <c r="AO97" s="471">
        <v>1451.0823529411791</v>
      </c>
      <c r="AP97" s="471">
        <v>0</v>
      </c>
      <c r="AQ97" s="471">
        <v>1198.2619590000031</v>
      </c>
      <c r="AR97" s="471">
        <v>1563.3647058823553</v>
      </c>
      <c r="AS97" s="471">
        <v>0</v>
      </c>
      <c r="AT97" s="471">
        <v>2434.4303249999939</v>
      </c>
      <c r="AU97" s="471">
        <v>5491</v>
      </c>
      <c r="AV97" s="471">
        <v>0</v>
      </c>
      <c r="AW97" s="471">
        <v>1734.8969819999984</v>
      </c>
      <c r="AX97" s="471">
        <v>3587.4647058823466</v>
      </c>
      <c r="AY97" s="471">
        <v>0</v>
      </c>
      <c r="AZ97" s="471">
        <v>2858.6344280000048</v>
      </c>
      <c r="BA97" s="500">
        <v>8558.0823529411573</v>
      </c>
      <c r="BB97" s="499">
        <v>97.724575999999956</v>
      </c>
      <c r="BC97" s="471">
        <v>49.533252000000005</v>
      </c>
      <c r="BD97" s="471">
        <v>108.37213399999996</v>
      </c>
      <c r="BE97" s="471">
        <v>194.46095700000001</v>
      </c>
      <c r="BF97" s="471">
        <v>76.755137000000047</v>
      </c>
      <c r="BG97" s="471">
        <v>62.394310000000019</v>
      </c>
      <c r="BH97" s="471">
        <v>32.116931000000022</v>
      </c>
      <c r="BI97" s="471">
        <v>67.568430000000035</v>
      </c>
      <c r="BJ97" s="471">
        <v>119.12942799999996</v>
      </c>
      <c r="BK97" s="471">
        <v>46.987952000000007</v>
      </c>
      <c r="BL97" s="471">
        <v>439.62086799999997</v>
      </c>
      <c r="BM97" s="471">
        <v>206.14320599999883</v>
      </c>
      <c r="BN97" s="471">
        <v>522.81592699999965</v>
      </c>
      <c r="BO97" s="471">
        <v>1097.9505619999982</v>
      </c>
      <c r="BP97" s="500">
        <v>362.14361800000006</v>
      </c>
    </row>
    <row r="98" spans="2:68">
      <c r="B98" t="s">
        <v>671</v>
      </c>
      <c r="C98" t="s">
        <v>672</v>
      </c>
      <c r="D98" t="s">
        <v>542</v>
      </c>
      <c r="E98">
        <v>10</v>
      </c>
      <c r="F98" t="s">
        <v>527</v>
      </c>
      <c r="G98" t="s">
        <v>673</v>
      </c>
      <c r="H98" t="s">
        <v>671</v>
      </c>
      <c r="I98" s="499">
        <v>0</v>
      </c>
      <c r="J98" s="471">
        <v>144.77203599999939</v>
      </c>
      <c r="K98" s="471">
        <v>183.75294117647127</v>
      </c>
      <c r="L98" s="471">
        <v>0</v>
      </c>
      <c r="M98" s="471">
        <v>158.14188300000023</v>
      </c>
      <c r="N98" s="471">
        <v>193.7235294117645</v>
      </c>
      <c r="O98" s="471">
        <v>0</v>
      </c>
      <c r="P98" s="471">
        <v>291.45680200000061</v>
      </c>
      <c r="Q98" s="471">
        <v>468.26470588235316</v>
      </c>
      <c r="R98" s="471">
        <v>0</v>
      </c>
      <c r="S98" s="471">
        <v>212.8300449999997</v>
      </c>
      <c r="T98" s="471">
        <v>359.44117647058829</v>
      </c>
      <c r="U98" s="471">
        <v>0</v>
      </c>
      <c r="V98" s="471">
        <v>357.0504949999995</v>
      </c>
      <c r="W98" s="471">
        <v>648.31176470588252</v>
      </c>
      <c r="X98" s="471">
        <v>0</v>
      </c>
      <c r="Y98" s="471">
        <v>22.414585000000443</v>
      </c>
      <c r="Z98" s="471">
        <v>296.84117647058838</v>
      </c>
      <c r="AA98" s="471">
        <v>0</v>
      </c>
      <c r="AB98" s="471">
        <v>25.082193000000188</v>
      </c>
      <c r="AC98" s="471">
        <v>324.38823529411729</v>
      </c>
      <c r="AD98" s="471">
        <v>0</v>
      </c>
      <c r="AE98" s="471">
        <v>43.871869999999035</v>
      </c>
      <c r="AF98" s="471">
        <v>818.12941176470667</v>
      </c>
      <c r="AG98" s="471">
        <v>0</v>
      </c>
      <c r="AH98" s="471">
        <v>30.911607000000004</v>
      </c>
      <c r="AI98" s="471">
        <v>574.09411764705874</v>
      </c>
      <c r="AJ98" s="471">
        <v>0</v>
      </c>
      <c r="AK98" s="471">
        <v>50.822645000000193</v>
      </c>
      <c r="AL98" s="471">
        <v>1080.2705882352948</v>
      </c>
      <c r="AM98" s="471">
        <v>0</v>
      </c>
      <c r="AN98" s="471">
        <v>41.225390999999945</v>
      </c>
      <c r="AO98" s="471">
        <v>4.4764705882334965</v>
      </c>
      <c r="AP98" s="471">
        <v>0</v>
      </c>
      <c r="AQ98" s="471">
        <v>48.96473700000206</v>
      </c>
      <c r="AR98" s="471">
        <v>5</v>
      </c>
      <c r="AS98" s="471">
        <v>0</v>
      </c>
      <c r="AT98" s="471">
        <v>74.811520999995992</v>
      </c>
      <c r="AU98" s="471">
        <v>11.470588235300966</v>
      </c>
      <c r="AV98" s="471">
        <v>0</v>
      </c>
      <c r="AW98" s="471">
        <v>54.206985999997414</v>
      </c>
      <c r="AX98" s="471">
        <v>8</v>
      </c>
      <c r="AY98" s="471">
        <v>0</v>
      </c>
      <c r="AZ98" s="471">
        <v>70.932862000001478</v>
      </c>
      <c r="BA98" s="500">
        <v>13</v>
      </c>
      <c r="BB98" s="499">
        <v>28.766264999999976</v>
      </c>
      <c r="BC98" s="471">
        <v>14.153397999999981</v>
      </c>
      <c r="BD98" s="471">
        <v>36.444773999999938</v>
      </c>
      <c r="BE98" s="471">
        <v>70.839453000000049</v>
      </c>
      <c r="BF98" s="471">
        <v>25.291819999999973</v>
      </c>
      <c r="BG98" s="471">
        <v>88.673136999999997</v>
      </c>
      <c r="BH98" s="471">
        <v>46.472314999999981</v>
      </c>
      <c r="BI98" s="471">
        <v>103.94849899999997</v>
      </c>
      <c r="BJ98" s="471">
        <v>183.45734900000002</v>
      </c>
      <c r="BK98" s="471">
        <v>76.206913999999927</v>
      </c>
      <c r="BL98" s="471">
        <v>6.1189530000010564</v>
      </c>
      <c r="BM98" s="471">
        <v>3.2990269999991142</v>
      </c>
      <c r="BN98" s="471">
        <v>7.3311260000009497</v>
      </c>
      <c r="BO98" s="471">
        <v>13.93064499999673</v>
      </c>
      <c r="BP98" s="500">
        <v>5.549630999999863</v>
      </c>
    </row>
    <row r="99" spans="2:68">
      <c r="B99" t="s">
        <v>675</v>
      </c>
      <c r="C99" t="s">
        <v>676</v>
      </c>
      <c r="D99" t="s">
        <v>542</v>
      </c>
      <c r="E99">
        <v>11</v>
      </c>
      <c r="F99" t="s">
        <v>527</v>
      </c>
      <c r="G99" t="s">
        <v>528</v>
      </c>
      <c r="H99" t="s">
        <v>675</v>
      </c>
      <c r="I99" s="499">
        <v>0</v>
      </c>
      <c r="J99" s="471">
        <v>203.63635299999987</v>
      </c>
      <c r="K99" s="471">
        <v>256.49411764705883</v>
      </c>
      <c r="L99" s="471">
        <v>0</v>
      </c>
      <c r="M99" s="471">
        <v>222.43412200000057</v>
      </c>
      <c r="N99" s="471">
        <v>272.09411764705874</v>
      </c>
      <c r="O99" s="471">
        <v>0</v>
      </c>
      <c r="P99" s="471">
        <v>411.42399000000114</v>
      </c>
      <c r="Q99" s="471">
        <v>663.40588235294126</v>
      </c>
      <c r="R99" s="471">
        <v>0</v>
      </c>
      <c r="S99" s="471">
        <v>300.09646100000009</v>
      </c>
      <c r="T99" s="471">
        <v>507.94117647058829</v>
      </c>
      <c r="U99" s="471">
        <v>0</v>
      </c>
      <c r="V99" s="471">
        <v>504.74117300000034</v>
      </c>
      <c r="W99" s="471">
        <v>926.48235294117694</v>
      </c>
      <c r="X99" s="471">
        <v>0</v>
      </c>
      <c r="Y99" s="471">
        <v>31.869279000000461</v>
      </c>
      <c r="Z99" s="471">
        <v>413.81176470588252</v>
      </c>
      <c r="AA99" s="471">
        <v>0</v>
      </c>
      <c r="AB99" s="471">
        <v>35.656565999999657</v>
      </c>
      <c r="AC99" s="471">
        <v>452.1823529411763</v>
      </c>
      <c r="AD99" s="471">
        <v>0</v>
      </c>
      <c r="AE99" s="471">
        <v>62.430548999998791</v>
      </c>
      <c r="AF99" s="471">
        <v>1135.517647058824</v>
      </c>
      <c r="AG99" s="471">
        <v>0</v>
      </c>
      <c r="AH99" s="471">
        <v>43.993019999999888</v>
      </c>
      <c r="AI99" s="471">
        <v>800.5294117647054</v>
      </c>
      <c r="AJ99" s="471">
        <v>0</v>
      </c>
      <c r="AK99" s="471">
        <v>72.38066599999911</v>
      </c>
      <c r="AL99" s="471">
        <v>1504.6647058823528</v>
      </c>
      <c r="AM99" s="471">
        <v>0</v>
      </c>
      <c r="AN99" s="471">
        <v>55.21021699999983</v>
      </c>
      <c r="AO99" s="471">
        <v>6</v>
      </c>
      <c r="AP99" s="471">
        <v>0</v>
      </c>
      <c r="AQ99" s="471">
        <v>65.571088999997301</v>
      </c>
      <c r="AR99" s="471">
        <v>6.4705882352936896</v>
      </c>
      <c r="AS99" s="471">
        <v>0</v>
      </c>
      <c r="AT99" s="471">
        <v>100.20811799999501</v>
      </c>
      <c r="AU99" s="471">
        <v>15.470588235300966</v>
      </c>
      <c r="AV99" s="471">
        <v>0</v>
      </c>
      <c r="AW99" s="471">
        <v>72.60460599999351</v>
      </c>
      <c r="AX99" s="471">
        <v>11.000000000003638</v>
      </c>
      <c r="AY99" s="471">
        <v>0</v>
      </c>
      <c r="AZ99" s="471">
        <v>95.013693999993848</v>
      </c>
      <c r="BA99" s="500">
        <v>17</v>
      </c>
      <c r="BB99" s="499">
        <v>40.366405999999984</v>
      </c>
      <c r="BC99" s="471">
        <v>19.855965000000026</v>
      </c>
      <c r="BD99" s="471">
        <v>51.026817999999935</v>
      </c>
      <c r="BE99" s="471">
        <v>99.050208999999995</v>
      </c>
      <c r="BF99" s="471">
        <v>35.436827999999991</v>
      </c>
      <c r="BG99" s="471">
        <v>123.81918499999995</v>
      </c>
      <c r="BH99" s="471">
        <v>64.598974999999996</v>
      </c>
      <c r="BI99" s="471">
        <v>144.285259</v>
      </c>
      <c r="BJ99" s="471">
        <v>259.14257700000007</v>
      </c>
      <c r="BK99" s="471">
        <v>105.33506699999992</v>
      </c>
      <c r="BL99" s="471">
        <v>8.1859030000014172</v>
      </c>
      <c r="BM99" s="471">
        <v>4.41324799999893</v>
      </c>
      <c r="BN99" s="471">
        <v>9.8047500000011496</v>
      </c>
      <c r="BO99" s="471">
        <v>18.631311999997706</v>
      </c>
      <c r="BP99" s="500">
        <v>7.4229369999993651</v>
      </c>
    </row>
    <row r="100" spans="2:68">
      <c r="B100" t="s">
        <v>678</v>
      </c>
      <c r="C100" t="s">
        <v>679</v>
      </c>
      <c r="D100" t="s">
        <v>542</v>
      </c>
      <c r="E100">
        <v>12</v>
      </c>
      <c r="F100" t="s">
        <v>673</v>
      </c>
      <c r="G100" t="s">
        <v>528</v>
      </c>
      <c r="H100" t="s">
        <v>678</v>
      </c>
      <c r="I100" s="499">
        <v>0</v>
      </c>
      <c r="J100" s="471">
        <v>58.864317000000483</v>
      </c>
      <c r="K100" s="471">
        <v>72.741176470587561</v>
      </c>
      <c r="L100" s="471">
        <v>0</v>
      </c>
      <c r="M100" s="471">
        <v>64.292239000000336</v>
      </c>
      <c r="N100" s="471">
        <v>78.370588235294235</v>
      </c>
      <c r="O100" s="471">
        <v>0</v>
      </c>
      <c r="P100" s="471">
        <v>119.96718800000053</v>
      </c>
      <c r="Q100" s="471">
        <v>195.14117647058811</v>
      </c>
      <c r="R100" s="471">
        <v>0</v>
      </c>
      <c r="S100" s="471">
        <v>87.26641600000039</v>
      </c>
      <c r="T100" s="471">
        <v>148.5</v>
      </c>
      <c r="U100" s="471">
        <v>0</v>
      </c>
      <c r="V100" s="471">
        <v>147.69067800000084</v>
      </c>
      <c r="W100" s="471">
        <v>278.17058823529442</v>
      </c>
      <c r="X100" s="471">
        <v>0</v>
      </c>
      <c r="Y100" s="471">
        <v>9.4546940000000177</v>
      </c>
      <c r="Z100" s="471">
        <v>116.97058823529414</v>
      </c>
      <c r="AA100" s="471">
        <v>0</v>
      </c>
      <c r="AB100" s="471">
        <v>10.574372999999468</v>
      </c>
      <c r="AC100" s="471">
        <v>127.79411764705901</v>
      </c>
      <c r="AD100" s="471">
        <v>0</v>
      </c>
      <c r="AE100" s="471">
        <v>18.558678999999756</v>
      </c>
      <c r="AF100" s="471">
        <v>317.38823529411729</v>
      </c>
      <c r="AG100" s="471">
        <v>0</v>
      </c>
      <c r="AH100" s="471">
        <v>13.081412999999884</v>
      </c>
      <c r="AI100" s="471">
        <v>226.43529411764666</v>
      </c>
      <c r="AJ100" s="471">
        <v>0</v>
      </c>
      <c r="AK100" s="471">
        <v>21.558020999998917</v>
      </c>
      <c r="AL100" s="471">
        <v>424.39411764705801</v>
      </c>
      <c r="AM100" s="471">
        <v>0</v>
      </c>
      <c r="AN100" s="471">
        <v>13.984825999999885</v>
      </c>
      <c r="AO100" s="471">
        <v>1.5235294117665035</v>
      </c>
      <c r="AP100" s="471">
        <v>0</v>
      </c>
      <c r="AQ100" s="471">
        <v>16.60635199999524</v>
      </c>
      <c r="AR100" s="471">
        <v>1.4705882352936896</v>
      </c>
      <c r="AS100" s="471">
        <v>0</v>
      </c>
      <c r="AT100" s="471">
        <v>25.396596999999019</v>
      </c>
      <c r="AU100" s="471">
        <v>4</v>
      </c>
      <c r="AV100" s="471">
        <v>0</v>
      </c>
      <c r="AW100" s="471">
        <v>18.397619999996095</v>
      </c>
      <c r="AX100" s="471">
        <v>3.000000000003638</v>
      </c>
      <c r="AY100" s="471">
        <v>0</v>
      </c>
      <c r="AZ100" s="471">
        <v>24.08083199999237</v>
      </c>
      <c r="BA100" s="500">
        <v>4</v>
      </c>
      <c r="BB100" s="499">
        <v>11.600141000000008</v>
      </c>
      <c r="BC100" s="471">
        <v>5.7025670000000446</v>
      </c>
      <c r="BD100" s="471">
        <v>14.582043999999996</v>
      </c>
      <c r="BE100" s="471">
        <v>28.210755999999947</v>
      </c>
      <c r="BF100" s="471">
        <v>10.145008000000018</v>
      </c>
      <c r="BG100" s="471">
        <v>35.146047999999951</v>
      </c>
      <c r="BH100" s="471">
        <v>18.126660000000015</v>
      </c>
      <c r="BI100" s="471">
        <v>40.336760000000027</v>
      </c>
      <c r="BJ100" s="471">
        <v>75.685228000000052</v>
      </c>
      <c r="BK100" s="471">
        <v>29.128152999999998</v>
      </c>
      <c r="BL100" s="471">
        <v>2.0669500000003609</v>
      </c>
      <c r="BM100" s="471">
        <v>1.1142209999998158</v>
      </c>
      <c r="BN100" s="471">
        <v>2.4736240000001999</v>
      </c>
      <c r="BO100" s="471">
        <v>4.7006670000009763</v>
      </c>
      <c r="BP100" s="500">
        <v>1.8733059999995021</v>
      </c>
    </row>
    <row r="101" spans="2:68">
      <c r="B101" t="s">
        <v>681</v>
      </c>
      <c r="C101" t="s">
        <v>682</v>
      </c>
      <c r="D101" t="s">
        <v>543</v>
      </c>
      <c r="E101">
        <v>10</v>
      </c>
      <c r="F101" t="s">
        <v>683</v>
      </c>
      <c r="G101" t="s">
        <v>684</v>
      </c>
      <c r="H101" t="s">
        <v>681</v>
      </c>
      <c r="I101" s="499">
        <v>0</v>
      </c>
      <c r="J101" s="471">
        <v>0</v>
      </c>
      <c r="K101" s="471">
        <v>195.62211611917428</v>
      </c>
      <c r="L101" s="471">
        <v>0</v>
      </c>
      <c r="M101" s="471">
        <v>0</v>
      </c>
      <c r="N101" s="471">
        <v>213.16008403361366</v>
      </c>
      <c r="O101" s="471">
        <v>0</v>
      </c>
      <c r="P101" s="471">
        <v>0</v>
      </c>
      <c r="Q101" s="471">
        <v>249.25737203972494</v>
      </c>
      <c r="R101" s="471">
        <v>0</v>
      </c>
      <c r="S101" s="471">
        <v>0</v>
      </c>
      <c r="T101" s="471">
        <v>195.85106951871694</v>
      </c>
      <c r="U101" s="471">
        <v>0</v>
      </c>
      <c r="V101" s="471">
        <v>0</v>
      </c>
      <c r="W101" s="471">
        <v>252.93025210083943</v>
      </c>
      <c r="X101" s="471">
        <v>0</v>
      </c>
      <c r="Y101" s="471">
        <v>0</v>
      </c>
      <c r="Z101" s="471">
        <v>193.03040488922807</v>
      </c>
      <c r="AA101" s="471">
        <v>0</v>
      </c>
      <c r="AB101" s="471">
        <v>0</v>
      </c>
      <c r="AC101" s="471">
        <v>211.27001527883886</v>
      </c>
      <c r="AD101" s="471">
        <v>0</v>
      </c>
      <c r="AE101" s="471">
        <v>0</v>
      </c>
      <c r="AF101" s="471">
        <v>222.01260504201491</v>
      </c>
      <c r="AG101" s="471">
        <v>0</v>
      </c>
      <c r="AH101" s="471">
        <v>0</v>
      </c>
      <c r="AI101" s="471">
        <v>180.50466004583723</v>
      </c>
      <c r="AJ101" s="471">
        <v>0</v>
      </c>
      <c r="AK101" s="471">
        <v>0</v>
      </c>
      <c r="AL101" s="471">
        <v>213.80534759358306</v>
      </c>
      <c r="AM101" s="471">
        <v>0</v>
      </c>
      <c r="AN101" s="471">
        <v>0</v>
      </c>
      <c r="AO101" s="471">
        <v>2056.2181054239882</v>
      </c>
      <c r="AP101" s="471">
        <v>0</v>
      </c>
      <c r="AQ101" s="471">
        <v>0</v>
      </c>
      <c r="AR101" s="471">
        <v>2234.5284568372808</v>
      </c>
      <c r="AS101" s="471">
        <v>0</v>
      </c>
      <c r="AT101" s="471">
        <v>0</v>
      </c>
      <c r="AU101" s="471">
        <v>3632.5230710465985</v>
      </c>
      <c r="AV101" s="471">
        <v>0</v>
      </c>
      <c r="AW101" s="471">
        <v>0</v>
      </c>
      <c r="AX101" s="471">
        <v>2525.2088617265035</v>
      </c>
      <c r="AY101" s="471">
        <v>0</v>
      </c>
      <c r="AZ101" s="471">
        <v>0</v>
      </c>
      <c r="BA101" s="500">
        <v>4074.0951107715809</v>
      </c>
      <c r="BB101" s="499">
        <v>0</v>
      </c>
      <c r="BC101" s="471">
        <v>0</v>
      </c>
      <c r="BD101" s="471">
        <v>0</v>
      </c>
      <c r="BE101" s="471">
        <v>0</v>
      </c>
      <c r="BF101" s="471">
        <v>0</v>
      </c>
      <c r="BG101" s="471">
        <v>0</v>
      </c>
      <c r="BH101" s="471">
        <v>0</v>
      </c>
      <c r="BI101" s="471">
        <v>0</v>
      </c>
      <c r="BJ101" s="471">
        <v>0</v>
      </c>
      <c r="BK101" s="471">
        <v>0</v>
      </c>
      <c r="BL101" s="471">
        <v>0</v>
      </c>
      <c r="BM101" s="471">
        <v>0</v>
      </c>
      <c r="BN101" s="471">
        <v>0</v>
      </c>
      <c r="BO101" s="471">
        <v>0</v>
      </c>
      <c r="BP101" s="500">
        <v>0</v>
      </c>
    </row>
    <row r="102" spans="2:68">
      <c r="B102" t="s">
        <v>686</v>
      </c>
      <c r="C102" t="s">
        <v>687</v>
      </c>
      <c r="D102" t="s">
        <v>543</v>
      </c>
      <c r="E102">
        <v>11</v>
      </c>
      <c r="F102" t="s">
        <v>683</v>
      </c>
      <c r="G102" t="s">
        <v>688</v>
      </c>
      <c r="H102" t="s">
        <v>686</v>
      </c>
      <c r="I102" s="499">
        <v>0</v>
      </c>
      <c r="J102" s="471">
        <v>0</v>
      </c>
      <c r="K102" s="471">
        <v>281.31623376623338</v>
      </c>
      <c r="L102" s="471">
        <v>0</v>
      </c>
      <c r="M102" s="471">
        <v>0</v>
      </c>
      <c r="N102" s="471">
        <v>308.00714285714275</v>
      </c>
      <c r="O102" s="471">
        <v>0</v>
      </c>
      <c r="P102" s="471">
        <v>0</v>
      </c>
      <c r="Q102" s="471">
        <v>354.62207792207755</v>
      </c>
      <c r="R102" s="471">
        <v>0</v>
      </c>
      <c r="S102" s="471">
        <v>0</v>
      </c>
      <c r="T102" s="471">
        <v>280.48636363636433</v>
      </c>
      <c r="U102" s="471">
        <v>0</v>
      </c>
      <c r="V102" s="471">
        <v>0</v>
      </c>
      <c r="W102" s="471">
        <v>353.47142857142717</v>
      </c>
      <c r="X102" s="471">
        <v>0</v>
      </c>
      <c r="Y102" s="471">
        <v>0</v>
      </c>
      <c r="Z102" s="471">
        <v>273.14805194805149</v>
      </c>
      <c r="AA102" s="471">
        <v>0</v>
      </c>
      <c r="AB102" s="471">
        <v>0</v>
      </c>
      <c r="AC102" s="471">
        <v>300.58766233766255</v>
      </c>
      <c r="AD102" s="471">
        <v>0</v>
      </c>
      <c r="AE102" s="471">
        <v>0</v>
      </c>
      <c r="AF102" s="471">
        <v>298.67142857142699</v>
      </c>
      <c r="AG102" s="471">
        <v>0</v>
      </c>
      <c r="AH102" s="471">
        <v>0</v>
      </c>
      <c r="AI102" s="471">
        <v>248.78701298701344</v>
      </c>
      <c r="AJ102" s="471">
        <v>0</v>
      </c>
      <c r="AK102" s="471">
        <v>0</v>
      </c>
      <c r="AL102" s="471">
        <v>275.78181818181656</v>
      </c>
      <c r="AM102" s="471">
        <v>0</v>
      </c>
      <c r="AN102" s="471">
        <v>0</v>
      </c>
      <c r="AO102" s="471">
        <v>3051.2298701298678</v>
      </c>
      <c r="AP102" s="471">
        <v>0</v>
      </c>
      <c r="AQ102" s="471">
        <v>0</v>
      </c>
      <c r="AR102" s="471">
        <v>3319.0461038961039</v>
      </c>
      <c r="AS102" s="471">
        <v>0</v>
      </c>
      <c r="AT102" s="471">
        <v>0</v>
      </c>
      <c r="AU102" s="471">
        <v>5482.5701298701315</v>
      </c>
      <c r="AV102" s="471">
        <v>0</v>
      </c>
      <c r="AW102" s="471">
        <v>0</v>
      </c>
      <c r="AX102" s="471">
        <v>3798.2441558441569</v>
      </c>
      <c r="AY102" s="471">
        <v>0</v>
      </c>
      <c r="AZ102" s="471">
        <v>0</v>
      </c>
      <c r="BA102" s="500">
        <v>6153.248051948045</v>
      </c>
      <c r="BB102" s="499">
        <v>72.158553178571424</v>
      </c>
      <c r="BC102" s="471">
        <v>38.4395336428571</v>
      </c>
      <c r="BD102" s="471">
        <v>68.129429607142811</v>
      </c>
      <c r="BE102" s="471">
        <v>111.93628407142842</v>
      </c>
      <c r="BF102" s="471">
        <v>48.934755892857083</v>
      </c>
      <c r="BG102" s="471">
        <v>67.152154928571349</v>
      </c>
      <c r="BH102" s="471">
        <v>34.158424964285643</v>
      </c>
      <c r="BI102" s="471">
        <v>61.498518464285667</v>
      </c>
      <c r="BJ102" s="471">
        <v>108.16045203571412</v>
      </c>
      <c r="BK102" s="471">
        <v>41.781730678571421</v>
      </c>
      <c r="BL102" s="471">
        <v>1574.8656509999983</v>
      </c>
      <c r="BM102" s="471">
        <v>1033.724907428571</v>
      </c>
      <c r="BN102" s="471">
        <v>1390.4081620714278</v>
      </c>
      <c r="BO102" s="471">
        <v>2110.7874161785694</v>
      </c>
      <c r="BP102" s="500">
        <v>1101.4743136071411</v>
      </c>
    </row>
    <row r="103" spans="2:68">
      <c r="B103" t="s">
        <v>690</v>
      </c>
      <c r="C103" t="s">
        <v>691</v>
      </c>
      <c r="D103" t="s">
        <v>543</v>
      </c>
      <c r="E103">
        <v>12</v>
      </c>
      <c r="F103" t="s">
        <v>683</v>
      </c>
      <c r="G103" t="s">
        <v>692</v>
      </c>
      <c r="H103" t="s">
        <v>690</v>
      </c>
      <c r="I103" s="499">
        <v>0</v>
      </c>
      <c r="J103" s="471">
        <v>0</v>
      </c>
      <c r="K103" s="471">
        <v>139.18940449794081</v>
      </c>
      <c r="L103" s="471">
        <v>0</v>
      </c>
      <c r="M103" s="471">
        <v>0</v>
      </c>
      <c r="N103" s="471">
        <v>150.69982578397185</v>
      </c>
      <c r="O103" s="471">
        <v>0</v>
      </c>
      <c r="P103" s="471">
        <v>0</v>
      </c>
      <c r="Q103" s="471">
        <v>179.8708584098822</v>
      </c>
      <c r="R103" s="471">
        <v>0</v>
      </c>
      <c r="S103" s="471">
        <v>0</v>
      </c>
      <c r="T103" s="471">
        <v>140.11563192904669</v>
      </c>
      <c r="U103" s="471">
        <v>0</v>
      </c>
      <c r="V103" s="471">
        <v>0</v>
      </c>
      <c r="W103" s="471">
        <v>186.72020905923091</v>
      </c>
      <c r="X103" s="471">
        <v>0</v>
      </c>
      <c r="Y103" s="471">
        <v>0</v>
      </c>
      <c r="Z103" s="471">
        <v>140.27000316756312</v>
      </c>
      <c r="AA103" s="471">
        <v>0</v>
      </c>
      <c r="AB103" s="471">
        <v>0</v>
      </c>
      <c r="AC103" s="471">
        <v>152.45107697180856</v>
      </c>
      <c r="AD103" s="471">
        <v>0</v>
      </c>
      <c r="AE103" s="471">
        <v>0</v>
      </c>
      <c r="AF103" s="471">
        <v>171.52996515679297</v>
      </c>
      <c r="AG103" s="471">
        <v>0</v>
      </c>
      <c r="AH103" s="471">
        <v>0</v>
      </c>
      <c r="AI103" s="471">
        <v>135.53823249920879</v>
      </c>
      <c r="AJ103" s="471">
        <v>0</v>
      </c>
      <c r="AK103" s="471">
        <v>0</v>
      </c>
      <c r="AL103" s="471">
        <v>172.99157427937826</v>
      </c>
      <c r="AM103" s="471">
        <v>0</v>
      </c>
      <c r="AN103" s="471">
        <v>0</v>
      </c>
      <c r="AO103" s="471">
        <v>1400.9664554957199</v>
      </c>
      <c r="AP103" s="471">
        <v>0</v>
      </c>
      <c r="AQ103" s="471">
        <v>0</v>
      </c>
      <c r="AR103" s="471">
        <v>1520.3339087741551</v>
      </c>
      <c r="AS103" s="471">
        <v>0</v>
      </c>
      <c r="AT103" s="471">
        <v>0</v>
      </c>
      <c r="AU103" s="471">
        <v>2414.1993981628038</v>
      </c>
      <c r="AV103" s="471">
        <v>0</v>
      </c>
      <c r="AW103" s="471">
        <v>0</v>
      </c>
      <c r="AX103" s="471">
        <v>1686.8685460880515</v>
      </c>
      <c r="AY103" s="471">
        <v>0</v>
      </c>
      <c r="AZ103" s="471">
        <v>0</v>
      </c>
      <c r="BA103" s="500">
        <v>2704.8968324358575</v>
      </c>
      <c r="BB103" s="499">
        <v>0</v>
      </c>
      <c r="BC103" s="471">
        <v>0</v>
      </c>
      <c r="BD103" s="471">
        <v>0</v>
      </c>
      <c r="BE103" s="471">
        <v>0</v>
      </c>
      <c r="BF103" s="471">
        <v>0</v>
      </c>
      <c r="BG103" s="471">
        <v>0</v>
      </c>
      <c r="BH103" s="471">
        <v>0</v>
      </c>
      <c r="BI103" s="471">
        <v>0</v>
      </c>
      <c r="BJ103" s="471">
        <v>0</v>
      </c>
      <c r="BK103" s="471">
        <v>0</v>
      </c>
      <c r="BL103" s="471">
        <v>0</v>
      </c>
      <c r="BM103" s="471">
        <v>0</v>
      </c>
      <c r="BN103" s="471">
        <v>0</v>
      </c>
      <c r="BO103" s="471">
        <v>0</v>
      </c>
      <c r="BP103" s="500">
        <v>0</v>
      </c>
    </row>
    <row r="104" spans="2:68" ht="13.5" thickBot="1">
      <c r="B104" t="s">
        <v>694</v>
      </c>
      <c r="C104" t="s">
        <v>695</v>
      </c>
      <c r="D104" t="s">
        <v>544</v>
      </c>
      <c r="E104">
        <v>10</v>
      </c>
      <c r="F104" t="s">
        <v>696</v>
      </c>
      <c r="G104" t="s">
        <v>178</v>
      </c>
      <c r="H104" t="s">
        <v>694</v>
      </c>
      <c r="I104" s="501">
        <v>0</v>
      </c>
      <c r="J104" s="478">
        <v>0</v>
      </c>
      <c r="K104" s="478">
        <v>522.10588235294199</v>
      </c>
      <c r="L104" s="478">
        <v>0</v>
      </c>
      <c r="M104" s="478">
        <v>0</v>
      </c>
      <c r="N104" s="478">
        <v>572.45588235294053</v>
      </c>
      <c r="O104" s="478">
        <v>0</v>
      </c>
      <c r="P104" s="478">
        <v>0</v>
      </c>
      <c r="Q104" s="478">
        <v>1507.6941176470582</v>
      </c>
      <c r="R104" s="478">
        <v>0</v>
      </c>
      <c r="S104" s="478">
        <v>0</v>
      </c>
      <c r="T104" s="478">
        <v>1021.75</v>
      </c>
      <c r="U104" s="478">
        <v>0</v>
      </c>
      <c r="V104" s="478">
        <v>0</v>
      </c>
      <c r="W104" s="478">
        <v>1996.1647058823528</v>
      </c>
      <c r="X104" s="478">
        <v>0</v>
      </c>
      <c r="Y104" s="478">
        <v>0</v>
      </c>
      <c r="Z104" s="478">
        <v>617.17941176470595</v>
      </c>
      <c r="AA104" s="478">
        <v>0</v>
      </c>
      <c r="AB104" s="478">
        <v>0</v>
      </c>
      <c r="AC104" s="478">
        <v>676.66470588235279</v>
      </c>
      <c r="AD104" s="478">
        <v>0</v>
      </c>
      <c r="AE104" s="478">
        <v>0</v>
      </c>
      <c r="AF104" s="478">
        <v>1739.0676470588242</v>
      </c>
      <c r="AG104" s="478">
        <v>0</v>
      </c>
      <c r="AH104" s="478">
        <v>0</v>
      </c>
      <c r="AI104" s="478">
        <v>1170.8382352941171</v>
      </c>
      <c r="AJ104" s="478">
        <v>0</v>
      </c>
      <c r="AK104" s="478">
        <v>0</v>
      </c>
      <c r="AL104" s="478">
        <v>2236.6058823529402</v>
      </c>
      <c r="AM104" s="478">
        <v>0</v>
      </c>
      <c r="AN104" s="478">
        <v>0</v>
      </c>
      <c r="AO104" s="478">
        <v>770.82058823529223</v>
      </c>
      <c r="AP104" s="478">
        <v>0</v>
      </c>
      <c r="AQ104" s="478">
        <v>0</v>
      </c>
      <c r="AR104" s="478">
        <v>909.67941176470413</v>
      </c>
      <c r="AS104" s="478">
        <v>0</v>
      </c>
      <c r="AT104" s="478">
        <v>0</v>
      </c>
      <c r="AU104" s="478">
        <v>6143.9823529411806</v>
      </c>
      <c r="AV104" s="478">
        <v>0</v>
      </c>
      <c r="AW104" s="478">
        <v>0</v>
      </c>
      <c r="AX104" s="478">
        <v>3754.0588235294126</v>
      </c>
      <c r="AY104" s="478">
        <v>0</v>
      </c>
      <c r="AZ104" s="478">
        <v>0</v>
      </c>
      <c r="BA104" s="502">
        <v>9839.2176470588165</v>
      </c>
      <c r="BB104" s="501">
        <v>-2.077857999999992</v>
      </c>
      <c r="BC104" s="478">
        <v>-0.35372300000000223</v>
      </c>
      <c r="BD104" s="478">
        <v>3.0142700000000104</v>
      </c>
      <c r="BE104" s="478">
        <v>5.6197090000000571</v>
      </c>
      <c r="BF104" s="478">
        <v>1.2734340000000088</v>
      </c>
      <c r="BG104" s="478">
        <v>9.9456089999999904</v>
      </c>
      <c r="BH104" s="478">
        <v>6.735147999999981</v>
      </c>
      <c r="BI104" s="478">
        <v>17.151310999999964</v>
      </c>
      <c r="BJ104" s="478">
        <v>20.959871000000021</v>
      </c>
      <c r="BK104" s="478">
        <v>12.621306000000004</v>
      </c>
      <c r="BL104" s="478">
        <v>-148.51738300000034</v>
      </c>
      <c r="BM104" s="478">
        <v>-77.917253999999957</v>
      </c>
      <c r="BN104" s="478">
        <v>-85.142640000000029</v>
      </c>
      <c r="BO104" s="478">
        <v>-124.13322700000208</v>
      </c>
      <c r="BP104" s="502">
        <v>-85.957905999999639</v>
      </c>
    </row>
    <row r="107" spans="2:68">
      <c r="B107" s="364" t="s">
        <v>539</v>
      </c>
      <c r="C107" s="364" t="s">
        <v>526</v>
      </c>
      <c r="D107" s="364" t="s">
        <v>533</v>
      </c>
      <c r="E107" s="364" t="s">
        <v>537</v>
      </c>
      <c r="F107" s="364" t="s">
        <v>540</v>
      </c>
      <c r="G107" s="364" t="s">
        <v>176</v>
      </c>
      <c r="H107" s="364" t="s">
        <v>58</v>
      </c>
      <c r="I107" s="364" t="s">
        <v>541</v>
      </c>
      <c r="J107" s="364" t="s">
        <v>542</v>
      </c>
      <c r="K107" s="364" t="s">
        <v>543</v>
      </c>
      <c r="L107" s="364" t="s">
        <v>544</v>
      </c>
    </row>
    <row r="108" spans="2:68">
      <c r="B108" s="364" t="s">
        <v>1229</v>
      </c>
      <c r="C108" s="268">
        <v>1258.75</v>
      </c>
      <c r="D108" s="266">
        <v>1</v>
      </c>
      <c r="E108" s="267">
        <v>500</v>
      </c>
      <c r="F108" s="268">
        <v>500</v>
      </c>
      <c r="G108" s="268">
        <v>195</v>
      </c>
      <c r="H108" s="266">
        <v>1500</v>
      </c>
      <c r="I108" s="266">
        <v>1</v>
      </c>
      <c r="J108" s="266">
        <v>1</v>
      </c>
      <c r="K108" s="266">
        <v>1</v>
      </c>
      <c r="L108" s="266">
        <v>1</v>
      </c>
    </row>
    <row r="109" spans="2:68" ht="15">
      <c r="B109" s="364" t="s">
        <v>1230</v>
      </c>
      <c r="C109" s="268">
        <v>1258.75</v>
      </c>
      <c r="D109" s="266">
        <v>1</v>
      </c>
      <c r="E109" s="503">
        <v>500</v>
      </c>
      <c r="F109" s="268">
        <v>500</v>
      </c>
      <c r="G109" s="268">
        <v>195</v>
      </c>
      <c r="H109" s="266">
        <v>1500</v>
      </c>
      <c r="I109" s="266">
        <v>1</v>
      </c>
      <c r="J109" s="266">
        <v>1</v>
      </c>
      <c r="K109" s="266">
        <v>1</v>
      </c>
      <c r="L109" s="266">
        <v>1</v>
      </c>
    </row>
    <row r="110" spans="2:68">
      <c r="B110" s="364">
        <v>1000</v>
      </c>
      <c r="C110" s="268">
        <v>10152</v>
      </c>
      <c r="D110" s="266">
        <v>1</v>
      </c>
      <c r="E110" s="267">
        <v>8800</v>
      </c>
      <c r="F110" s="268">
        <v>8800</v>
      </c>
      <c r="G110" s="268">
        <v>3960</v>
      </c>
      <c r="H110" s="266">
        <v>26400</v>
      </c>
      <c r="I110" s="266">
        <v>1</v>
      </c>
      <c r="J110" s="266">
        <v>1</v>
      </c>
      <c r="K110" s="266">
        <v>1</v>
      </c>
      <c r="L110" s="266">
        <v>1</v>
      </c>
    </row>
    <row r="111" spans="2:68" ht="13.5" thickBot="1"/>
    <row r="112" spans="2:68" ht="13.5" thickBot="1">
      <c r="I112" s="482" t="s">
        <v>522</v>
      </c>
      <c r="J112" s="483"/>
      <c r="K112" s="483"/>
      <c r="L112" s="483"/>
      <c r="M112" s="483"/>
      <c r="N112" s="483"/>
      <c r="O112" s="483"/>
      <c r="P112" s="483"/>
      <c r="Q112" s="483"/>
      <c r="R112" s="483"/>
      <c r="S112" s="483"/>
      <c r="T112" s="483"/>
      <c r="U112" s="483"/>
      <c r="V112" s="483"/>
      <c r="W112" s="483"/>
      <c r="X112" s="483"/>
      <c r="Y112" s="483"/>
      <c r="Z112" s="483"/>
      <c r="AA112" s="483"/>
      <c r="AB112" s="483"/>
      <c r="AC112" s="483"/>
      <c r="AD112" s="483"/>
      <c r="AE112" s="483"/>
      <c r="AF112" s="483"/>
      <c r="AG112" s="483"/>
      <c r="AH112" s="483"/>
      <c r="AI112" s="483"/>
      <c r="AJ112" s="483"/>
      <c r="AK112" s="483"/>
      <c r="AL112" s="483"/>
      <c r="AM112" s="483"/>
      <c r="AN112" s="483"/>
      <c r="AO112" s="483"/>
      <c r="AP112" s="483"/>
      <c r="AQ112" s="483"/>
      <c r="AR112" s="483"/>
      <c r="AS112" s="483"/>
      <c r="AT112" s="483"/>
      <c r="AU112" s="483"/>
      <c r="AV112" s="483"/>
      <c r="AW112" s="483"/>
      <c r="AX112" s="483"/>
      <c r="AY112" s="483"/>
      <c r="AZ112" s="483"/>
      <c r="BA112" s="484"/>
      <c r="BB112" s="485" t="s">
        <v>523</v>
      </c>
      <c r="BC112" s="486"/>
      <c r="BD112" s="486"/>
      <c r="BE112" s="486"/>
      <c r="BF112" s="486"/>
      <c r="BG112" s="486"/>
      <c r="BH112" s="486"/>
      <c r="BI112" s="486"/>
      <c r="BJ112" s="486"/>
      <c r="BK112" s="486"/>
      <c r="BL112" s="486"/>
      <c r="BM112" s="486"/>
      <c r="BN112" s="486"/>
      <c r="BO112" s="486"/>
      <c r="BP112" s="487"/>
    </row>
    <row r="113" spans="2:68" ht="47.25" thickBot="1">
      <c r="B113" s="488" t="s">
        <v>1303</v>
      </c>
      <c r="I113" s="489" t="s">
        <v>1229</v>
      </c>
      <c r="J113" s="490" t="s">
        <v>1229</v>
      </c>
      <c r="K113" s="491" t="s">
        <v>1229</v>
      </c>
      <c r="L113" s="490" t="s">
        <v>1229</v>
      </c>
      <c r="M113" s="490" t="s">
        <v>1229</v>
      </c>
      <c r="N113" s="490" t="s">
        <v>1229</v>
      </c>
      <c r="O113" s="490" t="s">
        <v>1229</v>
      </c>
      <c r="P113" s="490" t="s">
        <v>1229</v>
      </c>
      <c r="Q113" s="490" t="s">
        <v>1229</v>
      </c>
      <c r="R113" s="490" t="s">
        <v>1229</v>
      </c>
      <c r="S113" s="490" t="s">
        <v>1229</v>
      </c>
      <c r="T113" s="490" t="s">
        <v>1229</v>
      </c>
      <c r="U113" s="490" t="s">
        <v>1229</v>
      </c>
      <c r="V113" s="490" t="s">
        <v>1229</v>
      </c>
      <c r="W113" s="490" t="s">
        <v>1229</v>
      </c>
      <c r="X113" s="490" t="s">
        <v>1230</v>
      </c>
      <c r="Y113" s="490" t="s">
        <v>1230</v>
      </c>
      <c r="Z113" s="490" t="s">
        <v>1230</v>
      </c>
      <c r="AA113" s="490" t="s">
        <v>1230</v>
      </c>
      <c r="AB113" s="490" t="s">
        <v>1230</v>
      </c>
      <c r="AC113" s="490" t="s">
        <v>1230</v>
      </c>
      <c r="AD113" s="490" t="s">
        <v>1230</v>
      </c>
      <c r="AE113" s="490" t="s">
        <v>1230</v>
      </c>
      <c r="AF113" s="490" t="s">
        <v>1230</v>
      </c>
      <c r="AG113" s="490" t="s">
        <v>1230</v>
      </c>
      <c r="AH113" s="490" t="s">
        <v>1230</v>
      </c>
      <c r="AI113" s="490" t="s">
        <v>1230</v>
      </c>
      <c r="AJ113" s="490" t="s">
        <v>1230</v>
      </c>
      <c r="AK113" s="490" t="s">
        <v>1230</v>
      </c>
      <c r="AL113" s="490" t="s">
        <v>1230</v>
      </c>
      <c r="AM113" s="490">
        <v>1000</v>
      </c>
      <c r="AN113" s="490">
        <v>1000</v>
      </c>
      <c r="AO113" s="490">
        <v>1000</v>
      </c>
      <c r="AP113" s="490">
        <v>1000</v>
      </c>
      <c r="AQ113" s="490">
        <v>1000</v>
      </c>
      <c r="AR113" s="490">
        <v>1000</v>
      </c>
      <c r="AS113" s="490">
        <v>1000</v>
      </c>
      <c r="AT113" s="490">
        <v>1000</v>
      </c>
      <c r="AU113" s="490">
        <v>1000</v>
      </c>
      <c r="AV113" s="490">
        <v>1000</v>
      </c>
      <c r="AW113" s="490">
        <v>1000</v>
      </c>
      <c r="AX113" s="490">
        <v>1000</v>
      </c>
      <c r="AY113" s="490">
        <v>1000</v>
      </c>
      <c r="AZ113" s="490">
        <v>1000</v>
      </c>
      <c r="BA113" s="491">
        <v>1000</v>
      </c>
      <c r="BB113" s="489" t="s">
        <v>1229</v>
      </c>
      <c r="BC113" s="490" t="s">
        <v>1229</v>
      </c>
      <c r="BD113" s="490" t="s">
        <v>1229</v>
      </c>
      <c r="BE113" s="490" t="s">
        <v>1229</v>
      </c>
      <c r="BF113" s="490" t="s">
        <v>1229</v>
      </c>
      <c r="BG113" s="490" t="s">
        <v>1230</v>
      </c>
      <c r="BH113" s="490" t="s">
        <v>1230</v>
      </c>
      <c r="BI113" s="490" t="s">
        <v>1230</v>
      </c>
      <c r="BJ113" s="490" t="s">
        <v>1230</v>
      </c>
      <c r="BK113" s="490" t="s">
        <v>1230</v>
      </c>
      <c r="BL113" s="490">
        <v>1000</v>
      </c>
      <c r="BM113" s="490">
        <v>1000</v>
      </c>
      <c r="BN113" s="490">
        <v>1000</v>
      </c>
      <c r="BO113" s="490">
        <v>1000</v>
      </c>
      <c r="BP113" s="491">
        <v>1000</v>
      </c>
    </row>
    <row r="114" spans="2:68">
      <c r="I114" s="390" t="s">
        <v>1231</v>
      </c>
      <c r="J114" s="391" t="s">
        <v>1231</v>
      </c>
      <c r="K114" s="393" t="s">
        <v>1231</v>
      </c>
      <c r="L114" s="394" t="s">
        <v>1232</v>
      </c>
      <c r="M114" s="395" t="s">
        <v>1232</v>
      </c>
      <c r="N114" s="396" t="s">
        <v>1232</v>
      </c>
      <c r="O114" s="398" t="s">
        <v>1233</v>
      </c>
      <c r="P114" s="399" t="s">
        <v>1233</v>
      </c>
      <c r="Q114" s="400" t="s">
        <v>1233</v>
      </c>
      <c r="R114" s="402" t="s">
        <v>1234</v>
      </c>
      <c r="S114" s="403" t="s">
        <v>1234</v>
      </c>
      <c r="T114" s="404" t="s">
        <v>1234</v>
      </c>
      <c r="U114" s="406" t="s">
        <v>1235</v>
      </c>
      <c r="V114" s="407" t="s">
        <v>1235</v>
      </c>
      <c r="W114" s="408" t="s">
        <v>1235</v>
      </c>
      <c r="X114" s="390" t="s">
        <v>1231</v>
      </c>
      <c r="Y114" s="391" t="s">
        <v>1231</v>
      </c>
      <c r="Z114" s="392" t="s">
        <v>1231</v>
      </c>
      <c r="AA114" s="394" t="s">
        <v>1232</v>
      </c>
      <c r="AB114" s="395" t="s">
        <v>1232</v>
      </c>
      <c r="AC114" s="396" t="s">
        <v>1232</v>
      </c>
      <c r="AD114" s="398" t="s">
        <v>1233</v>
      </c>
      <c r="AE114" s="399" t="s">
        <v>1233</v>
      </c>
      <c r="AF114" s="400" t="s">
        <v>1233</v>
      </c>
      <c r="AG114" s="402" t="s">
        <v>1234</v>
      </c>
      <c r="AH114" s="403" t="s">
        <v>1234</v>
      </c>
      <c r="AI114" s="404" t="s">
        <v>1234</v>
      </c>
      <c r="AJ114" s="406" t="s">
        <v>1235</v>
      </c>
      <c r="AK114" s="407" t="s">
        <v>1235</v>
      </c>
      <c r="AL114" s="408" t="s">
        <v>1235</v>
      </c>
      <c r="AM114" s="390" t="s">
        <v>1231</v>
      </c>
      <c r="AN114" s="391" t="s">
        <v>1231</v>
      </c>
      <c r="AO114" s="392" t="s">
        <v>1231</v>
      </c>
      <c r="AP114" s="394" t="s">
        <v>1232</v>
      </c>
      <c r="AQ114" s="395" t="s">
        <v>1232</v>
      </c>
      <c r="AR114" s="396" t="s">
        <v>1232</v>
      </c>
      <c r="AS114" s="398" t="s">
        <v>1233</v>
      </c>
      <c r="AT114" s="399" t="s">
        <v>1233</v>
      </c>
      <c r="AU114" s="400" t="s">
        <v>1233</v>
      </c>
      <c r="AV114" s="402" t="s">
        <v>1234</v>
      </c>
      <c r="AW114" s="403" t="s">
        <v>1234</v>
      </c>
      <c r="AX114" s="404" t="s">
        <v>1234</v>
      </c>
      <c r="AY114" s="406" t="s">
        <v>1235</v>
      </c>
      <c r="AZ114" s="407" t="s">
        <v>1235</v>
      </c>
      <c r="BA114" s="409" t="s">
        <v>1235</v>
      </c>
      <c r="BB114" s="410" t="s">
        <v>1231</v>
      </c>
      <c r="BC114" s="396" t="s">
        <v>1232</v>
      </c>
      <c r="BD114" s="398" t="s">
        <v>1233</v>
      </c>
      <c r="BE114" s="412" t="s">
        <v>1234</v>
      </c>
      <c r="BF114" s="406" t="s">
        <v>1235</v>
      </c>
      <c r="BG114" s="410" t="s">
        <v>1231</v>
      </c>
      <c r="BH114" s="396" t="s">
        <v>1232</v>
      </c>
      <c r="BI114" s="398" t="s">
        <v>1233</v>
      </c>
      <c r="BJ114" s="412" t="s">
        <v>1234</v>
      </c>
      <c r="BK114" s="406" t="s">
        <v>1235</v>
      </c>
      <c r="BL114" s="410" t="s">
        <v>1231</v>
      </c>
      <c r="BM114" s="396" t="s">
        <v>1232</v>
      </c>
      <c r="BN114" s="398" t="s">
        <v>1233</v>
      </c>
      <c r="BO114" s="412" t="s">
        <v>1234</v>
      </c>
      <c r="BP114" s="492" t="s">
        <v>1235</v>
      </c>
    </row>
    <row r="115" spans="2:68" ht="13.5" thickBot="1">
      <c r="I115" s="477" t="s">
        <v>1237</v>
      </c>
      <c r="J115" s="493" t="s">
        <v>1238</v>
      </c>
      <c r="K115" s="494" t="s">
        <v>1239</v>
      </c>
      <c r="L115" s="477" t="s">
        <v>1237</v>
      </c>
      <c r="M115" s="493" t="s">
        <v>1238</v>
      </c>
      <c r="N115" s="495" t="s">
        <v>1239</v>
      </c>
      <c r="O115" s="477" t="s">
        <v>1237</v>
      </c>
      <c r="P115" s="493" t="s">
        <v>1238</v>
      </c>
      <c r="Q115" s="495" t="s">
        <v>1239</v>
      </c>
      <c r="R115" s="477" t="s">
        <v>1237</v>
      </c>
      <c r="S115" s="493" t="s">
        <v>1238</v>
      </c>
      <c r="T115" s="495" t="s">
        <v>1239</v>
      </c>
      <c r="U115" s="477" t="s">
        <v>1237</v>
      </c>
      <c r="V115" s="493" t="s">
        <v>1238</v>
      </c>
      <c r="W115" s="495" t="s">
        <v>1239</v>
      </c>
      <c r="X115" s="477" t="s">
        <v>1237</v>
      </c>
      <c r="Y115" s="493" t="s">
        <v>1238</v>
      </c>
      <c r="Z115" s="495" t="s">
        <v>1239</v>
      </c>
      <c r="AA115" s="477" t="s">
        <v>1237</v>
      </c>
      <c r="AB115" s="493" t="s">
        <v>1238</v>
      </c>
      <c r="AC115" s="495" t="s">
        <v>1239</v>
      </c>
      <c r="AD115" s="477" t="s">
        <v>1237</v>
      </c>
      <c r="AE115" s="493" t="s">
        <v>1238</v>
      </c>
      <c r="AF115" s="495" t="s">
        <v>1239</v>
      </c>
      <c r="AG115" s="477" t="s">
        <v>1237</v>
      </c>
      <c r="AH115" s="493" t="s">
        <v>1238</v>
      </c>
      <c r="AI115" s="495" t="s">
        <v>1239</v>
      </c>
      <c r="AJ115" s="477" t="s">
        <v>1237</v>
      </c>
      <c r="AK115" s="493" t="s">
        <v>1238</v>
      </c>
      <c r="AL115" s="495" t="s">
        <v>1239</v>
      </c>
      <c r="AM115" s="477" t="s">
        <v>1237</v>
      </c>
      <c r="AN115" s="493" t="s">
        <v>1238</v>
      </c>
      <c r="AO115" s="495" t="s">
        <v>1239</v>
      </c>
      <c r="AP115" s="477" t="s">
        <v>1237</v>
      </c>
      <c r="AQ115" s="493" t="s">
        <v>1238</v>
      </c>
      <c r="AR115" s="495" t="s">
        <v>1239</v>
      </c>
      <c r="AS115" s="477" t="s">
        <v>1237</v>
      </c>
      <c r="AT115" s="493" t="s">
        <v>1238</v>
      </c>
      <c r="AU115" s="495" t="s">
        <v>1239</v>
      </c>
      <c r="AV115" s="477" t="s">
        <v>1237</v>
      </c>
      <c r="AW115" s="493" t="s">
        <v>1238</v>
      </c>
      <c r="AX115" s="495" t="s">
        <v>1239</v>
      </c>
      <c r="AY115" s="477" t="s">
        <v>1237</v>
      </c>
      <c r="AZ115" s="493" t="s">
        <v>1238</v>
      </c>
      <c r="BA115" s="494" t="s">
        <v>1239</v>
      </c>
      <c r="BB115" s="496" t="s">
        <v>1239</v>
      </c>
      <c r="BC115" s="495" t="s">
        <v>1239</v>
      </c>
      <c r="BD115" s="477" t="s">
        <v>1239</v>
      </c>
      <c r="BE115" s="496" t="s">
        <v>1239</v>
      </c>
      <c r="BF115" s="477" t="s">
        <v>1239</v>
      </c>
      <c r="BG115" s="496" t="s">
        <v>1239</v>
      </c>
      <c r="BH115" s="495" t="s">
        <v>1239</v>
      </c>
      <c r="BI115" s="477" t="s">
        <v>1239</v>
      </c>
      <c r="BJ115" s="496" t="s">
        <v>1239</v>
      </c>
      <c r="BK115" s="477" t="s">
        <v>1239</v>
      </c>
      <c r="BL115" s="496" t="s">
        <v>1239</v>
      </c>
      <c r="BM115" s="495" t="s">
        <v>1239</v>
      </c>
      <c r="BN115" s="477" t="s">
        <v>1239</v>
      </c>
      <c r="BO115" s="496" t="s">
        <v>1239</v>
      </c>
      <c r="BP115" s="497" t="s">
        <v>1239</v>
      </c>
    </row>
    <row r="116" spans="2:68" ht="13.5" thickBot="1">
      <c r="I116" s="498" t="s">
        <v>1243</v>
      </c>
      <c r="J116" s="498" t="s">
        <v>1244</v>
      </c>
      <c r="K116" s="498" t="s">
        <v>1245</v>
      </c>
      <c r="L116" s="498" t="s">
        <v>1246</v>
      </c>
      <c r="M116" s="498" t="s">
        <v>1247</v>
      </c>
      <c r="N116" s="498" t="s">
        <v>1248</v>
      </c>
      <c r="O116" s="498" t="s">
        <v>1249</v>
      </c>
      <c r="P116" s="498" t="s">
        <v>1250</v>
      </c>
      <c r="Q116" s="498" t="s">
        <v>1251</v>
      </c>
      <c r="R116" s="498" t="s">
        <v>1252</v>
      </c>
      <c r="S116" s="498" t="s">
        <v>1253</v>
      </c>
      <c r="T116" s="498" t="s">
        <v>1254</v>
      </c>
      <c r="U116" s="498" t="s">
        <v>1255</v>
      </c>
      <c r="V116" s="498" t="s">
        <v>1256</v>
      </c>
      <c r="W116" s="498" t="s">
        <v>1257</v>
      </c>
      <c r="X116" s="498" t="s">
        <v>1258</v>
      </c>
      <c r="Y116" s="498" t="s">
        <v>1259</v>
      </c>
      <c r="Z116" s="498" t="s">
        <v>1260</v>
      </c>
      <c r="AA116" s="498" t="s">
        <v>1261</v>
      </c>
      <c r="AB116" s="498" t="s">
        <v>1262</v>
      </c>
      <c r="AC116" s="498" t="s">
        <v>1263</v>
      </c>
      <c r="AD116" s="498" t="s">
        <v>1264</v>
      </c>
      <c r="AE116" s="498" t="s">
        <v>1265</v>
      </c>
      <c r="AF116" s="498" t="s">
        <v>1266</v>
      </c>
      <c r="AG116" s="498" t="s">
        <v>1267</v>
      </c>
      <c r="AH116" s="498" t="s">
        <v>1268</v>
      </c>
      <c r="AI116" s="498" t="s">
        <v>1269</v>
      </c>
      <c r="AJ116" s="498" t="s">
        <v>1270</v>
      </c>
      <c r="AK116" s="498" t="s">
        <v>1271</v>
      </c>
      <c r="AL116" s="498" t="s">
        <v>1272</v>
      </c>
      <c r="AM116" s="498" t="s">
        <v>1273</v>
      </c>
      <c r="AN116" s="498" t="s">
        <v>1274</v>
      </c>
      <c r="AO116" s="498" t="s">
        <v>1275</v>
      </c>
      <c r="AP116" s="498" t="s">
        <v>1276</v>
      </c>
      <c r="AQ116" s="498" t="s">
        <v>1277</v>
      </c>
      <c r="AR116" s="498" t="s">
        <v>1278</v>
      </c>
      <c r="AS116" s="498" t="s">
        <v>1279</v>
      </c>
      <c r="AT116" s="498" t="s">
        <v>1280</v>
      </c>
      <c r="AU116" s="498" t="s">
        <v>1281</v>
      </c>
      <c r="AV116" s="498" t="s">
        <v>1282</v>
      </c>
      <c r="AW116" s="498" t="s">
        <v>1283</v>
      </c>
      <c r="AX116" s="498" t="s">
        <v>1284</v>
      </c>
      <c r="AY116" s="498" t="s">
        <v>1285</v>
      </c>
      <c r="AZ116" s="498" t="s">
        <v>1286</v>
      </c>
      <c r="BA116" s="498" t="s">
        <v>1287</v>
      </c>
      <c r="BB116" s="498" t="s">
        <v>1288</v>
      </c>
      <c r="BC116" s="498" t="s">
        <v>1289</v>
      </c>
      <c r="BD116" s="498" t="s">
        <v>1290</v>
      </c>
      <c r="BE116" s="498" t="s">
        <v>1291</v>
      </c>
      <c r="BF116" s="498" t="s">
        <v>1292</v>
      </c>
      <c r="BG116" s="498" t="s">
        <v>1293</v>
      </c>
      <c r="BH116" s="498" t="s">
        <v>1294</v>
      </c>
      <c r="BI116" s="498" t="s">
        <v>1295</v>
      </c>
      <c r="BJ116" s="498" t="s">
        <v>1296</v>
      </c>
      <c r="BK116" s="498" t="s">
        <v>1297</v>
      </c>
      <c r="BL116" s="498" t="s">
        <v>1298</v>
      </c>
      <c r="BM116" s="498" t="s">
        <v>1299</v>
      </c>
      <c r="BN116" s="498" t="s">
        <v>1300</v>
      </c>
      <c r="BO116" s="498" t="s">
        <v>1301</v>
      </c>
      <c r="BP116" s="498" t="s">
        <v>1302</v>
      </c>
    </row>
    <row r="117" spans="2:68">
      <c r="B117" t="s">
        <v>525</v>
      </c>
      <c r="C117" t="s">
        <v>525</v>
      </c>
      <c r="D117" t="s">
        <v>526</v>
      </c>
      <c r="E117">
        <v>10</v>
      </c>
      <c r="F117" t="s">
        <v>527</v>
      </c>
      <c r="G117" t="s">
        <v>528</v>
      </c>
      <c r="H117" t="s">
        <v>525</v>
      </c>
      <c r="I117" s="52">
        <v>1.3658017143992058</v>
      </c>
      <c r="J117" s="52">
        <v>1.4539681962264148</v>
      </c>
      <c r="K117" s="52">
        <v>0.61242362287516838</v>
      </c>
      <c r="L117" s="52">
        <v>1.491869739821251</v>
      </c>
      <c r="M117" s="52">
        <v>1.5889450637537237</v>
      </c>
      <c r="N117" s="52">
        <v>0.66108534377007988</v>
      </c>
      <c r="O117" s="52">
        <v>2.206154744786494</v>
      </c>
      <c r="P117" s="52">
        <v>2.33293008142999</v>
      </c>
      <c r="Q117" s="52">
        <v>1.2591342952275246</v>
      </c>
      <c r="R117" s="52">
        <v>1.7731742713008936</v>
      </c>
      <c r="S117" s="52">
        <v>1.8829438784508439</v>
      </c>
      <c r="T117" s="52">
        <v>0.98740346982884519</v>
      </c>
      <c r="U117" s="52">
        <v>2.6230202343594828</v>
      </c>
      <c r="V117" s="52">
        <v>2.7650295181727897</v>
      </c>
      <c r="W117" s="52">
        <v>1.7179928734155048</v>
      </c>
      <c r="X117" s="52">
        <v>1.3548770232373391</v>
      </c>
      <c r="Y117" s="52">
        <v>1.4247149576961271</v>
      </c>
      <c r="Z117" s="52">
        <v>0.66105263157894734</v>
      </c>
      <c r="AA117" s="52">
        <v>1.4809965036742798</v>
      </c>
      <c r="AB117" s="52">
        <v>1.557951080834161</v>
      </c>
      <c r="AC117" s="52">
        <v>0.71531748349786795</v>
      </c>
      <c r="AD117" s="52">
        <v>2.1885338637537251</v>
      </c>
      <c r="AE117" s="52">
        <v>2.3034994264150934</v>
      </c>
      <c r="AF117" s="52">
        <v>1.4819370290320701</v>
      </c>
      <c r="AG117" s="52">
        <v>1.7554337620655416</v>
      </c>
      <c r="AH117" s="52">
        <v>1.8475805124131079</v>
      </c>
      <c r="AI117" s="52">
        <v>1.105405689584672</v>
      </c>
      <c r="AJ117" s="52">
        <v>2.6066075487586899</v>
      </c>
      <c r="AK117" s="52">
        <v>2.7431313326713007</v>
      </c>
      <c r="AL117" s="52">
        <v>2.0069490040306097</v>
      </c>
      <c r="AM117" s="52">
        <v>0.89813992947202481</v>
      </c>
      <c r="AN117" s="52">
        <v>0.90434187273443678</v>
      </c>
      <c r="AO117" s="52">
        <v>0.38044372595373849</v>
      </c>
      <c r="AP117" s="52">
        <v>0.98836678900709263</v>
      </c>
      <c r="AQ117" s="52">
        <v>0.99610346739558708</v>
      </c>
      <c r="AR117" s="52">
        <v>0.41372664905205586</v>
      </c>
      <c r="AS117" s="52">
        <v>1.583237673758866</v>
      </c>
      <c r="AT117" s="52">
        <v>1.5874022354215911</v>
      </c>
      <c r="AU117" s="52">
        <v>0.7726208686784416</v>
      </c>
      <c r="AV117" s="52">
        <v>1.2048764547872346</v>
      </c>
      <c r="AW117" s="52">
        <v>1.2093440908195427</v>
      </c>
      <c r="AX117" s="52">
        <v>0.60478897232651918</v>
      </c>
      <c r="AY117" s="52">
        <v>1.9060273197399531</v>
      </c>
      <c r="AZ117" s="52">
        <v>1.9099637106973999</v>
      </c>
      <c r="BA117" s="52">
        <v>1.05053075603764</v>
      </c>
      <c r="BB117" s="52">
        <v>1.2037511817279006E-2</v>
      </c>
      <c r="BC117" s="52">
        <v>-3.9213815292949306E-3</v>
      </c>
      <c r="BD117" s="52">
        <v>3.067408857994039E-2</v>
      </c>
      <c r="BE117" s="52">
        <v>6.641113167825223E-2</v>
      </c>
      <c r="BF117" s="52">
        <v>2.0153708838133094E-2</v>
      </c>
      <c r="BG117" s="52">
        <v>1.5828405163853001E-2</v>
      </c>
      <c r="BH117" s="52">
        <v>-1.1454220456784776E-5</v>
      </c>
      <c r="BI117" s="52">
        <v>3.4985911420059551E-2</v>
      </c>
      <c r="BJ117" s="52">
        <v>6.9635219860973166E-2</v>
      </c>
      <c r="BK117" s="52">
        <v>2.6838701092353513E-2</v>
      </c>
      <c r="BL117" s="52">
        <v>-3.0233354117415304E-2</v>
      </c>
      <c r="BM117" s="52">
        <v>-4.2400206658786459E-2</v>
      </c>
      <c r="BN117" s="52">
        <v>-9.5163780535854232E-3</v>
      </c>
      <c r="BO117" s="52">
        <v>9.6897465524032125E-3</v>
      </c>
      <c r="BP117" s="52">
        <v>-1.7546649527186754E-2</v>
      </c>
    </row>
    <row r="118" spans="2:68">
      <c r="B118" t="s">
        <v>531</v>
      </c>
      <c r="C118" t="s">
        <v>532</v>
      </c>
      <c r="D118" t="s">
        <v>533</v>
      </c>
      <c r="E118">
        <v>10</v>
      </c>
      <c r="F118" t="s">
        <v>527</v>
      </c>
      <c r="G118" t="s">
        <v>528</v>
      </c>
      <c r="H118" t="s">
        <v>531</v>
      </c>
      <c r="I118" s="52">
        <v>0</v>
      </c>
      <c r="J118" s="52">
        <v>0</v>
      </c>
      <c r="K118" s="52">
        <v>0</v>
      </c>
      <c r="L118" s="52">
        <v>0</v>
      </c>
      <c r="M118" s="52">
        <v>0</v>
      </c>
      <c r="N118" s="52">
        <v>0</v>
      </c>
      <c r="O118" s="52">
        <v>0</v>
      </c>
      <c r="P118" s="52">
        <v>0</v>
      </c>
      <c r="Q118" s="52">
        <v>0</v>
      </c>
      <c r="R118" s="52">
        <v>0</v>
      </c>
      <c r="S118" s="52">
        <v>0</v>
      </c>
      <c r="T118" s="52">
        <v>0</v>
      </c>
      <c r="U118" s="52">
        <v>0</v>
      </c>
      <c r="V118" s="52">
        <v>0</v>
      </c>
      <c r="W118" s="52">
        <v>0</v>
      </c>
      <c r="X118" s="52">
        <v>0</v>
      </c>
      <c r="Y118" s="52">
        <v>0</v>
      </c>
      <c r="Z118" s="52">
        <v>0</v>
      </c>
      <c r="AA118" s="52">
        <v>0</v>
      </c>
      <c r="AB118" s="52">
        <v>0</v>
      </c>
      <c r="AC118" s="52">
        <v>0</v>
      </c>
      <c r="AD118" s="52">
        <v>0</v>
      </c>
      <c r="AE118" s="52">
        <v>0</v>
      </c>
      <c r="AF118" s="52">
        <v>0</v>
      </c>
      <c r="AG118" s="52">
        <v>0</v>
      </c>
      <c r="AH118" s="52">
        <v>0</v>
      </c>
      <c r="AI118" s="52">
        <v>0</v>
      </c>
      <c r="AJ118" s="52">
        <v>0</v>
      </c>
      <c r="AK118" s="52">
        <v>0</v>
      </c>
      <c r="AL118" s="52">
        <v>0</v>
      </c>
      <c r="AM118" s="52">
        <v>0</v>
      </c>
      <c r="AN118" s="52">
        <v>0</v>
      </c>
      <c r="AO118" s="52">
        <v>0</v>
      </c>
      <c r="AP118" s="52">
        <v>0</v>
      </c>
      <c r="AQ118" s="52">
        <v>0</v>
      </c>
      <c r="AR118" s="52">
        <v>0</v>
      </c>
      <c r="AS118" s="52">
        <v>0</v>
      </c>
      <c r="AT118" s="52">
        <v>0</v>
      </c>
      <c r="AU118" s="52">
        <v>0</v>
      </c>
      <c r="AV118" s="52">
        <v>0</v>
      </c>
      <c r="AW118" s="52">
        <v>0</v>
      </c>
      <c r="AX118" s="52">
        <v>0</v>
      </c>
      <c r="AY118" s="52">
        <v>0</v>
      </c>
      <c r="AZ118" s="52">
        <v>0</v>
      </c>
      <c r="BA118" s="52">
        <v>0</v>
      </c>
      <c r="BB118" s="52">
        <v>0</v>
      </c>
      <c r="BC118" s="52">
        <v>0</v>
      </c>
      <c r="BD118" s="52">
        <v>0</v>
      </c>
      <c r="BE118" s="52">
        <v>0</v>
      </c>
      <c r="BF118" s="52">
        <v>0</v>
      </c>
      <c r="BG118" s="52">
        <v>0</v>
      </c>
      <c r="BH118" s="52">
        <v>0</v>
      </c>
      <c r="BI118" s="52">
        <v>0</v>
      </c>
      <c r="BJ118" s="52">
        <v>0</v>
      </c>
      <c r="BK118" s="52">
        <v>0</v>
      </c>
      <c r="BL118" s="52">
        <v>0</v>
      </c>
      <c r="BM118" s="52">
        <v>0</v>
      </c>
      <c r="BN118" s="52">
        <v>0</v>
      </c>
      <c r="BO118" s="52">
        <v>0</v>
      </c>
      <c r="BP118" s="52">
        <v>0</v>
      </c>
    </row>
    <row r="119" spans="2:68">
      <c r="B119" t="s">
        <v>535</v>
      </c>
      <c r="C119" t="s">
        <v>536</v>
      </c>
      <c r="D119" t="s">
        <v>537</v>
      </c>
      <c r="E119">
        <v>10</v>
      </c>
      <c r="F119" t="s">
        <v>527</v>
      </c>
      <c r="G119" t="s">
        <v>538</v>
      </c>
      <c r="H119" t="s">
        <v>535</v>
      </c>
      <c r="I119" s="52">
        <v>0.68831256400000163</v>
      </c>
      <c r="J119" s="52">
        <v>0.65729518400000053</v>
      </c>
      <c r="K119" s="52">
        <v>0.23748235294117603</v>
      </c>
      <c r="L119" s="52">
        <v>0.75854426800000152</v>
      </c>
      <c r="M119" s="52">
        <v>0.72542848799999959</v>
      </c>
      <c r="N119" s="52">
        <v>0.25776470588235223</v>
      </c>
      <c r="O119" s="52">
        <v>0.99131492399999843</v>
      </c>
      <c r="P119" s="52">
        <v>0.89723700999999711</v>
      </c>
      <c r="Q119" s="52">
        <v>0.3432705882352966</v>
      </c>
      <c r="R119" s="52">
        <v>0.82845679600000044</v>
      </c>
      <c r="S119" s="52">
        <v>0.7654050619999998</v>
      </c>
      <c r="T119" s="52">
        <v>0.29527058823529478</v>
      </c>
      <c r="U119" s="52">
        <v>1.1626482320000031</v>
      </c>
      <c r="V119" s="52">
        <v>1.0396265540000023</v>
      </c>
      <c r="W119" s="52">
        <v>0.4151764705882342</v>
      </c>
      <c r="X119" s="52">
        <v>0</v>
      </c>
      <c r="Y119" s="52">
        <v>0</v>
      </c>
      <c r="Z119" s="52">
        <v>0</v>
      </c>
      <c r="AA119" s="52">
        <v>0</v>
      </c>
      <c r="AB119" s="52">
        <v>0</v>
      </c>
      <c r="AC119" s="52">
        <v>0</v>
      </c>
      <c r="AD119" s="52">
        <v>0</v>
      </c>
      <c r="AE119" s="52">
        <v>0</v>
      </c>
      <c r="AF119" s="52">
        <v>0</v>
      </c>
      <c r="AG119" s="52">
        <v>0</v>
      </c>
      <c r="AH119" s="52">
        <v>0</v>
      </c>
      <c r="AI119" s="52">
        <v>0</v>
      </c>
      <c r="AJ119" s="52">
        <v>0</v>
      </c>
      <c r="AK119" s="52">
        <v>0</v>
      </c>
      <c r="AL119" s="52">
        <v>0</v>
      </c>
      <c r="AM119" s="52">
        <v>0.43373858454545494</v>
      </c>
      <c r="AN119" s="52">
        <v>0.43884486068181766</v>
      </c>
      <c r="AO119" s="52">
        <v>0.18758489304812842</v>
      </c>
      <c r="AP119" s="52">
        <v>0.48009081875000031</v>
      </c>
      <c r="AQ119" s="52">
        <v>0.48621650329545529</v>
      </c>
      <c r="AR119" s="52">
        <v>0.20434425133689813</v>
      </c>
      <c r="AS119" s="52">
        <v>0.65859506272727397</v>
      </c>
      <c r="AT119" s="52">
        <v>0.66561516068181759</v>
      </c>
      <c r="AU119" s="52">
        <v>0.31609625668449137</v>
      </c>
      <c r="AV119" s="52">
        <v>0.51249312363636401</v>
      </c>
      <c r="AW119" s="52">
        <v>0.51806152124999993</v>
      </c>
      <c r="AX119" s="52">
        <v>0.25729946524064129</v>
      </c>
      <c r="AY119" s="52">
        <v>0.77005412431818265</v>
      </c>
      <c r="AZ119" s="52">
        <v>0.77825027636363631</v>
      </c>
      <c r="BA119" s="52">
        <v>0.39636296791443865</v>
      </c>
      <c r="BB119" s="52">
        <v>-7.5494128000000049E-2</v>
      </c>
      <c r="BC119" s="52">
        <v>-6.4669606000000046E-2</v>
      </c>
      <c r="BD119" s="52">
        <v>-6.9665931999999889E-2</v>
      </c>
      <c r="BE119" s="52">
        <v>-7.6923529999999574E-2</v>
      </c>
      <c r="BF119" s="52">
        <v>-6.7620106000000083E-2</v>
      </c>
      <c r="BG119" s="52">
        <v>0</v>
      </c>
      <c r="BH119" s="52">
        <v>0</v>
      </c>
      <c r="BI119" s="52">
        <v>0</v>
      </c>
      <c r="BJ119" s="52">
        <v>0</v>
      </c>
      <c r="BK119" s="52">
        <v>0</v>
      </c>
      <c r="BL119" s="52">
        <v>-9.5369724431818251E-2</v>
      </c>
      <c r="BM119" s="52">
        <v>-9.0077636250000009E-2</v>
      </c>
      <c r="BN119" s="52">
        <v>-8.6648389545454479E-2</v>
      </c>
      <c r="BO119" s="52">
        <v>-9.2404987954545173E-2</v>
      </c>
      <c r="BP119" s="52">
        <v>-8.6847281136363724E-2</v>
      </c>
    </row>
    <row r="120" spans="2:68">
      <c r="B120" t="s">
        <v>546</v>
      </c>
      <c r="C120" t="s">
        <v>547</v>
      </c>
      <c r="D120" t="s">
        <v>537</v>
      </c>
      <c r="E120">
        <v>11</v>
      </c>
      <c r="F120" t="s">
        <v>527</v>
      </c>
      <c r="G120" t="s">
        <v>548</v>
      </c>
      <c r="H120" t="s">
        <v>546</v>
      </c>
      <c r="I120" s="52">
        <v>0.78589581800000086</v>
      </c>
      <c r="J120" s="52">
        <v>0.75104118999999991</v>
      </c>
      <c r="K120" s="52">
        <v>0.27147058823529457</v>
      </c>
      <c r="L120" s="52">
        <v>0.86711583799999969</v>
      </c>
      <c r="M120" s="52">
        <v>0.8299264939999994</v>
      </c>
      <c r="N120" s="52">
        <v>0.29469411764705822</v>
      </c>
      <c r="O120" s="52">
        <v>1.1341019379999997</v>
      </c>
      <c r="P120" s="52">
        <v>1.0271641979999986</v>
      </c>
      <c r="Q120" s="52">
        <v>0.39304705882353119</v>
      </c>
      <c r="R120" s="52">
        <v>0.94766007799999896</v>
      </c>
      <c r="S120" s="52">
        <v>0.8761301459999995</v>
      </c>
      <c r="T120" s="52">
        <v>0.33810588235294198</v>
      </c>
      <c r="U120" s="52">
        <v>1.3300744300000005</v>
      </c>
      <c r="V120" s="52">
        <v>1.1900042360000007</v>
      </c>
      <c r="W120" s="52">
        <v>0.47316470588235099</v>
      </c>
      <c r="X120" s="52">
        <v>0</v>
      </c>
      <c r="Y120" s="52">
        <v>0</v>
      </c>
      <c r="Z120" s="52">
        <v>0</v>
      </c>
      <c r="AA120" s="52">
        <v>0</v>
      </c>
      <c r="AB120" s="52">
        <v>0</v>
      </c>
      <c r="AC120" s="52">
        <v>0</v>
      </c>
      <c r="AD120" s="52">
        <v>0</v>
      </c>
      <c r="AE120" s="52">
        <v>0</v>
      </c>
      <c r="AF120" s="52">
        <v>0</v>
      </c>
      <c r="AG120" s="52">
        <v>0</v>
      </c>
      <c r="AH120" s="52">
        <v>0</v>
      </c>
      <c r="AI120" s="52">
        <v>0</v>
      </c>
      <c r="AJ120" s="52">
        <v>0</v>
      </c>
      <c r="AK120" s="52">
        <v>0</v>
      </c>
      <c r="AL120" s="52">
        <v>0</v>
      </c>
      <c r="AM120" s="52">
        <v>0.49694016545454567</v>
      </c>
      <c r="AN120" s="52">
        <v>0.50280137818181792</v>
      </c>
      <c r="AO120" s="52">
        <v>0.21548663101604276</v>
      </c>
      <c r="AP120" s="52">
        <v>0.55014892670454585</v>
      </c>
      <c r="AQ120" s="52">
        <v>0.55717700284090987</v>
      </c>
      <c r="AR120" s="52">
        <v>0.23445788770053447</v>
      </c>
      <c r="AS120" s="52">
        <v>0.75665006409090974</v>
      </c>
      <c r="AT120" s="52">
        <v>0.76473008386363617</v>
      </c>
      <c r="AU120" s="52">
        <v>0.3637433155080213</v>
      </c>
      <c r="AV120" s="52">
        <v>0.58894901704545521</v>
      </c>
      <c r="AW120" s="52">
        <v>0.59536314659090916</v>
      </c>
      <c r="AX120" s="52">
        <v>0.29564839572192464</v>
      </c>
      <c r="AY120" s="52">
        <v>0.88536014022727283</v>
      </c>
      <c r="AZ120" s="52">
        <v>0.89481359636363778</v>
      </c>
      <c r="BA120" s="52">
        <v>0.45548729946523964</v>
      </c>
      <c r="BB120" s="52">
        <v>-8.7046025999999985E-2</v>
      </c>
      <c r="BC120" s="52">
        <v>-7.469498200000009E-2</v>
      </c>
      <c r="BD120" s="52">
        <v>-8.0246867999999943E-2</v>
      </c>
      <c r="BE120" s="52">
        <v>-8.8578957999999597E-2</v>
      </c>
      <c r="BF120" s="52">
        <v>-7.8021652000000011E-2</v>
      </c>
      <c r="BG120" s="52">
        <v>0</v>
      </c>
      <c r="BH120" s="52">
        <v>0</v>
      </c>
      <c r="BI120" s="52">
        <v>0</v>
      </c>
      <c r="BJ120" s="52">
        <v>0</v>
      </c>
      <c r="BK120" s="52">
        <v>0</v>
      </c>
      <c r="BL120" s="52">
        <v>-0.11053094681818183</v>
      </c>
      <c r="BM120" s="52">
        <v>-0.10446445431818192</v>
      </c>
      <c r="BN120" s="52">
        <v>-0.10067953545454533</v>
      </c>
      <c r="BO120" s="52">
        <v>-0.10744018295454556</v>
      </c>
      <c r="BP120" s="52">
        <v>-0.10108925443181822</v>
      </c>
    </row>
    <row r="121" spans="2:68">
      <c r="B121" t="s">
        <v>550</v>
      </c>
      <c r="C121" t="s">
        <v>551</v>
      </c>
      <c r="D121" t="s">
        <v>537</v>
      </c>
      <c r="E121">
        <v>12</v>
      </c>
      <c r="F121" t="s">
        <v>527</v>
      </c>
      <c r="G121" t="s">
        <v>552</v>
      </c>
      <c r="H121" t="s">
        <v>550</v>
      </c>
      <c r="I121" s="52">
        <v>0.887861436000001</v>
      </c>
      <c r="J121" s="52">
        <v>0.84912304600000066</v>
      </c>
      <c r="K121" s="52">
        <v>0.30640000000000056</v>
      </c>
      <c r="L121" s="52">
        <v>0.98082106200000085</v>
      </c>
      <c r="M121" s="52">
        <v>0.9395008499999985</v>
      </c>
      <c r="N121" s="52">
        <v>0.33457647058823475</v>
      </c>
      <c r="O121" s="52">
        <v>1.2839538439999996</v>
      </c>
      <c r="P121" s="52">
        <v>1.1637047539999985</v>
      </c>
      <c r="Q121" s="52">
        <v>0.44512941176470849</v>
      </c>
      <c r="R121" s="52">
        <v>1.0727249259999989</v>
      </c>
      <c r="S121" s="52">
        <v>0.99251332999999975</v>
      </c>
      <c r="T121" s="52">
        <v>0.3831411764705881</v>
      </c>
      <c r="U121" s="52">
        <v>1.5057873180000023</v>
      </c>
      <c r="V121" s="52">
        <v>1.3479436940000014</v>
      </c>
      <c r="W121" s="52">
        <v>0.53609411764705872</v>
      </c>
      <c r="X121" s="52">
        <v>0</v>
      </c>
      <c r="Y121" s="52">
        <v>0</v>
      </c>
      <c r="Z121" s="52">
        <v>0</v>
      </c>
      <c r="AA121" s="52">
        <v>0</v>
      </c>
      <c r="AB121" s="52">
        <v>0</v>
      </c>
      <c r="AC121" s="52">
        <v>0</v>
      </c>
      <c r="AD121" s="52">
        <v>0</v>
      </c>
      <c r="AE121" s="52">
        <v>0</v>
      </c>
      <c r="AF121" s="52">
        <v>0</v>
      </c>
      <c r="AG121" s="52">
        <v>0</v>
      </c>
      <c r="AH121" s="52">
        <v>0</v>
      </c>
      <c r="AI121" s="52">
        <v>0</v>
      </c>
      <c r="AJ121" s="52">
        <v>0</v>
      </c>
      <c r="AK121" s="52">
        <v>0</v>
      </c>
      <c r="AL121" s="52">
        <v>0</v>
      </c>
      <c r="AM121" s="52">
        <v>0.56345975681818217</v>
      </c>
      <c r="AN121" s="52">
        <v>0.57011792386363636</v>
      </c>
      <c r="AO121" s="52">
        <v>0.24464371657753997</v>
      </c>
      <c r="AP121" s="52">
        <v>0.62376420102272778</v>
      </c>
      <c r="AQ121" s="52">
        <v>0.63174489272727274</v>
      </c>
      <c r="AR121" s="52">
        <v>0.26655013368983915</v>
      </c>
      <c r="AS121" s="52">
        <v>0.86048579988636364</v>
      </c>
      <c r="AT121" s="52">
        <v>0.86969044852272748</v>
      </c>
      <c r="AU121" s="52">
        <v>0.41433823529411712</v>
      </c>
      <c r="AV121" s="52">
        <v>0.66992685034090915</v>
      </c>
      <c r="AW121" s="52">
        <v>0.67724470238636392</v>
      </c>
      <c r="AX121" s="52">
        <v>0.33632352941176452</v>
      </c>
      <c r="AY121" s="52">
        <v>1.0075810405681824</v>
      </c>
      <c r="AZ121" s="52">
        <v>1.0183711502272739</v>
      </c>
      <c r="BA121" s="52">
        <v>0.51806751336898327</v>
      </c>
      <c r="BB121" s="52">
        <v>-9.936959799999999E-2</v>
      </c>
      <c r="BC121" s="52">
        <v>-8.5434628000000096E-2</v>
      </c>
      <c r="BD121" s="52">
        <v>-9.1520714000000003E-2</v>
      </c>
      <c r="BE121" s="52">
        <v>-0.10095326799999975</v>
      </c>
      <c r="BF121" s="52">
        <v>-8.9115672000000021E-2</v>
      </c>
      <c r="BG121" s="52">
        <v>0</v>
      </c>
      <c r="BH121" s="52">
        <v>0</v>
      </c>
      <c r="BI121" s="52">
        <v>0</v>
      </c>
      <c r="BJ121" s="52">
        <v>0</v>
      </c>
      <c r="BK121" s="52">
        <v>0</v>
      </c>
      <c r="BL121" s="52">
        <v>-0.12687301261363637</v>
      </c>
      <c r="BM121" s="52">
        <v>-0.11998506681818184</v>
      </c>
      <c r="BN121" s="52">
        <v>-0.11585100727272717</v>
      </c>
      <c r="BO121" s="52">
        <v>-0.12375804920454522</v>
      </c>
      <c r="BP121" s="52">
        <v>-0.11657433818181827</v>
      </c>
    </row>
    <row r="122" spans="2:68">
      <c r="B122" t="s">
        <v>554</v>
      </c>
      <c r="C122" t="s">
        <v>555</v>
      </c>
      <c r="D122" t="s">
        <v>537</v>
      </c>
      <c r="E122">
        <v>13</v>
      </c>
      <c r="F122" t="s">
        <v>527</v>
      </c>
      <c r="G122" t="s">
        <v>556</v>
      </c>
      <c r="H122" t="s">
        <v>554</v>
      </c>
      <c r="I122" s="52">
        <v>0.91484517000000054</v>
      </c>
      <c r="J122" s="52">
        <v>0.87512136800000007</v>
      </c>
      <c r="K122" s="52">
        <v>0.31544705882352903</v>
      </c>
      <c r="L122" s="52">
        <v>1.0109385520000014</v>
      </c>
      <c r="M122" s="52">
        <v>0.96852900399999997</v>
      </c>
      <c r="N122" s="52">
        <v>0.34551764705882304</v>
      </c>
      <c r="O122" s="52">
        <v>1.3237243679999993</v>
      </c>
      <c r="P122" s="52">
        <v>1.1999595539999972</v>
      </c>
      <c r="Q122" s="52">
        <v>0.45807058823529589</v>
      </c>
      <c r="R122" s="52">
        <v>1.1058826059999993</v>
      </c>
      <c r="S122" s="52">
        <v>1.0233793119999992</v>
      </c>
      <c r="T122" s="52">
        <v>0.39408235294117733</v>
      </c>
      <c r="U122" s="52">
        <v>1.552406508</v>
      </c>
      <c r="V122" s="52">
        <v>1.389857414000002</v>
      </c>
      <c r="W122" s="52">
        <v>0.55398823529411678</v>
      </c>
      <c r="X122" s="52">
        <v>0</v>
      </c>
      <c r="Y122" s="52">
        <v>0</v>
      </c>
      <c r="Z122" s="52">
        <v>0</v>
      </c>
      <c r="AA122" s="52">
        <v>0</v>
      </c>
      <c r="AB122" s="52">
        <v>0</v>
      </c>
      <c r="AC122" s="52">
        <v>0</v>
      </c>
      <c r="AD122" s="52">
        <v>0</v>
      </c>
      <c r="AE122" s="52">
        <v>0</v>
      </c>
      <c r="AF122" s="52">
        <v>0</v>
      </c>
      <c r="AG122" s="52">
        <v>0</v>
      </c>
      <c r="AH122" s="52">
        <v>0</v>
      </c>
      <c r="AI122" s="52">
        <v>0</v>
      </c>
      <c r="AJ122" s="52">
        <v>0</v>
      </c>
      <c r="AK122" s="52">
        <v>0</v>
      </c>
      <c r="AL122" s="52">
        <v>0</v>
      </c>
      <c r="AM122" s="52">
        <v>0.58113032261363684</v>
      </c>
      <c r="AN122" s="52">
        <v>0.58800079863636334</v>
      </c>
      <c r="AO122" s="52">
        <v>0.25245120320855596</v>
      </c>
      <c r="AP122" s="52">
        <v>0.64332610590909101</v>
      </c>
      <c r="AQ122" s="52">
        <v>0.65155954795454574</v>
      </c>
      <c r="AR122" s="52">
        <v>0.27441778074866308</v>
      </c>
      <c r="AS122" s="52">
        <v>0.88819644522727359</v>
      </c>
      <c r="AT122" s="52">
        <v>0.89770318022727225</v>
      </c>
      <c r="AU122" s="52">
        <v>0.4278810160427805</v>
      </c>
      <c r="AV122" s="52">
        <v>0.69150605170454582</v>
      </c>
      <c r="AW122" s="52">
        <v>0.69906571022727304</v>
      </c>
      <c r="AX122" s="52">
        <v>0.34719919786096232</v>
      </c>
      <c r="AY122" s="52">
        <v>1.0402133459090908</v>
      </c>
      <c r="AZ122" s="52">
        <v>1.0513612360227274</v>
      </c>
      <c r="BA122" s="52">
        <v>0.53473195187165734</v>
      </c>
      <c r="BB122" s="52">
        <v>-0.1026598059999999</v>
      </c>
      <c r="BC122" s="52">
        <v>-8.8324802000000091E-2</v>
      </c>
      <c r="BD122" s="52">
        <v>-9.4542835999999852E-2</v>
      </c>
      <c r="BE122" s="52">
        <v>-0.10426361199999974</v>
      </c>
      <c r="BF122" s="52">
        <v>-9.2088202000000022E-2</v>
      </c>
      <c r="BG122" s="52">
        <v>0</v>
      </c>
      <c r="BH122" s="52">
        <v>0</v>
      </c>
      <c r="BI122" s="52">
        <v>0</v>
      </c>
      <c r="BJ122" s="52">
        <v>0</v>
      </c>
      <c r="BK122" s="52">
        <v>0</v>
      </c>
      <c r="BL122" s="52">
        <v>-0.13128338534090911</v>
      </c>
      <c r="BM122" s="52">
        <v>-0.12417300329545458</v>
      </c>
      <c r="BN122" s="52">
        <v>-0.11996184784090907</v>
      </c>
      <c r="BO122" s="52">
        <v>-0.12817812170454546</v>
      </c>
      <c r="BP122" s="52">
        <v>-0.12076757681818187</v>
      </c>
    </row>
    <row r="123" spans="2:68">
      <c r="B123" t="s">
        <v>558</v>
      </c>
      <c r="C123" t="s">
        <v>559</v>
      </c>
      <c r="D123" t="s">
        <v>537</v>
      </c>
      <c r="E123">
        <v>14</v>
      </c>
      <c r="F123" t="s">
        <v>538</v>
      </c>
      <c r="G123" t="s">
        <v>548</v>
      </c>
      <c r="H123" t="s">
        <v>558</v>
      </c>
      <c r="I123" s="52">
        <v>9.7583253999999217E-2</v>
      </c>
      <c r="J123" s="52">
        <v>9.3746005999999396E-2</v>
      </c>
      <c r="K123" s="52">
        <v>3.3988235294118568E-2</v>
      </c>
      <c r="L123" s="52">
        <v>0.10857156999999824</v>
      </c>
      <c r="M123" s="52">
        <v>0.10449800599999981</v>
      </c>
      <c r="N123" s="52">
        <v>3.6929411764705947E-2</v>
      </c>
      <c r="O123" s="52">
        <v>0.14278701400000135</v>
      </c>
      <c r="P123" s="52">
        <v>0.12992718800000147</v>
      </c>
      <c r="Q123" s="52">
        <v>4.9776470588234589E-2</v>
      </c>
      <c r="R123" s="52">
        <v>0.11920328199999858</v>
      </c>
      <c r="S123" s="52">
        <v>0.1107250839999997</v>
      </c>
      <c r="T123" s="52">
        <v>4.2835294117647207E-2</v>
      </c>
      <c r="U123" s="52">
        <v>0.16742619799999739</v>
      </c>
      <c r="V123" s="52">
        <v>0.15037768199999846</v>
      </c>
      <c r="W123" s="52">
        <v>5.7988235294116751E-2</v>
      </c>
      <c r="X123" s="52">
        <v>0</v>
      </c>
      <c r="Y123" s="52">
        <v>0</v>
      </c>
      <c r="Z123" s="52">
        <v>0</v>
      </c>
      <c r="AA123" s="52">
        <v>0</v>
      </c>
      <c r="AB123" s="52">
        <v>0</v>
      </c>
      <c r="AC123" s="52">
        <v>0</v>
      </c>
      <c r="AD123" s="52">
        <v>0</v>
      </c>
      <c r="AE123" s="52">
        <v>0</v>
      </c>
      <c r="AF123" s="52">
        <v>0</v>
      </c>
      <c r="AG123" s="52">
        <v>0</v>
      </c>
      <c r="AH123" s="52">
        <v>0</v>
      </c>
      <c r="AI123" s="52">
        <v>0</v>
      </c>
      <c r="AJ123" s="52">
        <v>0</v>
      </c>
      <c r="AK123" s="52">
        <v>0</v>
      </c>
      <c r="AL123" s="52">
        <v>0</v>
      </c>
      <c r="AM123" s="52">
        <v>6.3201580909090727E-2</v>
      </c>
      <c r="AN123" s="52">
        <v>6.3956517500000282E-2</v>
      </c>
      <c r="AO123" s="52">
        <v>2.7901737967914331E-2</v>
      </c>
      <c r="AP123" s="52">
        <v>7.0058107954545534E-2</v>
      </c>
      <c r="AQ123" s="52">
        <v>7.0960499545454608E-2</v>
      </c>
      <c r="AR123" s="52">
        <v>3.0113636363636363E-2</v>
      </c>
      <c r="AS123" s="52">
        <v>9.8055001363635791E-2</v>
      </c>
      <c r="AT123" s="52">
        <v>9.9114923181818582E-2</v>
      </c>
      <c r="AU123" s="52">
        <v>4.7647058823529896E-2</v>
      </c>
      <c r="AV123" s="52">
        <v>7.6455893409091175E-2</v>
      </c>
      <c r="AW123" s="52">
        <v>7.7301625340909258E-2</v>
      </c>
      <c r="AX123" s="52">
        <v>3.8348930481283371E-2</v>
      </c>
      <c r="AY123" s="52">
        <v>0.11530601590909018</v>
      </c>
      <c r="AZ123" s="52">
        <v>0.11656332000000144</v>
      </c>
      <c r="BA123" s="52">
        <v>5.912433155080097E-2</v>
      </c>
      <c r="BB123" s="52">
        <v>-1.1551897999999937E-2</v>
      </c>
      <c r="BC123" s="52">
        <v>-1.0025376000000051E-2</v>
      </c>
      <c r="BD123" s="52">
        <v>-1.0580936000000065E-2</v>
      </c>
      <c r="BE123" s="52">
        <v>-1.1655428000000028E-2</v>
      </c>
      <c r="BF123" s="52">
        <v>-1.0401545999999939E-2</v>
      </c>
      <c r="BG123" s="52">
        <v>0</v>
      </c>
      <c r="BH123" s="52">
        <v>0</v>
      </c>
      <c r="BI123" s="52">
        <v>0</v>
      </c>
      <c r="BJ123" s="52">
        <v>0</v>
      </c>
      <c r="BK123" s="52">
        <v>0</v>
      </c>
      <c r="BL123" s="52">
        <v>-1.5161222386363575E-2</v>
      </c>
      <c r="BM123" s="52">
        <v>-1.4386818068181914E-2</v>
      </c>
      <c r="BN123" s="52">
        <v>-1.4031145909090851E-2</v>
      </c>
      <c r="BO123" s="52">
        <v>-1.5035195000000385E-2</v>
      </c>
      <c r="BP123" s="52">
        <v>-1.4241973295454499E-2</v>
      </c>
    </row>
    <row r="124" spans="2:68">
      <c r="B124" t="s">
        <v>562</v>
      </c>
      <c r="C124" t="s">
        <v>563</v>
      </c>
      <c r="D124" t="s">
        <v>537</v>
      </c>
      <c r="E124">
        <v>15</v>
      </c>
      <c r="F124" t="s">
        <v>538</v>
      </c>
      <c r="G124" t="s">
        <v>552</v>
      </c>
      <c r="H124" t="s">
        <v>562</v>
      </c>
      <c r="I124" s="52">
        <v>0.19954887199999941</v>
      </c>
      <c r="J124" s="52">
        <v>0.1918278620000001</v>
      </c>
      <c r="K124" s="52">
        <v>6.8917647058824513E-2</v>
      </c>
      <c r="L124" s="52">
        <v>0.22227679399999942</v>
      </c>
      <c r="M124" s="52">
        <v>0.21407236199999896</v>
      </c>
      <c r="N124" s="52">
        <v>7.6811764705882524E-2</v>
      </c>
      <c r="O124" s="52">
        <v>0.29263892000000125</v>
      </c>
      <c r="P124" s="52">
        <v>0.26646774400000139</v>
      </c>
      <c r="Q124" s="52">
        <v>0.10185882352941189</v>
      </c>
      <c r="R124" s="52">
        <v>0.24426812999999856</v>
      </c>
      <c r="S124" s="52">
        <v>0.22710826799999995</v>
      </c>
      <c r="T124" s="52">
        <v>8.7870588235293326E-2</v>
      </c>
      <c r="U124" s="52">
        <v>0.3431390859999992</v>
      </c>
      <c r="V124" s="52">
        <v>0.30831713999999921</v>
      </c>
      <c r="W124" s="52">
        <v>0.12091764705882452</v>
      </c>
      <c r="X124" s="52">
        <v>0</v>
      </c>
      <c r="Y124" s="52">
        <v>0</v>
      </c>
      <c r="Z124" s="52">
        <v>0</v>
      </c>
      <c r="AA124" s="52">
        <v>0</v>
      </c>
      <c r="AB124" s="52">
        <v>0</v>
      </c>
      <c r="AC124" s="52">
        <v>0</v>
      </c>
      <c r="AD124" s="52">
        <v>0</v>
      </c>
      <c r="AE124" s="52">
        <v>0</v>
      </c>
      <c r="AF124" s="52">
        <v>0</v>
      </c>
      <c r="AG124" s="52">
        <v>0</v>
      </c>
      <c r="AH124" s="52">
        <v>0</v>
      </c>
      <c r="AI124" s="52">
        <v>0</v>
      </c>
      <c r="AJ124" s="52">
        <v>0</v>
      </c>
      <c r="AK124" s="52">
        <v>0</v>
      </c>
      <c r="AL124" s="52">
        <v>0</v>
      </c>
      <c r="AM124" s="52">
        <v>0.12972117227272725</v>
      </c>
      <c r="AN124" s="52">
        <v>0.13127306318181872</v>
      </c>
      <c r="AO124" s="52">
        <v>5.7058823529411544E-2</v>
      </c>
      <c r="AP124" s="52">
        <v>0.14367338227272738</v>
      </c>
      <c r="AQ124" s="52">
        <v>0.14552838943181748</v>
      </c>
      <c r="AR124" s="52">
        <v>6.2205882352941028E-2</v>
      </c>
      <c r="AS124" s="52">
        <v>0.2018907371590897</v>
      </c>
      <c r="AT124" s="52">
        <v>0.20407528784090986</v>
      </c>
      <c r="AU124" s="52">
        <v>9.8241978609625719E-2</v>
      </c>
      <c r="AV124" s="52">
        <v>0.15743372670454517</v>
      </c>
      <c r="AW124" s="52">
        <v>0.15918318113636401</v>
      </c>
      <c r="AX124" s="52">
        <v>7.9024064171123259E-2</v>
      </c>
      <c r="AY124" s="52">
        <v>0.2375269162499998</v>
      </c>
      <c r="AZ124" s="52">
        <v>0.24012087386363751</v>
      </c>
      <c r="BA124" s="52">
        <v>0.12170454545454462</v>
      </c>
      <c r="BB124" s="52">
        <v>-2.3875469999999951E-2</v>
      </c>
      <c r="BC124" s="52">
        <v>-2.0765022000000046E-2</v>
      </c>
      <c r="BD124" s="52">
        <v>-2.1854782000000114E-2</v>
      </c>
      <c r="BE124" s="52">
        <v>-2.4029738000000179E-2</v>
      </c>
      <c r="BF124" s="52">
        <v>-2.1495565999999938E-2</v>
      </c>
      <c r="BG124" s="52">
        <v>0</v>
      </c>
      <c r="BH124" s="52">
        <v>0</v>
      </c>
      <c r="BI124" s="52">
        <v>0</v>
      </c>
      <c r="BJ124" s="52">
        <v>0</v>
      </c>
      <c r="BK124" s="52">
        <v>0</v>
      </c>
      <c r="BL124" s="52">
        <v>-3.1503288181818127E-2</v>
      </c>
      <c r="BM124" s="52">
        <v>-2.9907430568181844E-2</v>
      </c>
      <c r="BN124" s="52">
        <v>-2.9202617727272687E-2</v>
      </c>
      <c r="BO124" s="52">
        <v>-3.135306125000005E-2</v>
      </c>
      <c r="BP124" s="52">
        <v>-2.9727057045454537E-2</v>
      </c>
    </row>
    <row r="125" spans="2:68">
      <c r="B125" t="s">
        <v>565</v>
      </c>
      <c r="C125" t="s">
        <v>566</v>
      </c>
      <c r="D125" t="s">
        <v>537</v>
      </c>
      <c r="E125">
        <v>16</v>
      </c>
      <c r="F125" t="s">
        <v>538</v>
      </c>
      <c r="G125" t="s">
        <v>556</v>
      </c>
      <c r="H125" t="s">
        <v>565</v>
      </c>
      <c r="I125" s="52">
        <v>0.22653260599999886</v>
      </c>
      <c r="J125" s="52">
        <v>0.21782618399999956</v>
      </c>
      <c r="K125" s="52">
        <v>7.7964705882352978E-2</v>
      </c>
      <c r="L125" s="52">
        <v>0.25239428399999997</v>
      </c>
      <c r="M125" s="52">
        <v>0.24310051600000043</v>
      </c>
      <c r="N125" s="52">
        <v>8.7752941176470811E-2</v>
      </c>
      <c r="O125" s="52">
        <v>0.33240944400000083</v>
      </c>
      <c r="P125" s="52">
        <v>0.3027225440000002</v>
      </c>
      <c r="Q125" s="52">
        <v>0.11479999999999928</v>
      </c>
      <c r="R125" s="52">
        <v>0.27742580999999883</v>
      </c>
      <c r="S125" s="52">
        <v>0.25797424999999929</v>
      </c>
      <c r="T125" s="52">
        <v>9.8811764705882529E-2</v>
      </c>
      <c r="U125" s="52">
        <v>0.38975827599999685</v>
      </c>
      <c r="V125" s="52">
        <v>0.35023085999999964</v>
      </c>
      <c r="W125" s="52">
        <v>0.13881176470588252</v>
      </c>
      <c r="X125" s="52">
        <v>0</v>
      </c>
      <c r="Y125" s="52">
        <v>0</v>
      </c>
      <c r="Z125" s="52">
        <v>0</v>
      </c>
      <c r="AA125" s="52">
        <v>0</v>
      </c>
      <c r="AB125" s="52">
        <v>0</v>
      </c>
      <c r="AC125" s="52">
        <v>0</v>
      </c>
      <c r="AD125" s="52">
        <v>0</v>
      </c>
      <c r="AE125" s="52">
        <v>0</v>
      </c>
      <c r="AF125" s="52">
        <v>0</v>
      </c>
      <c r="AG125" s="52">
        <v>0</v>
      </c>
      <c r="AH125" s="52">
        <v>0</v>
      </c>
      <c r="AI125" s="52">
        <v>0</v>
      </c>
      <c r="AJ125" s="52">
        <v>0</v>
      </c>
      <c r="AK125" s="52">
        <v>0</v>
      </c>
      <c r="AL125" s="52">
        <v>0</v>
      </c>
      <c r="AM125" s="52">
        <v>0.14739173806818184</v>
      </c>
      <c r="AN125" s="52">
        <v>0.14915593795454574</v>
      </c>
      <c r="AO125" s="52">
        <v>6.4866310160427515E-2</v>
      </c>
      <c r="AP125" s="52">
        <v>0.16323528715909064</v>
      </c>
      <c r="AQ125" s="52">
        <v>0.16534304465909042</v>
      </c>
      <c r="AR125" s="52">
        <v>7.0073529411764951E-2</v>
      </c>
      <c r="AS125" s="52">
        <v>0.22960138249999959</v>
      </c>
      <c r="AT125" s="52">
        <v>0.2320880195454546</v>
      </c>
      <c r="AU125" s="52">
        <v>0.1117847593582891</v>
      </c>
      <c r="AV125" s="52">
        <v>0.17901292806818178</v>
      </c>
      <c r="AW125" s="52">
        <v>0.18100418897727319</v>
      </c>
      <c r="AX125" s="52">
        <v>8.9899732620321054E-2</v>
      </c>
      <c r="AY125" s="52">
        <v>0.27015922159090805</v>
      </c>
      <c r="AZ125" s="52">
        <v>0.2731109596590911</v>
      </c>
      <c r="BA125" s="52">
        <v>0.13836898395721867</v>
      </c>
      <c r="BB125" s="52">
        <v>-2.7165677999999843E-2</v>
      </c>
      <c r="BC125" s="52">
        <v>-2.3655196000000045E-2</v>
      </c>
      <c r="BD125" s="52">
        <v>-2.4876903999999967E-2</v>
      </c>
      <c r="BE125" s="52">
        <v>-2.7340082000000165E-2</v>
      </c>
      <c r="BF125" s="52">
        <v>-2.4468095999999946E-2</v>
      </c>
      <c r="BG125" s="52">
        <v>0</v>
      </c>
      <c r="BH125" s="52">
        <v>0</v>
      </c>
      <c r="BI125" s="52">
        <v>0</v>
      </c>
      <c r="BJ125" s="52">
        <v>0</v>
      </c>
      <c r="BK125" s="52">
        <v>0</v>
      </c>
      <c r="BL125" s="52">
        <v>-3.5913660909090844E-2</v>
      </c>
      <c r="BM125" s="52">
        <v>-3.4095367045454579E-2</v>
      </c>
      <c r="BN125" s="52">
        <v>-3.3313458295454602E-2</v>
      </c>
      <c r="BO125" s="52">
        <v>-3.5773133750000276E-2</v>
      </c>
      <c r="BP125" s="52">
        <v>-3.3920295681818147E-2</v>
      </c>
    </row>
    <row r="126" spans="2:68">
      <c r="B126" t="s">
        <v>568</v>
      </c>
      <c r="C126" t="s">
        <v>569</v>
      </c>
      <c r="D126" t="s">
        <v>537</v>
      </c>
      <c r="E126">
        <v>17</v>
      </c>
      <c r="F126" t="s">
        <v>528</v>
      </c>
      <c r="G126" t="s">
        <v>552</v>
      </c>
      <c r="H126" t="s">
        <v>568</v>
      </c>
      <c r="I126" s="52">
        <v>2.0790405960000009</v>
      </c>
      <c r="J126" s="52">
        <v>1.9723595179999993</v>
      </c>
      <c r="K126" s="52">
        <v>0.70474117647058843</v>
      </c>
      <c r="L126" s="52">
        <v>2.2839725460000007</v>
      </c>
      <c r="M126" s="52">
        <v>2.168274856</v>
      </c>
      <c r="N126" s="52">
        <v>0.76994117647058735</v>
      </c>
      <c r="O126" s="52">
        <v>2.9645855359999986</v>
      </c>
      <c r="P126" s="52">
        <v>2.6681357260000005</v>
      </c>
      <c r="Q126" s="52">
        <v>1.0171647058823545</v>
      </c>
      <c r="R126" s="52">
        <v>2.4688093519999983</v>
      </c>
      <c r="S126" s="52">
        <v>2.2662146279999997</v>
      </c>
      <c r="T126" s="52">
        <v>0.87203529411764613</v>
      </c>
      <c r="U126" s="52">
        <v>3.4577416300000006</v>
      </c>
      <c r="V126" s="52">
        <v>3.0754721500000013</v>
      </c>
      <c r="W126" s="52">
        <v>1.229282352941178</v>
      </c>
      <c r="X126" s="52">
        <v>0</v>
      </c>
      <c r="Y126" s="52">
        <v>0</v>
      </c>
      <c r="Z126" s="52">
        <v>0</v>
      </c>
      <c r="AA126" s="52">
        <v>0</v>
      </c>
      <c r="AB126" s="52">
        <v>0</v>
      </c>
      <c r="AC126" s="52">
        <v>0</v>
      </c>
      <c r="AD126" s="52">
        <v>0</v>
      </c>
      <c r="AE126" s="52">
        <v>0</v>
      </c>
      <c r="AF126" s="52">
        <v>0</v>
      </c>
      <c r="AG126" s="52">
        <v>0</v>
      </c>
      <c r="AH126" s="52">
        <v>0</v>
      </c>
      <c r="AI126" s="52">
        <v>0</v>
      </c>
      <c r="AJ126" s="52">
        <v>0</v>
      </c>
      <c r="AK126" s="52">
        <v>0</v>
      </c>
      <c r="AL126" s="52">
        <v>0</v>
      </c>
      <c r="AM126" s="52">
        <v>1.2663468042045452</v>
      </c>
      <c r="AN126" s="52">
        <v>1.2809781735227275</v>
      </c>
      <c r="AO126" s="52">
        <v>0.54163502673796793</v>
      </c>
      <c r="AP126" s="52">
        <v>1.395080141704546</v>
      </c>
      <c r="AQ126" s="52">
        <v>1.4125533084090909</v>
      </c>
      <c r="AR126" s="52">
        <v>0.58879411764705847</v>
      </c>
      <c r="AS126" s="52">
        <v>1.8812732931818177</v>
      </c>
      <c r="AT126" s="52">
        <v>1.9009291877272732</v>
      </c>
      <c r="AU126" s="52">
        <v>0.90421791443850208</v>
      </c>
      <c r="AV126" s="52">
        <v>1.4661794275000002</v>
      </c>
      <c r="AW126" s="52">
        <v>1.4815485336363641</v>
      </c>
      <c r="AX126" s="52">
        <v>0.7316243315508022</v>
      </c>
      <c r="AY126" s="52">
        <v>2.1874531281818186</v>
      </c>
      <c r="AZ126" s="52">
        <v>2.2103230303409096</v>
      </c>
      <c r="BA126" s="52">
        <v>1.1312533422459909</v>
      </c>
      <c r="BB126" s="52">
        <v>-0.21173069800000008</v>
      </c>
      <c r="BC126" s="52">
        <v>-0.17615323199999999</v>
      </c>
      <c r="BD126" s="52">
        <v>-0.19340106000000015</v>
      </c>
      <c r="BE126" s="52">
        <v>-0.21487526200000001</v>
      </c>
      <c r="BF126" s="52">
        <v>-0.18147069399999999</v>
      </c>
      <c r="BG126" s="52">
        <v>0</v>
      </c>
      <c r="BH126" s="52">
        <v>0</v>
      </c>
      <c r="BI126" s="52">
        <v>0</v>
      </c>
      <c r="BJ126" s="52">
        <v>0</v>
      </c>
      <c r="BK126" s="52">
        <v>0</v>
      </c>
      <c r="BL126" s="52">
        <v>-0.25593261988636373</v>
      </c>
      <c r="BM126" s="52">
        <v>-0.24012878693181816</v>
      </c>
      <c r="BN126" s="52">
        <v>-0.22723162295454544</v>
      </c>
      <c r="BO126" s="52">
        <v>-0.24232209602272717</v>
      </c>
      <c r="BP126" s="52">
        <v>-0.22473015579545455</v>
      </c>
    </row>
    <row r="127" spans="2:68">
      <c r="B127" t="s">
        <v>570</v>
      </c>
      <c r="C127" t="s">
        <v>571</v>
      </c>
      <c r="D127" t="s">
        <v>537</v>
      </c>
      <c r="E127">
        <v>18</v>
      </c>
      <c r="F127" t="s">
        <v>527</v>
      </c>
      <c r="G127" t="s">
        <v>538</v>
      </c>
      <c r="H127" t="s">
        <v>570</v>
      </c>
      <c r="I127" s="52">
        <v>0.68831256400000163</v>
      </c>
      <c r="J127" s="52">
        <v>0.65729518400000053</v>
      </c>
      <c r="K127" s="52">
        <v>0.23748235294117603</v>
      </c>
      <c r="L127" s="52">
        <v>0.75854426800000152</v>
      </c>
      <c r="M127" s="52">
        <v>0.72542848799999959</v>
      </c>
      <c r="N127" s="52">
        <v>0.25776470588235223</v>
      </c>
      <c r="O127" s="52">
        <v>0.99131492399999843</v>
      </c>
      <c r="P127" s="52">
        <v>0.89723700999999711</v>
      </c>
      <c r="Q127" s="52">
        <v>0.3432705882352966</v>
      </c>
      <c r="R127" s="52">
        <v>0.82845679600000044</v>
      </c>
      <c r="S127" s="52">
        <v>0.7654050619999998</v>
      </c>
      <c r="T127" s="52">
        <v>0.29527058823529478</v>
      </c>
      <c r="U127" s="52">
        <v>1.1626482320000031</v>
      </c>
      <c r="V127" s="52">
        <v>1.0396265540000023</v>
      </c>
      <c r="W127" s="52">
        <v>0.4151764705882342</v>
      </c>
      <c r="X127" s="52">
        <v>0</v>
      </c>
      <c r="Y127" s="52">
        <v>0</v>
      </c>
      <c r="Z127" s="52">
        <v>0</v>
      </c>
      <c r="AA127" s="52">
        <v>0</v>
      </c>
      <c r="AB127" s="52">
        <v>0</v>
      </c>
      <c r="AC127" s="52">
        <v>0</v>
      </c>
      <c r="AD127" s="52">
        <v>0</v>
      </c>
      <c r="AE127" s="52">
        <v>0</v>
      </c>
      <c r="AF127" s="52">
        <v>0</v>
      </c>
      <c r="AG127" s="52">
        <v>0</v>
      </c>
      <c r="AH127" s="52">
        <v>0</v>
      </c>
      <c r="AI127" s="52">
        <v>0</v>
      </c>
      <c r="AJ127" s="52">
        <v>0</v>
      </c>
      <c r="AK127" s="52">
        <v>0</v>
      </c>
      <c r="AL127" s="52">
        <v>0</v>
      </c>
      <c r="AM127" s="52">
        <v>0.43373858454545494</v>
      </c>
      <c r="AN127" s="52">
        <v>0.43884486068181766</v>
      </c>
      <c r="AO127" s="52">
        <v>0.18758489304812842</v>
      </c>
      <c r="AP127" s="52">
        <v>0.48009081875000031</v>
      </c>
      <c r="AQ127" s="52">
        <v>0.48621650329545529</v>
      </c>
      <c r="AR127" s="52">
        <v>0.20434425133689813</v>
      </c>
      <c r="AS127" s="52">
        <v>0.65859506272727397</v>
      </c>
      <c r="AT127" s="52">
        <v>0.66561516068181759</v>
      </c>
      <c r="AU127" s="52">
        <v>0.31609625668449137</v>
      </c>
      <c r="AV127" s="52">
        <v>0.51249312363636401</v>
      </c>
      <c r="AW127" s="52">
        <v>0.51806152124999993</v>
      </c>
      <c r="AX127" s="52">
        <v>0.25729946524064129</v>
      </c>
      <c r="AY127" s="52">
        <v>0.77005412431818265</v>
      </c>
      <c r="AZ127" s="52">
        <v>0.77825027636363631</v>
      </c>
      <c r="BA127" s="52">
        <v>0.39636296791443865</v>
      </c>
      <c r="BB127" s="52">
        <v>-7.5494128000000049E-2</v>
      </c>
      <c r="BC127" s="52">
        <v>-6.4669606000000046E-2</v>
      </c>
      <c r="BD127" s="52">
        <v>-6.9665931999999889E-2</v>
      </c>
      <c r="BE127" s="52">
        <v>-7.6923529999999574E-2</v>
      </c>
      <c r="BF127" s="52">
        <v>-6.7620106000000083E-2</v>
      </c>
      <c r="BG127" s="52">
        <v>0</v>
      </c>
      <c r="BH127" s="52">
        <v>0</v>
      </c>
      <c r="BI127" s="52">
        <v>0</v>
      </c>
      <c r="BJ127" s="52">
        <v>0</v>
      </c>
      <c r="BK127" s="52">
        <v>0</v>
      </c>
      <c r="BL127" s="52">
        <v>-9.5369724431818251E-2</v>
      </c>
      <c r="BM127" s="52">
        <v>-9.0077636250000009E-2</v>
      </c>
      <c r="BN127" s="52">
        <v>-8.6648389545454479E-2</v>
      </c>
      <c r="BO127" s="52">
        <v>-9.2404987954545173E-2</v>
      </c>
      <c r="BP127" s="52">
        <v>-8.6847281136363724E-2</v>
      </c>
    </row>
    <row r="128" spans="2:68">
      <c r="B128" t="s">
        <v>573</v>
      </c>
      <c r="C128" t="s">
        <v>574</v>
      </c>
      <c r="D128" t="s">
        <v>540</v>
      </c>
      <c r="E128">
        <v>10</v>
      </c>
      <c r="F128" t="s">
        <v>527</v>
      </c>
      <c r="G128" t="s">
        <v>538</v>
      </c>
      <c r="H128" t="s">
        <v>573</v>
      </c>
      <c r="I128" s="52">
        <v>0.42107871200000047</v>
      </c>
      <c r="J128" s="52">
        <v>0.44772103600000085</v>
      </c>
      <c r="K128" s="52">
        <v>0.1727764705882355</v>
      </c>
      <c r="L128" s="52">
        <v>0.4942407199999998</v>
      </c>
      <c r="M128" s="52">
        <v>0.52519775200000007</v>
      </c>
      <c r="N128" s="52">
        <v>0.19885882352941189</v>
      </c>
      <c r="O128" s="52">
        <v>0.43225058200000055</v>
      </c>
      <c r="P128" s="52">
        <v>0.46427105800000207</v>
      </c>
      <c r="Q128" s="52">
        <v>0.20372941176470705</v>
      </c>
      <c r="R128" s="52">
        <v>0.37998284199999943</v>
      </c>
      <c r="S128" s="52">
        <v>0.40750446600000034</v>
      </c>
      <c r="T128" s="52">
        <v>0.18468235294117677</v>
      </c>
      <c r="U128" s="52">
        <v>0.36273824600000082</v>
      </c>
      <c r="V128" s="52">
        <v>0.39740339799999858</v>
      </c>
      <c r="W128" s="52">
        <v>0.18258823529411894</v>
      </c>
      <c r="X128" s="52">
        <v>0.47189020399999937</v>
      </c>
      <c r="Y128" s="52">
        <v>0.48680043200000001</v>
      </c>
      <c r="Z128" s="52">
        <v>0.15411764705882341</v>
      </c>
      <c r="AA128" s="52">
        <v>0.5759913199999992</v>
      </c>
      <c r="AB128" s="52">
        <v>0.5941012020000016</v>
      </c>
      <c r="AC128" s="52">
        <v>0.18400000000000091</v>
      </c>
      <c r="AD128" s="52">
        <v>0.52703668200000175</v>
      </c>
      <c r="AE128" s="52">
        <v>0.54519502400000053</v>
      </c>
      <c r="AF128" s="52">
        <v>0.13581176470588252</v>
      </c>
      <c r="AG128" s="52">
        <v>0.42298970399999963</v>
      </c>
      <c r="AH128" s="52">
        <v>0.4401647560000001</v>
      </c>
      <c r="AI128" s="52">
        <v>0.12657647058823568</v>
      </c>
      <c r="AJ128" s="52">
        <v>0.42489039200000117</v>
      </c>
      <c r="AK128" s="52">
        <v>0.44465037799999846</v>
      </c>
      <c r="AL128" s="52">
        <v>5.0552941176469177E-2</v>
      </c>
      <c r="AM128" s="52">
        <v>0.39275255988636343</v>
      </c>
      <c r="AN128" s="52">
        <v>0.39731122931818225</v>
      </c>
      <c r="AO128" s="52">
        <v>0.15844050802139051</v>
      </c>
      <c r="AP128" s="52">
        <v>0.465128757386363</v>
      </c>
      <c r="AQ128" s="52">
        <v>0.47088661624999983</v>
      </c>
      <c r="AR128" s="52">
        <v>0.18245187165775448</v>
      </c>
      <c r="AS128" s="52">
        <v>0.479816625568181</v>
      </c>
      <c r="AT128" s="52">
        <v>0.48549778227272655</v>
      </c>
      <c r="AU128" s="52">
        <v>0.20991310160427765</v>
      </c>
      <c r="AV128" s="52">
        <v>0.38618750386363654</v>
      </c>
      <c r="AW128" s="52">
        <v>0.39080508500000011</v>
      </c>
      <c r="AX128" s="52">
        <v>0.18413101604278134</v>
      </c>
      <c r="AY128" s="52">
        <v>0.44096410647727352</v>
      </c>
      <c r="AZ128" s="52">
        <v>0.44729583670454637</v>
      </c>
      <c r="BA128" s="52">
        <v>0.20399665775401113</v>
      </c>
      <c r="BB128" s="52">
        <v>0.10067696999999998</v>
      </c>
      <c r="BC128" s="52">
        <v>7.019594599999994E-2</v>
      </c>
      <c r="BD128" s="52">
        <v>0.11651352799999995</v>
      </c>
      <c r="BE128" s="52">
        <v>0.17656320399999959</v>
      </c>
      <c r="BF128" s="52">
        <v>0.1032740859999999</v>
      </c>
      <c r="BG128" s="52">
        <v>8.2866418000000067E-2</v>
      </c>
      <c r="BH128" s="52">
        <v>6.2071237999999994E-2</v>
      </c>
      <c r="BI128" s="52">
        <v>9.5452993999999985E-2</v>
      </c>
      <c r="BJ128" s="52">
        <v>0.13397092799999974</v>
      </c>
      <c r="BK128" s="52">
        <v>9.0465461999999996E-2</v>
      </c>
      <c r="BL128" s="52">
        <v>7.1790556363636251E-2</v>
      </c>
      <c r="BM128" s="52">
        <v>4.3789966136363628E-2</v>
      </c>
      <c r="BN128" s="52">
        <v>9.2957749545454674E-2</v>
      </c>
      <c r="BO128" s="52">
        <v>0.148234699090909</v>
      </c>
      <c r="BP128" s="52">
        <v>8.2099453863636429E-2</v>
      </c>
    </row>
    <row r="129" spans="2:68">
      <c r="B129" t="s">
        <v>576</v>
      </c>
      <c r="C129" t="s">
        <v>577</v>
      </c>
      <c r="D129" t="s">
        <v>540</v>
      </c>
      <c r="E129">
        <v>11</v>
      </c>
      <c r="F129" t="s">
        <v>527</v>
      </c>
      <c r="G129" t="s">
        <v>556</v>
      </c>
      <c r="H129" t="s">
        <v>576</v>
      </c>
      <c r="I129" s="52">
        <v>0.57417628200000037</v>
      </c>
      <c r="J129" s="52">
        <v>0.61055013399999913</v>
      </c>
      <c r="K129" s="52">
        <v>0.23570588235294235</v>
      </c>
      <c r="L129" s="52">
        <v>0.67475004399999849</v>
      </c>
      <c r="M129" s="52">
        <v>0.71706395200000039</v>
      </c>
      <c r="N129" s="52">
        <v>0.26882352941176396</v>
      </c>
      <c r="O129" s="52">
        <v>0.59068163800000184</v>
      </c>
      <c r="P129" s="52">
        <v>0.63443767400000073</v>
      </c>
      <c r="Q129" s="52">
        <v>0.278552941176471</v>
      </c>
      <c r="R129" s="52">
        <v>0.51871880199999942</v>
      </c>
      <c r="S129" s="52">
        <v>0.55628205999999958</v>
      </c>
      <c r="T129" s="52">
        <v>0.25245882352941224</v>
      </c>
      <c r="U129" s="52">
        <v>0.49608587400000032</v>
      </c>
      <c r="V129" s="52">
        <v>0.5434325439999993</v>
      </c>
      <c r="W129" s="52">
        <v>0.24667058823529442</v>
      </c>
      <c r="X129" s="52">
        <v>0.64434527600000002</v>
      </c>
      <c r="Y129" s="52">
        <v>0.66472577000000088</v>
      </c>
      <c r="Z129" s="52">
        <v>0.21103529411764702</v>
      </c>
      <c r="AA129" s="52">
        <v>0.78644865199999914</v>
      </c>
      <c r="AB129" s="52">
        <v>0.81126367800000121</v>
      </c>
      <c r="AC129" s="52">
        <v>0.25196470588235298</v>
      </c>
      <c r="AD129" s="52">
        <v>0.72058089400000247</v>
      </c>
      <c r="AE129" s="52">
        <v>0.74506199399999973</v>
      </c>
      <c r="AF129" s="52">
        <v>0.18662352941176505</v>
      </c>
      <c r="AG129" s="52">
        <v>0.5772572139999993</v>
      </c>
      <c r="AH129" s="52">
        <v>0.60041244200000077</v>
      </c>
      <c r="AI129" s="52">
        <v>0.17340000000000144</v>
      </c>
      <c r="AJ129" s="52">
        <v>0.58103317600000082</v>
      </c>
      <c r="AK129" s="52">
        <v>0.60742735399999948</v>
      </c>
      <c r="AL129" s="52">
        <v>7.6423529411764321E-2</v>
      </c>
      <c r="AM129" s="52">
        <v>0.53269363920454493</v>
      </c>
      <c r="AN129" s="52">
        <v>0.53890435602272724</v>
      </c>
      <c r="AO129" s="52">
        <v>0.21572058823529419</v>
      </c>
      <c r="AP129" s="52">
        <v>0.63109671261363642</v>
      </c>
      <c r="AQ129" s="52">
        <v>0.63895235806818251</v>
      </c>
      <c r="AR129" s="52">
        <v>0.24845454545454562</v>
      </c>
      <c r="AS129" s="52">
        <v>0.65289053568181776</v>
      </c>
      <c r="AT129" s="52">
        <v>0.66066456284090902</v>
      </c>
      <c r="AU129" s="52">
        <v>0.28626336898395743</v>
      </c>
      <c r="AV129" s="52">
        <v>0.52559346909090976</v>
      </c>
      <c r="AW129" s="52">
        <v>0.53190799090909091</v>
      </c>
      <c r="AX129" s="52">
        <v>0.25045454545454543</v>
      </c>
      <c r="AY129" s="52">
        <v>0.60170274056818185</v>
      </c>
      <c r="AZ129" s="52">
        <v>0.61039534579545618</v>
      </c>
      <c r="BA129" s="52">
        <v>0.27814772727272696</v>
      </c>
      <c r="BB129" s="52">
        <v>0.13777990599999998</v>
      </c>
      <c r="BC129" s="52">
        <v>9.5839189999999921E-2</v>
      </c>
      <c r="BD129" s="52">
        <v>0.15966913199999999</v>
      </c>
      <c r="BE129" s="52">
        <v>0.24212536399999998</v>
      </c>
      <c r="BF129" s="52">
        <v>0.14132446599999993</v>
      </c>
      <c r="BG129" s="52">
        <v>0.11383131400000002</v>
      </c>
      <c r="BH129" s="52">
        <v>8.479433600000004E-2</v>
      </c>
      <c r="BI129" s="52">
        <v>0.13118224600000009</v>
      </c>
      <c r="BJ129" s="52">
        <v>0.1844085359999999</v>
      </c>
      <c r="BK129" s="52">
        <v>0.12385209399999997</v>
      </c>
      <c r="BL129" s="52">
        <v>9.8056037954545441E-2</v>
      </c>
      <c r="BM129" s="52">
        <v>5.9271962045454527E-2</v>
      </c>
      <c r="BN129" s="52">
        <v>0.12729596125000006</v>
      </c>
      <c r="BO129" s="52">
        <v>0.2032667088636361</v>
      </c>
      <c r="BP129" s="52">
        <v>0.11231995511363638</v>
      </c>
    </row>
    <row r="130" spans="2:68">
      <c r="B130" t="s">
        <v>579</v>
      </c>
      <c r="C130" t="s">
        <v>580</v>
      </c>
      <c r="D130" t="s">
        <v>540</v>
      </c>
      <c r="E130">
        <v>12</v>
      </c>
      <c r="F130" t="s">
        <v>527</v>
      </c>
      <c r="G130" t="s">
        <v>581</v>
      </c>
      <c r="H130" t="s">
        <v>579</v>
      </c>
      <c r="I130" s="52">
        <v>0.6097395379999998</v>
      </c>
      <c r="J130" s="52">
        <v>0.64835737399999926</v>
      </c>
      <c r="K130" s="52">
        <v>0.24884705882352956</v>
      </c>
      <c r="L130" s="52">
        <v>0.71671862200000036</v>
      </c>
      <c r="M130" s="52">
        <v>0.76167903000000114</v>
      </c>
      <c r="N130" s="52">
        <v>0.28576470588235225</v>
      </c>
      <c r="O130" s="52">
        <v>0.62758201800000102</v>
      </c>
      <c r="P130" s="52">
        <v>0.67407284000000067</v>
      </c>
      <c r="Q130" s="52">
        <v>0.29569411764705911</v>
      </c>
      <c r="R130" s="52">
        <v>0.55095193599999948</v>
      </c>
      <c r="S130" s="52">
        <v>0.59087064800000011</v>
      </c>
      <c r="T130" s="52">
        <v>0.26855294117647099</v>
      </c>
      <c r="U130" s="52">
        <v>0.52713899600000147</v>
      </c>
      <c r="V130" s="52">
        <v>0.57742946999999911</v>
      </c>
      <c r="W130" s="52">
        <v>0.2636117647058836</v>
      </c>
      <c r="X130" s="52">
        <v>0.68449286799999931</v>
      </c>
      <c r="Y130" s="52">
        <v>0.70615372000000021</v>
      </c>
      <c r="Z130" s="52">
        <v>0.2239764705882353</v>
      </c>
      <c r="AA130" s="52">
        <v>0.83539812999999963</v>
      </c>
      <c r="AB130" s="52">
        <v>0.86178318399999987</v>
      </c>
      <c r="AC130" s="52">
        <v>0.26710588235294108</v>
      </c>
      <c r="AD130" s="52">
        <v>0.76568203600000195</v>
      </c>
      <c r="AE130" s="52">
        <v>0.79161853999999954</v>
      </c>
      <c r="AF130" s="52">
        <v>0.19756470588235242</v>
      </c>
      <c r="AG130" s="52">
        <v>0.61312978399999885</v>
      </c>
      <c r="AH130" s="52">
        <v>0.63766025799999992</v>
      </c>
      <c r="AI130" s="52">
        <v>0.18444705882352991</v>
      </c>
      <c r="AJ130" s="52">
        <v>0.61739369799999988</v>
      </c>
      <c r="AK130" s="52">
        <v>0.64529428600000027</v>
      </c>
      <c r="AL130" s="52">
        <v>8.1364705882351701E-2</v>
      </c>
      <c r="AM130" s="52">
        <v>0.56500327306818154</v>
      </c>
      <c r="AN130" s="52">
        <v>0.57159736920454551</v>
      </c>
      <c r="AO130" s="52">
        <v>0.22896323529411761</v>
      </c>
      <c r="AP130" s="52">
        <v>0.66927144556818186</v>
      </c>
      <c r="AQ130" s="52">
        <v>0.67761397454545491</v>
      </c>
      <c r="AR130" s="52">
        <v>0.26339438502673806</v>
      </c>
      <c r="AS130" s="52">
        <v>0.69303636340909092</v>
      </c>
      <c r="AT130" s="52">
        <v>0.70129851352272787</v>
      </c>
      <c r="AU130" s="52">
        <v>0.30405080213903685</v>
      </c>
      <c r="AV130" s="52">
        <v>0.55781247875000028</v>
      </c>
      <c r="AW130" s="52">
        <v>0.56452314954545479</v>
      </c>
      <c r="AX130" s="52">
        <v>0.26586229946524081</v>
      </c>
      <c r="AY130" s="52">
        <v>0.63904094113636434</v>
      </c>
      <c r="AZ130" s="52">
        <v>0.64828588909091034</v>
      </c>
      <c r="BA130" s="52">
        <v>0.29536697860962624</v>
      </c>
      <c r="BB130" s="52">
        <v>0.14645420199999989</v>
      </c>
      <c r="BC130" s="52">
        <v>0.10181307399999992</v>
      </c>
      <c r="BD130" s="52">
        <v>0.16977680600000009</v>
      </c>
      <c r="BE130" s="52">
        <v>0.25749549399999977</v>
      </c>
      <c r="BF130" s="52">
        <v>0.15022540999999989</v>
      </c>
      <c r="BG130" s="52">
        <v>0.12109012800000005</v>
      </c>
      <c r="BH130" s="52">
        <v>9.0129890000000046E-2</v>
      </c>
      <c r="BI130" s="52">
        <v>0.13957770600000002</v>
      </c>
      <c r="BJ130" s="52">
        <v>0.19629216599999971</v>
      </c>
      <c r="BK130" s="52">
        <v>0.13169068400000003</v>
      </c>
      <c r="BL130" s="52">
        <v>0.104171325340909</v>
      </c>
      <c r="BM130" s="52">
        <v>6.2843324545454549E-2</v>
      </c>
      <c r="BN130" s="52">
        <v>0.13533879681818192</v>
      </c>
      <c r="BO130" s="52">
        <v>0.21616334613636354</v>
      </c>
      <c r="BP130" s="52">
        <v>0.11938690420454556</v>
      </c>
    </row>
    <row r="131" spans="2:68">
      <c r="B131" t="s">
        <v>583</v>
      </c>
      <c r="C131" t="s">
        <v>584</v>
      </c>
      <c r="D131" t="s">
        <v>540</v>
      </c>
      <c r="E131">
        <v>13</v>
      </c>
      <c r="F131" t="s">
        <v>552</v>
      </c>
      <c r="G131" t="s">
        <v>556</v>
      </c>
      <c r="H131" t="s">
        <v>583</v>
      </c>
      <c r="I131" s="52">
        <v>4.2196946000000027E-2</v>
      </c>
      <c r="J131" s="52">
        <v>4.4875019999999495E-2</v>
      </c>
      <c r="K131" s="52">
        <v>1.7999999999999999E-2</v>
      </c>
      <c r="L131" s="52">
        <v>4.9792111999999181E-2</v>
      </c>
      <c r="M131" s="52">
        <v>5.2910108000000039E-2</v>
      </c>
      <c r="N131" s="52">
        <v>1.9035294117647025E-2</v>
      </c>
      <c r="O131" s="52">
        <v>4.3728599999998549E-2</v>
      </c>
      <c r="P131" s="52">
        <v>4.6967433999998323E-2</v>
      </c>
      <c r="Q131" s="52">
        <v>2.0847058823530461E-2</v>
      </c>
      <c r="R131" s="52">
        <v>3.8217787999999926E-2</v>
      </c>
      <c r="S131" s="52">
        <v>4.0990803999999118E-2</v>
      </c>
      <c r="T131" s="52">
        <v>1.8847058823530459E-2</v>
      </c>
      <c r="U131" s="52">
        <v>3.6801639999997859E-2</v>
      </c>
      <c r="V131" s="52">
        <v>4.0301203999999417E-2</v>
      </c>
      <c r="W131" s="52">
        <v>1.7999999999999999E-2</v>
      </c>
      <c r="X131" s="52">
        <v>4.757730199999969E-2</v>
      </c>
      <c r="Y131" s="52">
        <v>4.9090688000000229E-2</v>
      </c>
      <c r="Z131" s="52">
        <v>1.5047058823529368E-2</v>
      </c>
      <c r="AA131" s="52">
        <v>5.8048705999999582E-2</v>
      </c>
      <c r="AB131" s="52">
        <v>5.9904962000000526E-2</v>
      </c>
      <c r="AC131" s="52">
        <v>1.8941176470587379E-2</v>
      </c>
      <c r="AD131" s="52">
        <v>5.3427576000001864E-2</v>
      </c>
      <c r="AE131" s="52">
        <v>5.515938399999868E-2</v>
      </c>
      <c r="AF131" s="52">
        <v>1.4941176470589198E-2</v>
      </c>
      <c r="AG131" s="52">
        <v>4.2542181999999228E-2</v>
      </c>
      <c r="AH131" s="52">
        <v>4.4179212000000918E-2</v>
      </c>
      <c r="AI131" s="52">
        <v>1.2847058823530461E-2</v>
      </c>
      <c r="AJ131" s="52">
        <v>4.3102534000001469E-2</v>
      </c>
      <c r="AK131" s="52">
        <v>4.4905109999999693E-2</v>
      </c>
      <c r="AL131" s="52">
        <v>5.0470588235293689E-3</v>
      </c>
      <c r="AM131" s="52">
        <v>3.8445278863636384E-2</v>
      </c>
      <c r="AN131" s="52">
        <v>3.8900256136363498E-2</v>
      </c>
      <c r="AO131" s="52">
        <v>1.5789438502673957E-2</v>
      </c>
      <c r="AP131" s="52">
        <v>4.5512063863636945E-2</v>
      </c>
      <c r="AQ131" s="52">
        <v>4.6089989772727595E-2</v>
      </c>
      <c r="AR131" s="52">
        <v>1.8342245989304666E-2</v>
      </c>
      <c r="AS131" s="52">
        <v>4.7667020113637014E-2</v>
      </c>
      <c r="AT131" s="52">
        <v>4.8245598749999771E-2</v>
      </c>
      <c r="AU131" s="52">
        <v>2.1069518716578223E-2</v>
      </c>
      <c r="AV131" s="52">
        <v>3.8273458977272724E-2</v>
      </c>
      <c r="AW131" s="52">
        <v>3.8741480568181608E-2</v>
      </c>
      <c r="AX131" s="52">
        <v>1.8235294117647009E-2</v>
      </c>
      <c r="AY131" s="52">
        <v>4.4298743068181712E-2</v>
      </c>
      <c r="AZ131" s="52">
        <v>4.4952624886364818E-2</v>
      </c>
      <c r="BA131" s="52">
        <v>2.0447860962566747E-2</v>
      </c>
      <c r="BB131" s="52">
        <v>1.0260428000000047E-2</v>
      </c>
      <c r="BC131" s="52">
        <v>7.0840759999999817E-3</v>
      </c>
      <c r="BD131" s="52">
        <v>1.1944164E-2</v>
      </c>
      <c r="BE131" s="52">
        <v>1.8150660000000242E-2</v>
      </c>
      <c r="BF131" s="52">
        <v>1.0529524000000038E-2</v>
      </c>
      <c r="BG131" s="52">
        <v>8.5745119999999127E-3</v>
      </c>
      <c r="BH131" s="52">
        <v>6.2913479999999709E-3</v>
      </c>
      <c r="BI131" s="52">
        <v>9.9151879999999429E-3</v>
      </c>
      <c r="BJ131" s="52">
        <v>1.400373800000034E-2</v>
      </c>
      <c r="BK131" s="52">
        <v>9.2600879999999962E-3</v>
      </c>
      <c r="BL131" s="52">
        <v>7.2460848863637366E-3</v>
      </c>
      <c r="BM131" s="52">
        <v>4.2522213636363463E-3</v>
      </c>
      <c r="BN131" s="52">
        <v>9.5035667045453923E-3</v>
      </c>
      <c r="BO131" s="52">
        <v>1.5241254545454384E-2</v>
      </c>
      <c r="BP131" s="52">
        <v>8.3615611363635177E-3</v>
      </c>
    </row>
    <row r="132" spans="2:68">
      <c r="B132" t="s">
        <v>586</v>
      </c>
      <c r="C132" t="s">
        <v>587</v>
      </c>
      <c r="D132" t="s">
        <v>540</v>
      </c>
      <c r="E132">
        <v>14</v>
      </c>
      <c r="F132" t="s">
        <v>552</v>
      </c>
      <c r="G132" t="s">
        <v>581</v>
      </c>
      <c r="H132" t="s">
        <v>586</v>
      </c>
      <c r="I132" s="52">
        <v>7.7760201999999487E-2</v>
      </c>
      <c r="J132" s="52">
        <v>8.2682259999999591E-2</v>
      </c>
      <c r="K132" s="52">
        <v>3.1141176470587197E-2</v>
      </c>
      <c r="L132" s="52">
        <v>9.1760690000000977E-2</v>
      </c>
      <c r="M132" s="52">
        <v>9.7525186000000763E-2</v>
      </c>
      <c r="N132" s="52">
        <v>3.5976470588235318E-2</v>
      </c>
      <c r="O132" s="52">
        <v>8.0628979999997685E-2</v>
      </c>
      <c r="P132" s="52">
        <v>8.660259999999835E-2</v>
      </c>
      <c r="Q132" s="52">
        <v>3.7988235294118565E-2</v>
      </c>
      <c r="R132" s="52">
        <v>7.0450921999999985E-2</v>
      </c>
      <c r="S132" s="52">
        <v>7.5579391999999648E-2</v>
      </c>
      <c r="T132" s="52">
        <v>3.4941176470589197E-2</v>
      </c>
      <c r="U132" s="52">
        <v>6.7854761999999028E-2</v>
      </c>
      <c r="V132" s="52">
        <v>7.4298129999999213E-2</v>
      </c>
      <c r="W132" s="52">
        <v>3.4941176470589197E-2</v>
      </c>
      <c r="X132" s="52">
        <v>8.772489399999904E-2</v>
      </c>
      <c r="Y132" s="52">
        <v>9.0518637999999554E-2</v>
      </c>
      <c r="Z132" s="52">
        <v>2.7988235294117658E-2</v>
      </c>
      <c r="AA132" s="52">
        <v>0.10699818400000004</v>
      </c>
      <c r="AB132" s="52">
        <v>0.11042446799999925</v>
      </c>
      <c r="AC132" s="52">
        <v>3.4082352941175488E-2</v>
      </c>
      <c r="AD132" s="52">
        <v>9.8528718000001389E-2</v>
      </c>
      <c r="AE132" s="52">
        <v>0.10171592999999848</v>
      </c>
      <c r="AF132" s="52">
        <v>2.5882352941176578E-2</v>
      </c>
      <c r="AG132" s="52">
        <v>7.8414751999998769E-2</v>
      </c>
      <c r="AH132" s="52">
        <v>8.1427028000000068E-2</v>
      </c>
      <c r="AI132" s="52">
        <v>2.389411764705892E-2</v>
      </c>
      <c r="AJ132" s="52">
        <v>7.9463056000000504E-2</v>
      </c>
      <c r="AK132" s="52">
        <v>8.2772042000000517E-2</v>
      </c>
      <c r="AL132" s="52">
        <v>9.9882352941167481E-3</v>
      </c>
      <c r="AM132" s="52">
        <v>7.0754912727272967E-2</v>
      </c>
      <c r="AN132" s="52">
        <v>7.1593269318181718E-2</v>
      </c>
      <c r="AO132" s="52">
        <v>2.9032085561497379E-2</v>
      </c>
      <c r="AP132" s="52">
        <v>8.3686796818182391E-2</v>
      </c>
      <c r="AQ132" s="52">
        <v>8.4751606250000056E-2</v>
      </c>
      <c r="AR132" s="52">
        <v>3.3282085561497129E-2</v>
      </c>
      <c r="AS132" s="52">
        <v>8.7812847840910271E-2</v>
      </c>
      <c r="AT132" s="52">
        <v>8.8879549431818639E-2</v>
      </c>
      <c r="AU132" s="52">
        <v>3.8856951871657656E-2</v>
      </c>
      <c r="AV132" s="52">
        <v>7.0492468636363229E-2</v>
      </c>
      <c r="AW132" s="52">
        <v>7.1356639204545491E-2</v>
      </c>
      <c r="AX132" s="52">
        <v>3.3643048128342345E-2</v>
      </c>
      <c r="AY132" s="52">
        <v>8.1636943636364201E-2</v>
      </c>
      <c r="AZ132" s="52">
        <v>8.2843168181818985E-2</v>
      </c>
      <c r="BA132" s="52">
        <v>3.7667112299466017E-2</v>
      </c>
      <c r="BB132" s="52">
        <v>1.8934723999999962E-2</v>
      </c>
      <c r="BC132" s="52">
        <v>1.305795999999998E-2</v>
      </c>
      <c r="BD132" s="52">
        <v>2.2051838000000087E-2</v>
      </c>
      <c r="BE132" s="52">
        <v>3.3520790000000036E-2</v>
      </c>
      <c r="BF132" s="52">
        <v>1.943046800000002E-2</v>
      </c>
      <c r="BG132" s="52">
        <v>1.5833325999999943E-2</v>
      </c>
      <c r="BH132" s="52">
        <v>1.1626901999999972E-2</v>
      </c>
      <c r="BI132" s="52">
        <v>1.8310647999999902E-2</v>
      </c>
      <c r="BJ132" s="52">
        <v>2.588736800000015E-2</v>
      </c>
      <c r="BK132" s="52">
        <v>1.7098678000000065E-2</v>
      </c>
      <c r="BL132" s="52">
        <v>1.3361372272727294E-2</v>
      </c>
      <c r="BM132" s="52">
        <v>7.8235838636363624E-3</v>
      </c>
      <c r="BN132" s="52">
        <v>1.7546402272727267E-2</v>
      </c>
      <c r="BO132" s="52">
        <v>2.8137891818181826E-2</v>
      </c>
      <c r="BP132" s="52">
        <v>1.5428510227272702E-2</v>
      </c>
    </row>
    <row r="133" spans="2:68">
      <c r="B133" t="s">
        <v>589</v>
      </c>
      <c r="C133" t="s">
        <v>590</v>
      </c>
      <c r="D133" t="s">
        <v>540</v>
      </c>
      <c r="E133">
        <v>15</v>
      </c>
      <c r="F133" t="s">
        <v>538</v>
      </c>
      <c r="G133" t="s">
        <v>552</v>
      </c>
      <c r="H133" t="s">
        <v>589</v>
      </c>
      <c r="I133" s="52">
        <v>0.11090062399999988</v>
      </c>
      <c r="J133" s="52">
        <v>0.11795407799999884</v>
      </c>
      <c r="K133" s="52">
        <v>4.4929411764706856E-2</v>
      </c>
      <c r="L133" s="52">
        <v>0.13071721199999956</v>
      </c>
      <c r="M133" s="52">
        <v>0.13895609200000036</v>
      </c>
      <c r="N133" s="52">
        <v>5.0929411764705036E-2</v>
      </c>
      <c r="O133" s="52">
        <v>0.11470245600000271</v>
      </c>
      <c r="P133" s="52">
        <v>0.1231991820000003</v>
      </c>
      <c r="Q133" s="52">
        <v>5.3976470588233495E-2</v>
      </c>
      <c r="R133" s="52">
        <v>0.10051817200000004</v>
      </c>
      <c r="S133" s="52">
        <v>0.1077867900000001</v>
      </c>
      <c r="T133" s="52">
        <v>4.8929411764705034E-2</v>
      </c>
      <c r="U133" s="52">
        <v>9.6545988000001665E-2</v>
      </c>
      <c r="V133" s="52">
        <v>0.10572794200000135</v>
      </c>
      <c r="W133" s="52">
        <v>4.6082352941175485E-2</v>
      </c>
      <c r="X133" s="52">
        <v>0.12487777000000097</v>
      </c>
      <c r="Y133" s="52">
        <v>0.12883465000000069</v>
      </c>
      <c r="Z133" s="52">
        <v>4.1870588235294236E-2</v>
      </c>
      <c r="AA133" s="52">
        <v>0.15240862600000038</v>
      </c>
      <c r="AB133" s="52">
        <v>0.15725751399999899</v>
      </c>
      <c r="AC133" s="52">
        <v>4.9023529411764681E-2</v>
      </c>
      <c r="AD133" s="52">
        <v>0.14011663599999882</v>
      </c>
      <c r="AE133" s="52">
        <v>0.14470758600000044</v>
      </c>
      <c r="AF133" s="52">
        <v>3.5870588235293328E-2</v>
      </c>
      <c r="AG133" s="52">
        <v>0.11172532800000044</v>
      </c>
      <c r="AH133" s="52">
        <v>0.1160684739999997</v>
      </c>
      <c r="AI133" s="52">
        <v>3.3976470588235316E-2</v>
      </c>
      <c r="AJ133" s="52">
        <v>0.11304024999999819</v>
      </c>
      <c r="AK133" s="52">
        <v>0.11787186600000132</v>
      </c>
      <c r="AL133" s="52">
        <v>2.0823529411765775E-2</v>
      </c>
      <c r="AM133" s="52">
        <v>0.10149580045454513</v>
      </c>
      <c r="AN133" s="52">
        <v>0.10269287056818154</v>
      </c>
      <c r="AO133" s="52">
        <v>4.149064171122973E-2</v>
      </c>
      <c r="AP133" s="52">
        <v>0.12045589136363642</v>
      </c>
      <c r="AQ133" s="52">
        <v>0.12197575204545501</v>
      </c>
      <c r="AR133" s="52">
        <v>4.7660427807486486E-2</v>
      </c>
      <c r="AS133" s="52">
        <v>0.12540688999999972</v>
      </c>
      <c r="AT133" s="52">
        <v>0.12692118181818263</v>
      </c>
      <c r="AU133" s="52">
        <v>5.5280748663101557E-2</v>
      </c>
      <c r="AV133" s="52">
        <v>0.1011325062500005</v>
      </c>
      <c r="AW133" s="52">
        <v>0.10236142534090918</v>
      </c>
      <c r="AX133" s="52">
        <v>4.8088235294117113E-2</v>
      </c>
      <c r="AY133" s="52">
        <v>0.1164398910227266</v>
      </c>
      <c r="AZ133" s="52">
        <v>0.11814688420454497</v>
      </c>
      <c r="BA133" s="52">
        <v>5.3703208556149053E-2</v>
      </c>
      <c r="BB133" s="52">
        <v>2.6842507999999952E-2</v>
      </c>
      <c r="BC133" s="52">
        <v>1.8559168000000001E-2</v>
      </c>
      <c r="BD133" s="52">
        <v>3.1211440000000038E-2</v>
      </c>
      <c r="BE133" s="52">
        <v>4.7411500000000162E-2</v>
      </c>
      <c r="BF133" s="52">
        <v>2.7520855999999979E-2</v>
      </c>
      <c r="BG133" s="52">
        <v>2.2390384000000041E-2</v>
      </c>
      <c r="BH133" s="52">
        <v>1.6431750000000078E-2</v>
      </c>
      <c r="BI133" s="52">
        <v>2.5814064000000143E-2</v>
      </c>
      <c r="BJ133" s="52">
        <v>3.6433869999999841E-2</v>
      </c>
      <c r="BK133" s="52">
        <v>2.4126543999999969E-2</v>
      </c>
      <c r="BL133" s="52">
        <v>1.9019396704545465E-2</v>
      </c>
      <c r="BM133" s="52">
        <v>1.1229774545454554E-2</v>
      </c>
      <c r="BN133" s="52">
        <v>2.4834644999999992E-2</v>
      </c>
      <c r="BO133" s="52">
        <v>3.9790755227272712E-2</v>
      </c>
      <c r="BP133" s="52">
        <v>2.1858940113636437E-2</v>
      </c>
    </row>
    <row r="134" spans="2:68">
      <c r="B134" t="s">
        <v>592</v>
      </c>
      <c r="C134" t="s">
        <v>593</v>
      </c>
      <c r="D134" t="s">
        <v>540</v>
      </c>
      <c r="E134">
        <v>16</v>
      </c>
      <c r="F134" t="s">
        <v>538</v>
      </c>
      <c r="G134" t="s">
        <v>556</v>
      </c>
      <c r="H134" t="s">
        <v>592</v>
      </c>
      <c r="I134" s="52">
        <v>0.15309756999999991</v>
      </c>
      <c r="J134" s="52">
        <v>0.16282909799999834</v>
      </c>
      <c r="K134" s="52">
        <v>6.2929411764706858E-2</v>
      </c>
      <c r="L134" s="52">
        <v>0.18050932399999875</v>
      </c>
      <c r="M134" s="52">
        <v>0.1918662000000004</v>
      </c>
      <c r="N134" s="52">
        <v>6.9964705882352068E-2</v>
      </c>
      <c r="O134" s="52">
        <v>0.15843105600000126</v>
      </c>
      <c r="P134" s="52">
        <v>0.1701666159999986</v>
      </c>
      <c r="Q134" s="52">
        <v>7.4823529411763956E-2</v>
      </c>
      <c r="R134" s="52">
        <v>0.13873595999999996</v>
      </c>
      <c r="S134" s="52">
        <v>0.14877759399999924</v>
      </c>
      <c r="T134" s="52">
        <v>6.7776470588235493E-2</v>
      </c>
      <c r="U134" s="52">
        <v>0.13334762799999952</v>
      </c>
      <c r="V134" s="52">
        <v>0.14602914600000078</v>
      </c>
      <c r="W134" s="52">
        <v>6.408235294117548E-2</v>
      </c>
      <c r="X134" s="52">
        <v>0.17245507200000065</v>
      </c>
      <c r="Y134" s="52">
        <v>0.17792533800000093</v>
      </c>
      <c r="Z134" s="52">
        <v>5.6917647058823607E-2</v>
      </c>
      <c r="AA134" s="52">
        <v>0.21045733199999994</v>
      </c>
      <c r="AB134" s="52">
        <v>0.21716247599999952</v>
      </c>
      <c r="AC134" s="52">
        <v>6.7964705882352067E-2</v>
      </c>
      <c r="AD134" s="52">
        <v>0.19354421200000069</v>
      </c>
      <c r="AE134" s="52">
        <v>0.19986696999999912</v>
      </c>
      <c r="AF134" s="52">
        <v>5.0811764705882521E-2</v>
      </c>
      <c r="AG134" s="52">
        <v>0.15426750999999966</v>
      </c>
      <c r="AH134" s="52">
        <v>0.16024768600000061</v>
      </c>
      <c r="AI134" s="52">
        <v>4.6823529411765777E-2</v>
      </c>
      <c r="AJ134" s="52">
        <v>0.15614278399999967</v>
      </c>
      <c r="AK134" s="52">
        <v>0.16277697600000102</v>
      </c>
      <c r="AL134" s="52">
        <v>2.5870588235295144E-2</v>
      </c>
      <c r="AM134" s="52">
        <v>0.13994107931818153</v>
      </c>
      <c r="AN134" s="52">
        <v>0.14159312670454505</v>
      </c>
      <c r="AO134" s="52">
        <v>5.7280080213903684E-2</v>
      </c>
      <c r="AP134" s="52">
        <v>0.16596795522727337</v>
      </c>
      <c r="AQ134" s="52">
        <v>0.1680657418181826</v>
      </c>
      <c r="AR134" s="52">
        <v>6.6002673796791159E-2</v>
      </c>
      <c r="AS134" s="52">
        <v>0.17307391011363671</v>
      </c>
      <c r="AT134" s="52">
        <v>0.17516678056818241</v>
      </c>
      <c r="AU134" s="52">
        <v>7.6350267379679773E-2</v>
      </c>
      <c r="AV134" s="52">
        <v>0.13940596522727322</v>
      </c>
      <c r="AW134" s="52">
        <v>0.14110290590909078</v>
      </c>
      <c r="AX134" s="52">
        <v>6.6323529411764129E-2</v>
      </c>
      <c r="AY134" s="52">
        <v>0.16073863409090833</v>
      </c>
      <c r="AZ134" s="52">
        <v>0.16309950909090978</v>
      </c>
      <c r="BA134" s="52">
        <v>7.4151069518715793E-2</v>
      </c>
      <c r="BB134" s="52">
        <v>3.7102936000000003E-2</v>
      </c>
      <c r="BC134" s="52">
        <v>2.5643243999999982E-2</v>
      </c>
      <c r="BD134" s="52">
        <v>4.3155604000000042E-2</v>
      </c>
      <c r="BE134" s="52">
        <v>6.5562160000000397E-2</v>
      </c>
      <c r="BF134" s="52">
        <v>3.8050380000000016E-2</v>
      </c>
      <c r="BG134" s="52">
        <v>3.0964895999999954E-2</v>
      </c>
      <c r="BH134" s="52">
        <v>2.2723098000000049E-2</v>
      </c>
      <c r="BI134" s="52">
        <v>3.5729252000000086E-2</v>
      </c>
      <c r="BJ134" s="52">
        <v>5.0437608000000182E-2</v>
      </c>
      <c r="BK134" s="52">
        <v>3.3386631999999965E-2</v>
      </c>
      <c r="BL134" s="52">
        <v>2.62654815909092E-2</v>
      </c>
      <c r="BM134" s="52">
        <v>1.54819959090909E-2</v>
      </c>
      <c r="BN134" s="52">
        <v>3.4338211704545381E-2</v>
      </c>
      <c r="BO134" s="52">
        <v>5.5032009772727097E-2</v>
      </c>
      <c r="BP134" s="52">
        <v>3.0220501249999952E-2</v>
      </c>
    </row>
    <row r="135" spans="2:68">
      <c r="B135" t="s">
        <v>595</v>
      </c>
      <c r="C135" t="s">
        <v>596</v>
      </c>
      <c r="D135" t="s">
        <v>540</v>
      </c>
      <c r="E135">
        <v>17</v>
      </c>
      <c r="F135" t="s">
        <v>538</v>
      </c>
      <c r="G135" t="s">
        <v>581</v>
      </c>
      <c r="H135" t="s">
        <v>595</v>
      </c>
      <c r="I135" s="52">
        <v>0.18866082599999937</v>
      </c>
      <c r="J135" s="52">
        <v>0.20063633799999844</v>
      </c>
      <c r="K135" s="52">
        <v>7.6070588235294057E-2</v>
      </c>
      <c r="L135" s="52">
        <v>0.22247790200000053</v>
      </c>
      <c r="M135" s="52">
        <v>0.2364812780000011</v>
      </c>
      <c r="N135" s="52">
        <v>8.6905882352940347E-2</v>
      </c>
      <c r="O135" s="52">
        <v>0.19533143600000039</v>
      </c>
      <c r="P135" s="52">
        <v>0.20980178199999863</v>
      </c>
      <c r="Q135" s="52">
        <v>9.196470588235206E-2</v>
      </c>
      <c r="R135" s="52">
        <v>0.17096909400000004</v>
      </c>
      <c r="S135" s="52">
        <v>0.18336618199999977</v>
      </c>
      <c r="T135" s="52">
        <v>8.3870588235294238E-2</v>
      </c>
      <c r="U135" s="52">
        <v>0.16440075000000071</v>
      </c>
      <c r="V135" s="52">
        <v>0.18002607200000056</v>
      </c>
      <c r="W135" s="52">
        <v>8.1023529411764689E-2</v>
      </c>
      <c r="X135" s="52">
        <v>0.212602664</v>
      </c>
      <c r="Y135" s="52">
        <v>0.21935328800000026</v>
      </c>
      <c r="Z135" s="52">
        <v>6.985882352941189E-2</v>
      </c>
      <c r="AA135" s="52">
        <v>0.25940681000000043</v>
      </c>
      <c r="AB135" s="52">
        <v>0.26768198199999826</v>
      </c>
      <c r="AC135" s="52">
        <v>8.3105882352940169E-2</v>
      </c>
      <c r="AD135" s="52">
        <v>0.23864535400000023</v>
      </c>
      <c r="AE135" s="52">
        <v>0.24642351599999893</v>
      </c>
      <c r="AF135" s="52">
        <v>6.1752941176469907E-2</v>
      </c>
      <c r="AG135" s="52">
        <v>0.19014007999999921</v>
      </c>
      <c r="AH135" s="52">
        <v>0.19749550199999977</v>
      </c>
      <c r="AI135" s="52">
        <v>5.7870588235294236E-2</v>
      </c>
      <c r="AJ135" s="52">
        <v>0.19250330599999871</v>
      </c>
      <c r="AK135" s="52">
        <v>0.20064390800000184</v>
      </c>
      <c r="AL135" s="52">
        <v>3.0811764705882524E-2</v>
      </c>
      <c r="AM135" s="52">
        <v>0.17225071318181812</v>
      </c>
      <c r="AN135" s="52">
        <v>0.17428613988636327</v>
      </c>
      <c r="AO135" s="52">
        <v>7.0522727272727112E-2</v>
      </c>
      <c r="AP135" s="52">
        <v>0.2041426881818188</v>
      </c>
      <c r="AQ135" s="52">
        <v>0.20672735829545508</v>
      </c>
      <c r="AR135" s="52">
        <v>8.0942513368983615E-2</v>
      </c>
      <c r="AS135" s="52">
        <v>0.21321973784090997</v>
      </c>
      <c r="AT135" s="52">
        <v>0.21580073125000127</v>
      </c>
      <c r="AU135" s="52">
        <v>9.4137700534759214E-2</v>
      </c>
      <c r="AV135" s="52">
        <v>0.17162497488636375</v>
      </c>
      <c r="AW135" s="52">
        <v>0.17371806454545466</v>
      </c>
      <c r="AX135" s="52">
        <v>8.1731283422459458E-2</v>
      </c>
      <c r="AY135" s="52">
        <v>0.19807683465909082</v>
      </c>
      <c r="AZ135" s="52">
        <v>0.20099005238636394</v>
      </c>
      <c r="BA135" s="52">
        <v>9.137032085561507E-2</v>
      </c>
      <c r="BB135" s="52">
        <v>4.5777231999999911E-2</v>
      </c>
      <c r="BC135" s="52">
        <v>3.161712799999998E-2</v>
      </c>
      <c r="BD135" s="52">
        <v>5.3263278000000129E-2</v>
      </c>
      <c r="BE135" s="52">
        <v>8.0932290000000198E-2</v>
      </c>
      <c r="BF135" s="52">
        <v>4.6951324000000003E-2</v>
      </c>
      <c r="BG135" s="52">
        <v>3.822370999999998E-2</v>
      </c>
      <c r="BH135" s="52">
        <v>2.8058652000000052E-2</v>
      </c>
      <c r="BI135" s="52">
        <v>4.4124712000000045E-2</v>
      </c>
      <c r="BJ135" s="52">
        <v>6.2321237999999994E-2</v>
      </c>
      <c r="BK135" s="52">
        <v>4.1225222000000034E-2</v>
      </c>
      <c r="BL135" s="52">
        <v>3.238076897727276E-2</v>
      </c>
      <c r="BM135" s="52">
        <v>1.9053358409090917E-2</v>
      </c>
      <c r="BN135" s="52">
        <v>4.2381047272727262E-2</v>
      </c>
      <c r="BO135" s="52">
        <v>6.7928647045454538E-2</v>
      </c>
      <c r="BP135" s="52">
        <v>3.7287450340909141E-2</v>
      </c>
    </row>
    <row r="136" spans="2:68">
      <c r="B136" t="s">
        <v>598</v>
      </c>
      <c r="C136" t="s">
        <v>599</v>
      </c>
      <c r="D136" t="s">
        <v>540</v>
      </c>
      <c r="E136">
        <v>18</v>
      </c>
      <c r="F136" t="s">
        <v>556</v>
      </c>
      <c r="G136" t="s">
        <v>581</v>
      </c>
      <c r="H136" t="s">
        <v>598</v>
      </c>
      <c r="I136" s="52">
        <v>3.5563255999999453E-2</v>
      </c>
      <c r="J136" s="52">
        <v>3.7807240000000089E-2</v>
      </c>
      <c r="K136" s="52">
        <v>1.3141176470587197E-2</v>
      </c>
      <c r="L136" s="52">
        <v>4.1968578000001797E-2</v>
      </c>
      <c r="M136" s="52">
        <v>4.4615078000000724E-2</v>
      </c>
      <c r="N136" s="52">
        <v>1.6941176470588289E-2</v>
      </c>
      <c r="O136" s="52">
        <v>3.6900379999999129E-2</v>
      </c>
      <c r="P136" s="52">
        <v>3.9635166000000027E-2</v>
      </c>
      <c r="Q136" s="52">
        <v>1.7141176470588108E-2</v>
      </c>
      <c r="R136" s="52">
        <v>3.2233134000000066E-2</v>
      </c>
      <c r="S136" s="52">
        <v>3.4588588000000524E-2</v>
      </c>
      <c r="T136" s="52">
        <v>1.6094117647058738E-2</v>
      </c>
      <c r="U136" s="52">
        <v>3.1053122000001168E-2</v>
      </c>
      <c r="V136" s="52">
        <v>3.3996925999999802E-2</v>
      </c>
      <c r="W136" s="52">
        <v>1.6941176470589198E-2</v>
      </c>
      <c r="X136" s="52">
        <v>4.0147591999999351E-2</v>
      </c>
      <c r="Y136" s="52">
        <v>4.1427949999999325E-2</v>
      </c>
      <c r="Z136" s="52">
        <v>1.2941176470588289E-2</v>
      </c>
      <c r="AA136" s="52">
        <v>4.8949478000000456E-2</v>
      </c>
      <c r="AB136" s="52">
        <v>5.0519505999998729E-2</v>
      </c>
      <c r="AC136" s="52">
        <v>1.5141176470588108E-2</v>
      </c>
      <c r="AD136" s="52">
        <v>4.5101141999999525E-2</v>
      </c>
      <c r="AE136" s="52">
        <v>4.6556545999999796E-2</v>
      </c>
      <c r="AF136" s="52">
        <v>1.0941176470587378E-2</v>
      </c>
      <c r="AG136" s="52">
        <v>3.5872569999999541E-2</v>
      </c>
      <c r="AH136" s="52">
        <v>3.724781599999915E-2</v>
      </c>
      <c r="AI136" s="52">
        <v>1.1047058823528459E-2</v>
      </c>
      <c r="AJ136" s="52">
        <v>3.6360521999999035E-2</v>
      </c>
      <c r="AK136" s="52">
        <v>3.7866932000000818E-2</v>
      </c>
      <c r="AL136" s="52">
        <v>4.9411764705873792E-3</v>
      </c>
      <c r="AM136" s="52">
        <v>3.230963386363659E-2</v>
      </c>
      <c r="AN136" s="52">
        <v>3.2693013181818227E-2</v>
      </c>
      <c r="AO136" s="52">
        <v>1.3242647058823422E-2</v>
      </c>
      <c r="AP136" s="52">
        <v>3.8174732954545439E-2</v>
      </c>
      <c r="AQ136" s="52">
        <v>3.8661616477272467E-2</v>
      </c>
      <c r="AR136" s="52">
        <v>1.4939839572192465E-2</v>
      </c>
      <c r="AS136" s="52">
        <v>4.0145827727273257E-2</v>
      </c>
      <c r="AT136" s="52">
        <v>4.063395068181886E-2</v>
      </c>
      <c r="AU136" s="52">
        <v>1.7787433155079437E-2</v>
      </c>
      <c r="AV136" s="52">
        <v>3.2219009659090511E-2</v>
      </c>
      <c r="AW136" s="52">
        <v>3.2615158636363877E-2</v>
      </c>
      <c r="AX136" s="52">
        <v>1.5407754010695333E-2</v>
      </c>
      <c r="AY136" s="52">
        <v>3.7338200568182482E-2</v>
      </c>
      <c r="AZ136" s="52">
        <v>3.7890543295454174E-2</v>
      </c>
      <c r="BA136" s="52">
        <v>1.721925133689927E-2</v>
      </c>
      <c r="BB136" s="52">
        <v>8.674295999999913E-3</v>
      </c>
      <c r="BC136" s="52">
        <v>5.9738839999999979E-3</v>
      </c>
      <c r="BD136" s="52">
        <v>1.0107674000000089E-2</v>
      </c>
      <c r="BE136" s="52">
        <v>1.5370129999999789E-2</v>
      </c>
      <c r="BF136" s="52">
        <v>8.9009439999999818E-3</v>
      </c>
      <c r="BG136" s="52">
        <v>7.2588140000000292E-3</v>
      </c>
      <c r="BH136" s="52">
        <v>5.3355540000000019E-3</v>
      </c>
      <c r="BI136" s="52">
        <v>8.3954599999999571E-3</v>
      </c>
      <c r="BJ136" s="52">
        <v>1.1883629999999812E-2</v>
      </c>
      <c r="BK136" s="52">
        <v>7.8385900000000671E-3</v>
      </c>
      <c r="BL136" s="52">
        <v>6.115287386363558E-3</v>
      </c>
      <c r="BM136" s="52">
        <v>3.5713625000000156E-3</v>
      </c>
      <c r="BN136" s="52">
        <v>8.0428355681818747E-3</v>
      </c>
      <c r="BO136" s="52">
        <v>1.289663727272744E-2</v>
      </c>
      <c r="BP136" s="52">
        <v>7.066949090909185E-3</v>
      </c>
    </row>
    <row r="137" spans="2:68">
      <c r="B137" t="s">
        <v>601</v>
      </c>
      <c r="C137" t="s">
        <v>602</v>
      </c>
      <c r="D137" t="s">
        <v>176</v>
      </c>
      <c r="E137">
        <v>10</v>
      </c>
      <c r="F137" t="s">
        <v>603</v>
      </c>
      <c r="G137" t="s">
        <v>604</v>
      </c>
      <c r="H137" t="s">
        <v>601</v>
      </c>
      <c r="I137" s="52">
        <v>-6.0644549846153843</v>
      </c>
      <c r="J137" s="52">
        <v>-6.4576160153846169</v>
      </c>
      <c r="K137" s="52">
        <v>-2.8146304675716447</v>
      </c>
      <c r="L137" s="52">
        <v>-6.682582805128205</v>
      </c>
      <c r="M137" s="52">
        <v>-7.1189064666666688</v>
      </c>
      <c r="N137" s="52">
        <v>-3.0322171945701344</v>
      </c>
      <c r="O137" s="52">
        <v>-10.404783292307696</v>
      </c>
      <c r="P137" s="52">
        <v>-10.991041871794868</v>
      </c>
      <c r="Q137" s="52">
        <v>-5.995625942684768</v>
      </c>
      <c r="R137" s="52">
        <v>-7.820034415384618</v>
      </c>
      <c r="S137" s="52">
        <v>-8.2953219589743608</v>
      </c>
      <c r="T137" s="52">
        <v>-4.6072699849170444</v>
      </c>
      <c r="U137" s="52">
        <v>-12.886241948717949</v>
      </c>
      <c r="V137" s="52">
        <v>-13.561273092307696</v>
      </c>
      <c r="W137" s="52">
        <v>-8.4622021116138804</v>
      </c>
      <c r="X137" s="52">
        <v>-5.9311655487179493</v>
      </c>
      <c r="Y137" s="52">
        <v>-6.2423779282051282</v>
      </c>
      <c r="Z137" s="52">
        <v>-3.0251583710407233</v>
      </c>
      <c r="AA137" s="52">
        <v>-6.5186960923076933</v>
      </c>
      <c r="AB137" s="52">
        <v>-6.8639451743589728</v>
      </c>
      <c r="AC137" s="52">
        <v>-3.2486274509803921</v>
      </c>
      <c r="AD137" s="52">
        <v>-10.161674317948712</v>
      </c>
      <c r="AE137" s="52">
        <v>-10.703682830769234</v>
      </c>
      <c r="AF137" s="52">
        <v>-6.8837405731523411</v>
      </c>
      <c r="AG137" s="52">
        <v>-7.6236961999999968</v>
      </c>
      <c r="AH137" s="52">
        <v>-8.0314194820512803</v>
      </c>
      <c r="AI137" s="52">
        <v>-5.10968325791855</v>
      </c>
      <c r="AJ137" s="52">
        <v>-12.613408194871795</v>
      </c>
      <c r="AK137" s="52">
        <v>-13.280262723076932</v>
      </c>
      <c r="AL137" s="52">
        <v>-9.7739366515837105</v>
      </c>
      <c r="AM137" s="52">
        <v>-5.5967892338383836</v>
      </c>
      <c r="AN137" s="52">
        <v>-5.6546553691919188</v>
      </c>
      <c r="AO137" s="52">
        <v>-2.4565448603683904</v>
      </c>
      <c r="AP137" s="52">
        <v>-6.1738679275252517</v>
      </c>
      <c r="AQ137" s="52">
        <v>-6.2412786545454555</v>
      </c>
      <c r="AR137" s="52">
        <v>-2.7015002970885322</v>
      </c>
      <c r="AS137" s="52">
        <v>-10.400213034343434</v>
      </c>
      <c r="AT137" s="52">
        <v>-10.45110375378788</v>
      </c>
      <c r="AU137" s="52">
        <v>-5.1778817587641113</v>
      </c>
      <c r="AV137" s="52">
        <v>-7.5976156012626266</v>
      </c>
      <c r="AW137" s="52">
        <v>-7.6502386093434351</v>
      </c>
      <c r="AX137" s="52">
        <v>-3.8491681521093275</v>
      </c>
      <c r="AY137" s="52">
        <v>-12.971709963131312</v>
      </c>
      <c r="AZ137" s="52">
        <v>-13.017960971464646</v>
      </c>
      <c r="BA137" s="52">
        <v>-7.1263799762329159</v>
      </c>
      <c r="BB137" s="52">
        <v>-1.1942279435897438</v>
      </c>
      <c r="BC137" s="52">
        <v>-0.81286171794871787</v>
      </c>
      <c r="BD137" s="52">
        <v>-1.3160749794871793</v>
      </c>
      <c r="BE137" s="52">
        <v>-1.9264864769230767</v>
      </c>
      <c r="BF137" s="52">
        <v>-1.0697260871794871</v>
      </c>
      <c r="BG137" s="52">
        <v>-1.2768530615384617</v>
      </c>
      <c r="BH137" s="52">
        <v>-0.85747061538461555</v>
      </c>
      <c r="BI137" s="52">
        <v>-1.391518912820513</v>
      </c>
      <c r="BJ137" s="52">
        <v>-2.0604787025641027</v>
      </c>
      <c r="BK137" s="52">
        <v>-1.1469464666666664</v>
      </c>
      <c r="BL137" s="52">
        <v>-0.99693499318181777</v>
      </c>
      <c r="BM137" s="52">
        <v>-0.7029618588383838</v>
      </c>
      <c r="BN137" s="52">
        <v>-1.1888447792929293</v>
      </c>
      <c r="BO137" s="52">
        <v>-1.756688189393939</v>
      </c>
      <c r="BP137" s="52">
        <v>-0.9526527691919191</v>
      </c>
    </row>
    <row r="138" spans="2:68">
      <c r="B138" t="s">
        <v>606</v>
      </c>
      <c r="C138" t="s">
        <v>607</v>
      </c>
      <c r="D138" t="s">
        <v>176</v>
      </c>
      <c r="E138">
        <v>11</v>
      </c>
      <c r="F138" t="s">
        <v>603</v>
      </c>
      <c r="G138" t="s">
        <v>608</v>
      </c>
      <c r="H138" t="s">
        <v>606</v>
      </c>
      <c r="I138" s="52">
        <v>-4.9451046461538475</v>
      </c>
      <c r="J138" s="52">
        <v>-5.2661593846153876</v>
      </c>
      <c r="K138" s="52">
        <v>-2.3049472096530899</v>
      </c>
      <c r="L138" s="52">
        <v>-5.45415427692308</v>
      </c>
      <c r="M138" s="52">
        <v>-5.8105088153846154</v>
      </c>
      <c r="N138" s="52">
        <v>-2.4888386123680251</v>
      </c>
      <c r="O138" s="52">
        <v>-8.5664007384615388</v>
      </c>
      <c r="P138" s="52">
        <v>-9.0474315538461525</v>
      </c>
      <c r="Q138" s="52">
        <v>-4.961176470588236</v>
      </c>
      <c r="R138" s="52">
        <v>-6.359201610256414</v>
      </c>
      <c r="S138" s="52">
        <v>-6.7449046307692324</v>
      </c>
      <c r="T138" s="52">
        <v>-3.7879638009049765</v>
      </c>
      <c r="U138" s="52">
        <v>-10.675872943589741</v>
      </c>
      <c r="V138" s="52">
        <v>-11.232490774358974</v>
      </c>
      <c r="W138" s="52">
        <v>-7.0520361990950242</v>
      </c>
      <c r="X138" s="52">
        <v>-4.8184420358974354</v>
      </c>
      <c r="Y138" s="52">
        <v>-5.0721342564102558</v>
      </c>
      <c r="Z138" s="52">
        <v>-2.4763499245852181</v>
      </c>
      <c r="AA138" s="52">
        <v>-5.2977723076923073</v>
      </c>
      <c r="AB138" s="52">
        <v>-5.5793958410256401</v>
      </c>
      <c r="AC138" s="52">
        <v>-2.6561387631975868</v>
      </c>
      <c r="AD138" s="52">
        <v>-8.3291881743589702</v>
      </c>
      <c r="AE138" s="52">
        <v>-8.7747395282051333</v>
      </c>
      <c r="AF138" s="52">
        <v>-5.6757164404223239</v>
      </c>
      <c r="AG138" s="52">
        <v>-6.1806853794871781</v>
      </c>
      <c r="AH138" s="52">
        <v>-6.5124678974358972</v>
      </c>
      <c r="AI138" s="52">
        <v>-4.1999396681749621</v>
      </c>
      <c r="AJ138" s="52">
        <v>-10.416533605128205</v>
      </c>
      <c r="AK138" s="52">
        <v>-10.968191784615387</v>
      </c>
      <c r="AL138" s="52">
        <v>-8.1218702865761703</v>
      </c>
      <c r="AM138" s="52">
        <v>-4.604480577272728</v>
      </c>
      <c r="AN138" s="52">
        <v>-4.6549774303030302</v>
      </c>
      <c r="AO138" s="52">
        <v>-2.0295276292335118</v>
      </c>
      <c r="AP138" s="52">
        <v>-5.0783469444444433</v>
      </c>
      <c r="AQ138" s="52">
        <v>-5.136538059090908</v>
      </c>
      <c r="AR138" s="52">
        <v>-2.2383541295306006</v>
      </c>
      <c r="AS138" s="52">
        <v>-8.6303938383838368</v>
      </c>
      <c r="AT138" s="52">
        <v>-8.6763385888888891</v>
      </c>
      <c r="AU138" s="52">
        <v>-4.3048276886512165</v>
      </c>
      <c r="AV138" s="52">
        <v>-6.2581876959595952</v>
      </c>
      <c r="AW138" s="52">
        <v>-6.3054107717171712</v>
      </c>
      <c r="AX138" s="52">
        <v>-3.1710338680926928</v>
      </c>
      <c r="AY138" s="52">
        <v>-10.821676077777779</v>
      </c>
      <c r="AZ138" s="52">
        <v>-10.863140235101008</v>
      </c>
      <c r="BA138" s="52">
        <v>-5.9383392751039805</v>
      </c>
      <c r="BB138" s="52">
        <v>-1.1604130307692306</v>
      </c>
      <c r="BC138" s="52">
        <v>-0.80205681538461548</v>
      </c>
      <c r="BD138" s="52">
        <v>-1.2640855846153847</v>
      </c>
      <c r="BE138" s="52">
        <v>-1.8317100358974352</v>
      </c>
      <c r="BF138" s="52">
        <v>-1.03455841025641</v>
      </c>
      <c r="BG138" s="52">
        <v>-1.2377974717948717</v>
      </c>
      <c r="BH138" s="52">
        <v>-0.84236823589743592</v>
      </c>
      <c r="BI138" s="52">
        <v>-1.3339811641025641</v>
      </c>
      <c r="BJ138" s="52">
        <v>-1.9597249230769229</v>
      </c>
      <c r="BK138" s="52">
        <v>-1.1035403333333333</v>
      </c>
      <c r="BL138" s="52">
        <v>-1.0004542441919191</v>
      </c>
      <c r="BM138" s="52">
        <v>-0.72633826313131322</v>
      </c>
      <c r="BN138" s="52">
        <v>-1.1672870232323231</v>
      </c>
      <c r="BO138" s="52">
        <v>-1.7012003755050509</v>
      </c>
      <c r="BP138" s="52">
        <v>-0.94483891969696976</v>
      </c>
    </row>
    <row r="139" spans="2:68">
      <c r="B139" t="s">
        <v>610</v>
      </c>
      <c r="C139" t="s">
        <v>611</v>
      </c>
      <c r="D139" t="s">
        <v>176</v>
      </c>
      <c r="E139">
        <v>12</v>
      </c>
      <c r="F139" t="s">
        <v>603</v>
      </c>
      <c r="G139" t="s">
        <v>612</v>
      </c>
      <c r="H139" t="s">
        <v>610</v>
      </c>
      <c r="I139" s="52">
        <v>0</v>
      </c>
      <c r="J139" s="52">
        <v>0</v>
      </c>
      <c r="K139" s="52">
        <v>0</v>
      </c>
      <c r="L139" s="52">
        <v>0</v>
      </c>
      <c r="M139" s="52">
        <v>0</v>
      </c>
      <c r="N139" s="52">
        <v>0</v>
      </c>
      <c r="O139" s="52">
        <v>0</v>
      </c>
      <c r="P139" s="52">
        <v>0</v>
      </c>
      <c r="Q139" s="52">
        <v>0</v>
      </c>
      <c r="R139" s="52">
        <v>0</v>
      </c>
      <c r="S139" s="52">
        <v>0</v>
      </c>
      <c r="T139" s="52">
        <v>0</v>
      </c>
      <c r="U139" s="52">
        <v>0</v>
      </c>
      <c r="V139" s="52">
        <v>0</v>
      </c>
      <c r="W139" s="52">
        <v>0</v>
      </c>
      <c r="X139" s="52">
        <v>0</v>
      </c>
      <c r="Y139" s="52">
        <v>0</v>
      </c>
      <c r="Z139" s="52">
        <v>0</v>
      </c>
      <c r="AA139" s="52">
        <v>0</v>
      </c>
      <c r="AB139" s="52">
        <v>0</v>
      </c>
      <c r="AC139" s="52">
        <v>0</v>
      </c>
      <c r="AD139" s="52">
        <v>0</v>
      </c>
      <c r="AE139" s="52">
        <v>0</v>
      </c>
      <c r="AF139" s="52">
        <v>0</v>
      </c>
      <c r="AG139" s="52">
        <v>0</v>
      </c>
      <c r="AH139" s="52">
        <v>0</v>
      </c>
      <c r="AI139" s="52">
        <v>0</v>
      </c>
      <c r="AJ139" s="52">
        <v>0</v>
      </c>
      <c r="AK139" s="52">
        <v>0</v>
      </c>
      <c r="AL139" s="52">
        <v>0</v>
      </c>
      <c r="AM139" s="52">
        <v>0</v>
      </c>
      <c r="AN139" s="52">
        <v>0</v>
      </c>
      <c r="AO139" s="52">
        <v>0</v>
      </c>
      <c r="AP139" s="52">
        <v>0</v>
      </c>
      <c r="AQ139" s="52">
        <v>0</v>
      </c>
      <c r="AR139" s="52">
        <v>0</v>
      </c>
      <c r="AS139" s="52">
        <v>0</v>
      </c>
      <c r="AT139" s="52">
        <v>0</v>
      </c>
      <c r="AU139" s="52">
        <v>0</v>
      </c>
      <c r="AV139" s="52">
        <v>0</v>
      </c>
      <c r="AW139" s="52">
        <v>0</v>
      </c>
      <c r="AX139" s="52">
        <v>0</v>
      </c>
      <c r="AY139" s="52">
        <v>0</v>
      </c>
      <c r="AZ139" s="52">
        <v>0</v>
      </c>
      <c r="BA139" s="52">
        <v>0</v>
      </c>
      <c r="BB139" s="52">
        <v>0</v>
      </c>
      <c r="BC139" s="52">
        <v>0</v>
      </c>
      <c r="BD139" s="52">
        <v>0</v>
      </c>
      <c r="BE139" s="52">
        <v>0</v>
      </c>
      <c r="BF139" s="52">
        <v>0</v>
      </c>
      <c r="BG139" s="52">
        <v>0</v>
      </c>
      <c r="BH139" s="52">
        <v>0</v>
      </c>
      <c r="BI139" s="52">
        <v>0</v>
      </c>
      <c r="BJ139" s="52">
        <v>0</v>
      </c>
      <c r="BK139" s="52">
        <v>0</v>
      </c>
      <c r="BL139" s="52">
        <v>0</v>
      </c>
      <c r="BM139" s="52">
        <v>0</v>
      </c>
      <c r="BN139" s="52">
        <v>0</v>
      </c>
      <c r="BO139" s="52">
        <v>0</v>
      </c>
      <c r="BP139" s="52">
        <v>0</v>
      </c>
    </row>
    <row r="140" spans="2:68">
      <c r="B140" t="s">
        <v>614</v>
      </c>
      <c r="C140" t="s">
        <v>615</v>
      </c>
      <c r="D140" t="s">
        <v>176</v>
      </c>
      <c r="E140">
        <v>13</v>
      </c>
      <c r="F140" t="s">
        <v>603</v>
      </c>
      <c r="G140" t="s">
        <v>616</v>
      </c>
      <c r="H140" t="s">
        <v>614</v>
      </c>
      <c r="I140" s="52">
        <v>-2.8652840461538478</v>
      </c>
      <c r="J140" s="52">
        <v>-3.0522018102564124</v>
      </c>
      <c r="K140" s="52">
        <v>-1.3573453996983411</v>
      </c>
      <c r="L140" s="52">
        <v>-3.1600932051282049</v>
      </c>
      <c r="M140" s="52">
        <v>-3.3679356717948696</v>
      </c>
      <c r="N140" s="52">
        <v>-1.461387631975865</v>
      </c>
      <c r="O140" s="52">
        <v>-5.0950914769230788</v>
      </c>
      <c r="P140" s="52">
        <v>-5.3785932666666643</v>
      </c>
      <c r="Q140" s="52">
        <v>-3.0238009049773749</v>
      </c>
      <c r="R140" s="52">
        <v>-3.6371992410256402</v>
      </c>
      <c r="S140" s="52">
        <v>-3.8561336205128192</v>
      </c>
      <c r="T140" s="52">
        <v>-2.2532730015082962</v>
      </c>
      <c r="U140" s="52">
        <v>-6.4803513846153811</v>
      </c>
      <c r="V140" s="52">
        <v>-6.8137419282051273</v>
      </c>
      <c r="W140" s="52">
        <v>-4.3869079939668154</v>
      </c>
      <c r="X140" s="52">
        <v>-2.7490762564102575</v>
      </c>
      <c r="Y140" s="52">
        <v>-2.8955624358974372</v>
      </c>
      <c r="Z140" s="52">
        <v>-1.4485671191553557</v>
      </c>
      <c r="AA140" s="52">
        <v>-3.0244450615384593</v>
      </c>
      <c r="AB140" s="52">
        <v>-3.1873655025641034</v>
      </c>
      <c r="AC140" s="52">
        <v>-1.5453393665158379</v>
      </c>
      <c r="AD140" s="52">
        <v>-4.8813038512820546</v>
      </c>
      <c r="AE140" s="52">
        <v>-5.1450569692307679</v>
      </c>
      <c r="AF140" s="52">
        <v>-3.4315535444947249</v>
      </c>
      <c r="AG140" s="52">
        <v>-3.4913317794871781</v>
      </c>
      <c r="AH140" s="52">
        <v>-3.6812789692307679</v>
      </c>
      <c r="AI140" s="52">
        <v>-2.4956862745098056</v>
      </c>
      <c r="AJ140" s="52">
        <v>-6.2575178205128257</v>
      </c>
      <c r="AK140" s="52">
        <v>-6.5908482358974423</v>
      </c>
      <c r="AL140" s="52">
        <v>-5.0209049773755678</v>
      </c>
      <c r="AM140" s="52">
        <v>-2.7760102974747478</v>
      </c>
      <c r="AN140" s="52">
        <v>-2.8105533340909097</v>
      </c>
      <c r="AO140" s="52">
        <v>-1.2349821746880567</v>
      </c>
      <c r="AP140" s="52">
        <v>-3.0848278780303029</v>
      </c>
      <c r="AQ140" s="52">
        <v>-3.1241135037878784</v>
      </c>
      <c r="AR140" s="52">
        <v>-1.3667409387997624</v>
      </c>
      <c r="AS140" s="52">
        <v>-5.317820317676766</v>
      </c>
      <c r="AT140" s="52">
        <v>-5.3528100474747466</v>
      </c>
      <c r="AU140" s="52">
        <v>-2.6636660724896006</v>
      </c>
      <c r="AV140" s="52">
        <v>-3.7742180737373734</v>
      </c>
      <c r="AW140" s="52">
        <v>-3.8092302638888884</v>
      </c>
      <c r="AX140" s="52">
        <v>-1.9086601307189552</v>
      </c>
      <c r="AY140" s="52">
        <v>-6.7446688441919207</v>
      </c>
      <c r="AZ140" s="52">
        <v>-6.7751345722222203</v>
      </c>
      <c r="BA140" s="52">
        <v>-3.7062982768865118</v>
      </c>
      <c r="BB140" s="52">
        <v>-1.0440441794871795</v>
      </c>
      <c r="BC140" s="52">
        <v>-0.74090989743589741</v>
      </c>
      <c r="BD140" s="52">
        <v>-1.1069597589743589</v>
      </c>
      <c r="BE140" s="52">
        <v>-1.5705514512820511</v>
      </c>
      <c r="BF140" s="52">
        <v>-0.91979496410256389</v>
      </c>
      <c r="BG140" s="52">
        <v>-1.1061859641025642</v>
      </c>
      <c r="BH140" s="52">
        <v>-0.76957870256410255</v>
      </c>
      <c r="BI140" s="52">
        <v>-1.1623582923076925</v>
      </c>
      <c r="BJ140" s="52">
        <v>-1.6813420923076918</v>
      </c>
      <c r="BK140" s="52">
        <v>-0.97281448717948704</v>
      </c>
      <c r="BL140" s="52">
        <v>-0.96125977727272705</v>
      </c>
      <c r="BM140" s="52">
        <v>-0.73434016237373745</v>
      </c>
      <c r="BN140" s="52">
        <v>-1.0713512219696968</v>
      </c>
      <c r="BO140" s="52">
        <v>-1.5219858474747479</v>
      </c>
      <c r="BP140" s="52">
        <v>-0.88470972222222222</v>
      </c>
    </row>
    <row r="141" spans="2:68">
      <c r="B141" t="s">
        <v>618</v>
      </c>
      <c r="C141" t="s">
        <v>619</v>
      </c>
      <c r="D141" t="s">
        <v>176</v>
      </c>
      <c r="E141">
        <v>14</v>
      </c>
      <c r="F141" t="s">
        <v>603</v>
      </c>
      <c r="G141" t="s">
        <v>620</v>
      </c>
      <c r="H141" t="s">
        <v>618</v>
      </c>
      <c r="I141" s="52">
        <v>-1.5763068307692312</v>
      </c>
      <c r="J141" s="52">
        <v>-1.6801802871794886</v>
      </c>
      <c r="K141" s="52">
        <v>-0.77644042232277566</v>
      </c>
      <c r="L141" s="52">
        <v>-1.7431778256410255</v>
      </c>
      <c r="M141" s="52">
        <v>-1.860384543589743</v>
      </c>
      <c r="N141" s="52">
        <v>-0.82627450980392336</v>
      </c>
      <c r="O141" s="52">
        <v>-2.962045066666668</v>
      </c>
      <c r="P141" s="52">
        <v>-3.1238154102564106</v>
      </c>
      <c r="Q141" s="52">
        <v>-1.8790346907993947</v>
      </c>
      <c r="R141" s="52">
        <v>-1.9315821641025674</v>
      </c>
      <c r="S141" s="52">
        <v>-2.046018082051281</v>
      </c>
      <c r="T141" s="52">
        <v>-1.3290196078431342</v>
      </c>
      <c r="U141" s="52">
        <v>-3.9379733333333253</v>
      </c>
      <c r="V141" s="52">
        <v>-4.1355831435897414</v>
      </c>
      <c r="W141" s="52">
        <v>-2.8440120663650119</v>
      </c>
      <c r="X141" s="52">
        <v>-1.4567532205128209</v>
      </c>
      <c r="Y141" s="52">
        <v>-1.5366246256410261</v>
      </c>
      <c r="Z141" s="52">
        <v>-0.81852187028657686</v>
      </c>
      <c r="AA141" s="52">
        <v>-1.6027253641025638</v>
      </c>
      <c r="AB141" s="52">
        <v>-1.691776312820513</v>
      </c>
      <c r="AC141" s="52">
        <v>-0.85840120663650132</v>
      </c>
      <c r="AD141" s="52">
        <v>-2.7426323179487158</v>
      </c>
      <c r="AE141" s="52">
        <v>-2.894089605128209</v>
      </c>
      <c r="AF141" s="52">
        <v>-2.1115233785822056</v>
      </c>
      <c r="AG141" s="52">
        <v>-1.7934024153846109</v>
      </c>
      <c r="AH141" s="52">
        <v>-1.8942610769230761</v>
      </c>
      <c r="AI141" s="52">
        <v>-1.46561085972851</v>
      </c>
      <c r="AJ141" s="52">
        <v>-3.7219193743589782</v>
      </c>
      <c r="AK141" s="52">
        <v>-3.9224905641025636</v>
      </c>
      <c r="AL141" s="52">
        <v>-3.2282352941176495</v>
      </c>
      <c r="AM141" s="52">
        <v>-1.7315683191919193</v>
      </c>
      <c r="AN141" s="52">
        <v>-1.7557369358585864</v>
      </c>
      <c r="AO141" s="52">
        <v>-0.77066250742721309</v>
      </c>
      <c r="AP141" s="52">
        <v>-1.9525631914141415</v>
      </c>
      <c r="AQ141" s="52">
        <v>-1.9803016621212119</v>
      </c>
      <c r="AR141" s="52">
        <v>-0.85546642899584135</v>
      </c>
      <c r="AS141" s="52">
        <v>-3.3754305537878788</v>
      </c>
      <c r="AT141" s="52">
        <v>-3.4022915919191914</v>
      </c>
      <c r="AU141" s="52">
        <v>-1.7088532382650012</v>
      </c>
      <c r="AV141" s="52">
        <v>-2.3046692452020201</v>
      </c>
      <c r="AW141" s="52">
        <v>-2.3298641297979792</v>
      </c>
      <c r="AX141" s="52">
        <v>-1.1769607843137264</v>
      </c>
      <c r="AY141" s="52">
        <v>-4.3573838762626256</v>
      </c>
      <c r="AZ141" s="52">
        <v>-4.3799856366161594</v>
      </c>
      <c r="BA141" s="52">
        <v>-2.439898989898988</v>
      </c>
      <c r="BB141" s="52">
        <v>-1.0853939846153848</v>
      </c>
      <c r="BC141" s="52">
        <v>-0.79059654871794871</v>
      </c>
      <c r="BD141" s="52">
        <v>-1.1243380410256412</v>
      </c>
      <c r="BE141" s="52">
        <v>-1.5617170205128204</v>
      </c>
      <c r="BF141" s="52">
        <v>-0.94799972820512812</v>
      </c>
      <c r="BG141" s="52">
        <v>-1.1412770051282048</v>
      </c>
      <c r="BH141" s="52">
        <v>-0.81397592820512832</v>
      </c>
      <c r="BI141" s="52">
        <v>-1.1733907179487182</v>
      </c>
      <c r="BJ141" s="52">
        <v>-1.6656324512820517</v>
      </c>
      <c r="BK141" s="52">
        <v>-0.99491192307692311</v>
      </c>
      <c r="BL141" s="52">
        <v>-1.0619704459595958</v>
      </c>
      <c r="BM141" s="52">
        <v>-0.84929933964646476</v>
      </c>
      <c r="BN141" s="52">
        <v>-1.1353916613636363</v>
      </c>
      <c r="BO141" s="52">
        <v>-1.578339858333333</v>
      </c>
      <c r="BP141" s="52">
        <v>-0.96175486565656565</v>
      </c>
    </row>
    <row r="142" spans="2:68">
      <c r="B142" t="s">
        <v>622</v>
      </c>
      <c r="C142" t="s">
        <v>623</v>
      </c>
      <c r="D142" t="s">
        <v>176</v>
      </c>
      <c r="E142">
        <v>15</v>
      </c>
      <c r="F142" t="s">
        <v>624</v>
      </c>
      <c r="G142" t="s">
        <v>604</v>
      </c>
      <c r="H142" t="s">
        <v>622</v>
      </c>
      <c r="I142" s="52">
        <v>0.59884128205128195</v>
      </c>
      <c r="J142" s="52">
        <v>0.64542087179487195</v>
      </c>
      <c r="K142" s="52">
        <v>0.43638009049773713</v>
      </c>
      <c r="L142" s="52">
        <v>0.70293983076923416</v>
      </c>
      <c r="M142" s="52">
        <v>0.75728843589743355</v>
      </c>
      <c r="N142" s="52">
        <v>0.43737556561086072</v>
      </c>
      <c r="O142" s="52">
        <v>1.4241506769230723</v>
      </c>
      <c r="P142" s="52">
        <v>1.4995473128205141</v>
      </c>
      <c r="Q142" s="52">
        <v>1.3158672699849212</v>
      </c>
      <c r="R142" s="52">
        <v>0.57183885128205214</v>
      </c>
      <c r="S142" s="52">
        <v>0.61019581025640757</v>
      </c>
      <c r="T142" s="52">
        <v>0.8945701357466066</v>
      </c>
      <c r="U142" s="52">
        <v>2.1785447179487116</v>
      </c>
      <c r="V142" s="52">
        <v>2.283174194871791</v>
      </c>
      <c r="W142" s="52">
        <v>2.2798190045248843</v>
      </c>
      <c r="X142" s="52">
        <v>0.41832408205128346</v>
      </c>
      <c r="Y142" s="52">
        <v>0.44388165128205004</v>
      </c>
      <c r="Z142" s="52">
        <v>0.42211161387632062</v>
      </c>
      <c r="AA142" s="52">
        <v>0.50508768205128063</v>
      </c>
      <c r="AB142" s="52">
        <v>0.53530009743589735</v>
      </c>
      <c r="AC142" s="52">
        <v>0.40772247360482416</v>
      </c>
      <c r="AD142" s="52">
        <v>1.1548229846153846</v>
      </c>
      <c r="AE142" s="52">
        <v>1.2205209948717917</v>
      </c>
      <c r="AF142" s="52">
        <v>1.476349924585217</v>
      </c>
      <c r="AG142" s="52">
        <v>0.39345391794871926</v>
      </c>
      <c r="AH142" s="52">
        <v>0.41905011282051419</v>
      </c>
      <c r="AI142" s="52">
        <v>0.91110105580693734</v>
      </c>
      <c r="AJ142" s="52">
        <v>1.9021627538461567</v>
      </c>
      <c r="AK142" s="52">
        <v>2.005306482051282</v>
      </c>
      <c r="AL142" s="52">
        <v>2.545520361990953</v>
      </c>
      <c r="AM142" s="52">
        <v>1.1681451381313126</v>
      </c>
      <c r="AN142" s="52">
        <v>1.1736757161616171</v>
      </c>
      <c r="AO142" s="52">
        <v>0.55927510398098568</v>
      </c>
      <c r="AP142" s="52">
        <v>1.3592327159090909</v>
      </c>
      <c r="AQ142" s="52">
        <v>1.3675838818181814</v>
      </c>
      <c r="AR142" s="52">
        <v>0.61510101010101081</v>
      </c>
      <c r="AS142" s="52">
        <v>2.1336884270202008</v>
      </c>
      <c r="AT142" s="52">
        <v>2.1323840512626244</v>
      </c>
      <c r="AU142" s="52">
        <v>1.3541443850267376</v>
      </c>
      <c r="AV142" s="52">
        <v>1.3469407636363637</v>
      </c>
      <c r="AW142" s="52">
        <v>1.344270825505048</v>
      </c>
      <c r="AX142" s="52">
        <v>0.95596999405823024</v>
      </c>
      <c r="AY142" s="52">
        <v>2.8397766825757573</v>
      </c>
      <c r="AZ142" s="52">
        <v>2.8385745954545438</v>
      </c>
      <c r="BA142" s="52">
        <v>2.1511972667855024</v>
      </c>
      <c r="BB142" s="52">
        <v>1.7086043333333329</v>
      </c>
      <c r="BC142" s="52">
        <v>1.3740616564102563</v>
      </c>
      <c r="BD142" s="52">
        <v>1.7593040153846151</v>
      </c>
      <c r="BE142" s="52">
        <v>2.413105728205128</v>
      </c>
      <c r="BF142" s="52">
        <v>1.5549816205128202</v>
      </c>
      <c r="BG142" s="52">
        <v>1.7445226666666667</v>
      </c>
      <c r="BH142" s="52">
        <v>1.3931955025641027</v>
      </c>
      <c r="BI142" s="52">
        <v>1.8193450461538463</v>
      </c>
      <c r="BJ142" s="52">
        <v>2.4344595538461538</v>
      </c>
      <c r="BK142" s="52">
        <v>1.5914787282051281</v>
      </c>
      <c r="BL142" s="52">
        <v>1.7234074924242426</v>
      </c>
      <c r="BM142" s="52">
        <v>1.4717979901515155</v>
      </c>
      <c r="BN142" s="52">
        <v>1.8124865709595959</v>
      </c>
      <c r="BO142" s="52">
        <v>2.3884736358585865</v>
      </c>
      <c r="BP142" s="52">
        <v>1.603063960606061</v>
      </c>
    </row>
    <row r="143" spans="2:68">
      <c r="B143" t="s">
        <v>626</v>
      </c>
      <c r="C143" t="s">
        <v>627</v>
      </c>
      <c r="D143" t="s">
        <v>176</v>
      </c>
      <c r="E143">
        <v>16</v>
      </c>
      <c r="F143" t="s">
        <v>624</v>
      </c>
      <c r="G143" t="s">
        <v>608</v>
      </c>
      <c r="H143" t="s">
        <v>626</v>
      </c>
      <c r="I143" s="52">
        <v>1.7181916205128194</v>
      </c>
      <c r="J143" s="52">
        <v>1.8368775025641018</v>
      </c>
      <c r="K143" s="52">
        <v>0.94606334841629203</v>
      </c>
      <c r="L143" s="52">
        <v>1.9313683589743587</v>
      </c>
      <c r="M143" s="52">
        <v>2.0656860871794867</v>
      </c>
      <c r="N143" s="52">
        <v>0.98075414781297021</v>
      </c>
      <c r="O143" s="52">
        <v>3.2625332307692307</v>
      </c>
      <c r="P143" s="52">
        <v>3.4431576307692291</v>
      </c>
      <c r="Q143" s="52">
        <v>2.3503167420814535</v>
      </c>
      <c r="R143" s="52">
        <v>2.0326716564102565</v>
      </c>
      <c r="S143" s="52">
        <v>2.160613138461537</v>
      </c>
      <c r="T143" s="52">
        <v>1.7138763197586742</v>
      </c>
      <c r="U143" s="52">
        <v>4.3889137230769197</v>
      </c>
      <c r="V143" s="52">
        <v>4.6119565128205116</v>
      </c>
      <c r="W143" s="52">
        <v>3.6899849170437404</v>
      </c>
      <c r="X143" s="52">
        <v>1.5310475948717981</v>
      </c>
      <c r="Y143" s="52">
        <v>1.6141253230769228</v>
      </c>
      <c r="Z143" s="52">
        <v>0.97092006033182587</v>
      </c>
      <c r="AA143" s="52">
        <v>1.7260114666666666</v>
      </c>
      <c r="AB143" s="52">
        <v>1.8198494307692294</v>
      </c>
      <c r="AC143" s="52">
        <v>1.0002111613876294</v>
      </c>
      <c r="AD143" s="52">
        <v>2.9873091282051272</v>
      </c>
      <c r="AE143" s="52">
        <v>3.1494642974358915</v>
      </c>
      <c r="AF143" s="52">
        <v>2.6843740573152339</v>
      </c>
      <c r="AG143" s="52">
        <v>1.836464738461538</v>
      </c>
      <c r="AH143" s="52">
        <v>1.9380016974358976</v>
      </c>
      <c r="AI143" s="52">
        <v>1.8208446455505252</v>
      </c>
      <c r="AJ143" s="52">
        <v>4.0990373435897478</v>
      </c>
      <c r="AK143" s="52">
        <v>4.3173774205128259</v>
      </c>
      <c r="AL143" s="52">
        <v>4.1975867269984937</v>
      </c>
      <c r="AM143" s="52">
        <v>2.1604537946969686</v>
      </c>
      <c r="AN143" s="52">
        <v>2.173353655050505</v>
      </c>
      <c r="AO143" s="52">
        <v>0.98629233511586456</v>
      </c>
      <c r="AP143" s="52">
        <v>2.4547536989898995</v>
      </c>
      <c r="AQ143" s="52">
        <v>2.4723244772727284</v>
      </c>
      <c r="AR143" s="52">
        <v>1.0782471776589424</v>
      </c>
      <c r="AS143" s="52">
        <v>3.9035076229797974</v>
      </c>
      <c r="AT143" s="52">
        <v>3.9071492161616148</v>
      </c>
      <c r="AU143" s="52">
        <v>2.2271984551396322</v>
      </c>
      <c r="AV143" s="52">
        <v>2.6863686689393944</v>
      </c>
      <c r="AW143" s="52">
        <v>2.6890986631313116</v>
      </c>
      <c r="AX143" s="52">
        <v>1.6341042780748651</v>
      </c>
      <c r="AY143" s="52">
        <v>4.9898105679292915</v>
      </c>
      <c r="AZ143" s="52">
        <v>4.9933953318181823</v>
      </c>
      <c r="BA143" s="52">
        <v>3.3392379679144382</v>
      </c>
      <c r="BB143" s="52">
        <v>1.7424192461538461</v>
      </c>
      <c r="BC143" s="52">
        <v>1.384866558974359</v>
      </c>
      <c r="BD143" s="52">
        <v>1.8112934102564098</v>
      </c>
      <c r="BE143" s="52">
        <v>2.5078821692307698</v>
      </c>
      <c r="BF143" s="52">
        <v>1.5901492974358973</v>
      </c>
      <c r="BG143" s="52">
        <v>1.7835782564102567</v>
      </c>
      <c r="BH143" s="52">
        <v>1.4082978820512824</v>
      </c>
      <c r="BI143" s="52">
        <v>1.8768827948717952</v>
      </c>
      <c r="BJ143" s="52">
        <v>2.5352133333333335</v>
      </c>
      <c r="BK143" s="52">
        <v>1.6348848615384612</v>
      </c>
      <c r="BL143" s="52">
        <v>1.7198882414141414</v>
      </c>
      <c r="BM143" s="52">
        <v>1.448421585858586</v>
      </c>
      <c r="BN143" s="52">
        <v>1.834044327020202</v>
      </c>
      <c r="BO143" s="52">
        <v>2.4439614497474742</v>
      </c>
      <c r="BP143" s="52">
        <v>1.6108778101010102</v>
      </c>
    </row>
    <row r="144" spans="2:68">
      <c r="B144" t="s">
        <v>629</v>
      </c>
      <c r="C144" t="s">
        <v>630</v>
      </c>
      <c r="D144" t="s">
        <v>176</v>
      </c>
      <c r="E144">
        <v>17</v>
      </c>
      <c r="F144" t="s">
        <v>624</v>
      </c>
      <c r="G144" t="s">
        <v>612</v>
      </c>
      <c r="H144" t="s">
        <v>629</v>
      </c>
      <c r="I144" s="52">
        <v>6.6632962666666664</v>
      </c>
      <c r="J144" s="52">
        <v>7.1030368871794893</v>
      </c>
      <c r="K144" s="52">
        <v>3.2510105580693818</v>
      </c>
      <c r="L144" s="52">
        <v>7.3855226358974386</v>
      </c>
      <c r="M144" s="52">
        <v>7.8761949025641025</v>
      </c>
      <c r="N144" s="52">
        <v>3.4695927601809951</v>
      </c>
      <c r="O144" s="52">
        <v>11.82893396923077</v>
      </c>
      <c r="P144" s="52">
        <v>12.490589184615382</v>
      </c>
      <c r="Q144" s="52">
        <v>7.3114932126696894</v>
      </c>
      <c r="R144" s="52">
        <v>8.3918732666666696</v>
      </c>
      <c r="S144" s="52">
        <v>8.9055177692307694</v>
      </c>
      <c r="T144" s="52">
        <v>5.5018401206636511</v>
      </c>
      <c r="U144" s="52">
        <v>15.064786666666661</v>
      </c>
      <c r="V144" s="52">
        <v>15.844447287179486</v>
      </c>
      <c r="W144" s="52">
        <v>10.742021116138764</v>
      </c>
      <c r="X144" s="52">
        <v>6.3494896307692335</v>
      </c>
      <c r="Y144" s="52">
        <v>6.686259579487178</v>
      </c>
      <c r="Z144" s="52">
        <v>3.4472699849170438</v>
      </c>
      <c r="AA144" s="52">
        <v>7.0237837743589742</v>
      </c>
      <c r="AB144" s="52">
        <v>7.3992452717948698</v>
      </c>
      <c r="AC144" s="52">
        <v>3.6563499245852165</v>
      </c>
      <c r="AD144" s="52">
        <v>11.316497302564098</v>
      </c>
      <c r="AE144" s="52">
        <v>11.924203825641024</v>
      </c>
      <c r="AF144" s="52">
        <v>8.3600904977375574</v>
      </c>
      <c r="AG144" s="52">
        <v>8.0171501179487166</v>
      </c>
      <c r="AH144" s="52">
        <v>8.4504695948717945</v>
      </c>
      <c r="AI144" s="52">
        <v>6.0207843137254873</v>
      </c>
      <c r="AJ144" s="52">
        <v>14.515570948717953</v>
      </c>
      <c r="AK144" s="52">
        <v>15.285569205128214</v>
      </c>
      <c r="AL144" s="52">
        <v>12.319457013574663</v>
      </c>
      <c r="AM144" s="52">
        <v>6.7649343719696962</v>
      </c>
      <c r="AN144" s="52">
        <v>6.8283310853535362</v>
      </c>
      <c r="AO144" s="52">
        <v>3.0158199643493764</v>
      </c>
      <c r="AP144" s="52">
        <v>7.5331006434343433</v>
      </c>
      <c r="AQ144" s="52">
        <v>7.6088625363636364</v>
      </c>
      <c r="AR144" s="52">
        <v>3.316601307189543</v>
      </c>
      <c r="AS144" s="52">
        <v>12.533901461363635</v>
      </c>
      <c r="AT144" s="52">
        <v>12.583487805050504</v>
      </c>
      <c r="AU144" s="52">
        <v>6.5320261437908487</v>
      </c>
      <c r="AV144" s="52">
        <v>8.9445563648989914</v>
      </c>
      <c r="AW144" s="52">
        <v>8.9945094348484815</v>
      </c>
      <c r="AX144" s="52">
        <v>4.8051381461675575</v>
      </c>
      <c r="AY144" s="52">
        <v>15.81148664570707</v>
      </c>
      <c r="AZ144" s="52">
        <v>15.85653556691919</v>
      </c>
      <c r="BA144" s="52">
        <v>9.2775772430184187</v>
      </c>
      <c r="BB144" s="52">
        <v>2.9028322769230765</v>
      </c>
      <c r="BC144" s="52">
        <v>2.1869233743589742</v>
      </c>
      <c r="BD144" s="52">
        <v>3.075378994871794</v>
      </c>
      <c r="BE144" s="52">
        <v>4.3395922051282048</v>
      </c>
      <c r="BF144" s="52">
        <v>2.6247077076923073</v>
      </c>
      <c r="BG144" s="52">
        <v>3.0213757282051281</v>
      </c>
      <c r="BH144" s="52">
        <v>2.2506661179487182</v>
      </c>
      <c r="BI144" s="52">
        <v>3.2108639589743597</v>
      </c>
      <c r="BJ144" s="52">
        <v>4.4949382564102569</v>
      </c>
      <c r="BK144" s="52">
        <v>2.7384251948717946</v>
      </c>
      <c r="BL144" s="52">
        <v>2.7203424856060603</v>
      </c>
      <c r="BM144" s="52">
        <v>2.1747598489898987</v>
      </c>
      <c r="BN144" s="52">
        <v>3.0013313502525252</v>
      </c>
      <c r="BO144" s="52">
        <v>4.1451618252525257</v>
      </c>
      <c r="BP144" s="52">
        <v>2.5557167297979797</v>
      </c>
    </row>
    <row r="145" spans="2:68">
      <c r="B145" t="s">
        <v>632</v>
      </c>
      <c r="C145" t="s">
        <v>633</v>
      </c>
      <c r="D145" t="s">
        <v>176</v>
      </c>
      <c r="E145">
        <v>18</v>
      </c>
      <c r="F145" t="s">
        <v>624</v>
      </c>
      <c r="G145" t="s">
        <v>616</v>
      </c>
      <c r="H145" t="s">
        <v>632</v>
      </c>
      <c r="I145" s="52">
        <v>3.7980122205128191</v>
      </c>
      <c r="J145" s="52">
        <v>4.050835076923077</v>
      </c>
      <c r="K145" s="52">
        <v>1.8936651583710407</v>
      </c>
      <c r="L145" s="52">
        <v>4.2254294307692337</v>
      </c>
      <c r="M145" s="52">
        <v>4.5082592307692329</v>
      </c>
      <c r="N145" s="52">
        <v>2.0082051282051299</v>
      </c>
      <c r="O145" s="52">
        <v>6.7338424923076907</v>
      </c>
      <c r="P145" s="52">
        <v>7.1119959179487173</v>
      </c>
      <c r="Q145" s="52">
        <v>4.2876923076923141</v>
      </c>
      <c r="R145" s="52">
        <v>4.7546740256410303</v>
      </c>
      <c r="S145" s="52">
        <v>5.0493841487179498</v>
      </c>
      <c r="T145" s="52">
        <v>3.2485671191553545</v>
      </c>
      <c r="U145" s="52">
        <v>8.5844352820512793</v>
      </c>
      <c r="V145" s="52">
        <v>9.0307053589743589</v>
      </c>
      <c r="W145" s="52">
        <v>6.3551131221719492</v>
      </c>
      <c r="X145" s="52">
        <v>3.6004133743589755</v>
      </c>
      <c r="Y145" s="52">
        <v>3.7906971435897412</v>
      </c>
      <c r="Z145" s="52">
        <v>1.9987028657616881</v>
      </c>
      <c r="AA145" s="52">
        <v>3.9993387128205145</v>
      </c>
      <c r="AB145" s="52">
        <v>4.2118797692307659</v>
      </c>
      <c r="AC145" s="52">
        <v>2.1110105580693785</v>
      </c>
      <c r="AD145" s="52">
        <v>6.4351934512820428</v>
      </c>
      <c r="AE145" s="52">
        <v>6.7791468564102573</v>
      </c>
      <c r="AF145" s="52">
        <v>4.9285369532428334</v>
      </c>
      <c r="AG145" s="52">
        <v>4.5258183384615389</v>
      </c>
      <c r="AH145" s="52">
        <v>4.769190625641027</v>
      </c>
      <c r="AI145" s="52">
        <v>3.5250980392156821</v>
      </c>
      <c r="AJ145" s="52">
        <v>8.2580531282051268</v>
      </c>
      <c r="AK145" s="52">
        <v>8.6947209692307723</v>
      </c>
      <c r="AL145" s="52">
        <v>7.2985520361990961</v>
      </c>
      <c r="AM145" s="52">
        <v>3.9889240744949483</v>
      </c>
      <c r="AN145" s="52">
        <v>4.017777751262626</v>
      </c>
      <c r="AO145" s="52">
        <v>1.7808377896613194</v>
      </c>
      <c r="AP145" s="52">
        <v>4.4482727654040408</v>
      </c>
      <c r="AQ145" s="52">
        <v>4.484749032575758</v>
      </c>
      <c r="AR145" s="52">
        <v>1.9498603683897806</v>
      </c>
      <c r="AS145" s="52">
        <v>7.2160811436868686</v>
      </c>
      <c r="AT145" s="52">
        <v>7.2306777575757577</v>
      </c>
      <c r="AU145" s="52">
        <v>3.8683600713012485</v>
      </c>
      <c r="AV145" s="52">
        <v>5.1703382911616158</v>
      </c>
      <c r="AW145" s="52">
        <v>5.1852791709595945</v>
      </c>
      <c r="AX145" s="52">
        <v>2.8964780154486025</v>
      </c>
      <c r="AY145" s="52">
        <v>9.0668178015151497</v>
      </c>
      <c r="AZ145" s="52">
        <v>9.0814009946969687</v>
      </c>
      <c r="BA145" s="52">
        <v>5.5712789661319064</v>
      </c>
      <c r="BB145" s="52">
        <v>1.8587880974358972</v>
      </c>
      <c r="BC145" s="52">
        <v>1.4460134769230768</v>
      </c>
      <c r="BD145" s="52">
        <v>1.9684192358974355</v>
      </c>
      <c r="BE145" s="52">
        <v>2.7690407538461539</v>
      </c>
      <c r="BF145" s="52">
        <v>1.7049127435897433</v>
      </c>
      <c r="BG145" s="52">
        <v>1.9151897641025639</v>
      </c>
      <c r="BH145" s="52">
        <v>1.4810874153846156</v>
      </c>
      <c r="BI145" s="52">
        <v>2.0485056666666668</v>
      </c>
      <c r="BJ145" s="52">
        <v>2.8135961641025649</v>
      </c>
      <c r="BK145" s="52">
        <v>1.7656107076923075</v>
      </c>
      <c r="BL145" s="52">
        <v>1.7590827083333334</v>
      </c>
      <c r="BM145" s="52">
        <v>1.4404196866161618</v>
      </c>
      <c r="BN145" s="52">
        <v>1.9299801282828284</v>
      </c>
      <c r="BO145" s="52">
        <v>2.6231759777777772</v>
      </c>
      <c r="BP145" s="52">
        <v>1.6710070075757577</v>
      </c>
    </row>
    <row r="146" spans="2:68">
      <c r="B146" t="s">
        <v>635</v>
      </c>
      <c r="C146" t="s">
        <v>636</v>
      </c>
      <c r="D146" t="s">
        <v>176</v>
      </c>
      <c r="E146">
        <v>19</v>
      </c>
      <c r="F146" t="s">
        <v>604</v>
      </c>
      <c r="G146" t="s">
        <v>637</v>
      </c>
      <c r="H146" t="s">
        <v>635</v>
      </c>
      <c r="I146" s="52">
        <v>2.7453646051282052</v>
      </c>
      <c r="J146" s="52">
        <v>2.9223238717948754</v>
      </c>
      <c r="K146" s="52">
        <v>1.2497737556561099</v>
      </c>
      <c r="L146" s="52">
        <v>3.0218738461538428</v>
      </c>
      <c r="M146" s="52">
        <v>3.2180977589743587</v>
      </c>
      <c r="N146" s="52">
        <v>1.3479638009049757</v>
      </c>
      <c r="O146" s="52">
        <v>4.5510225589743643</v>
      </c>
      <c r="P146" s="52">
        <v>4.8104782358974312</v>
      </c>
      <c r="Q146" s="52">
        <v>2.5540874811463046</v>
      </c>
      <c r="R146" s="52">
        <v>3.5870347897435915</v>
      </c>
      <c r="S146" s="52">
        <v>3.8068698358974404</v>
      </c>
      <c r="T146" s="52">
        <v>2.0231674208144796</v>
      </c>
      <c r="U146" s="52">
        <v>5.490553225641027</v>
      </c>
      <c r="V146" s="52">
        <v>5.7833365948717983</v>
      </c>
      <c r="W146" s="52">
        <v>3.5015082956259458</v>
      </c>
      <c r="X146" s="52">
        <v>2.729939502564104</v>
      </c>
      <c r="Y146" s="52">
        <v>2.8712538923076911</v>
      </c>
      <c r="Z146" s="52">
        <v>1.3534539969834092</v>
      </c>
      <c r="AA146" s="52">
        <v>2.9968822410256437</v>
      </c>
      <c r="AB146" s="52">
        <v>3.153255641025638</v>
      </c>
      <c r="AC146" s="52">
        <v>1.4596380090497756</v>
      </c>
      <c r="AD146" s="52">
        <v>4.5260930358974294</v>
      </c>
      <c r="AE146" s="52">
        <v>4.7645965897435909</v>
      </c>
      <c r="AF146" s="52">
        <v>2.9674811463046775</v>
      </c>
      <c r="AG146" s="52">
        <v>3.5432155384615376</v>
      </c>
      <c r="AH146" s="52">
        <v>3.7299402769230743</v>
      </c>
      <c r="AI146" s="52">
        <v>2.2450678733031637</v>
      </c>
      <c r="AJ146" s="52">
        <v>5.4479864820512791</v>
      </c>
      <c r="AK146" s="52">
        <v>5.7338645692307741</v>
      </c>
      <c r="AL146" s="52">
        <v>4.0863650075414766</v>
      </c>
      <c r="AM146" s="52">
        <v>2.4287574242424239</v>
      </c>
      <c r="AN146" s="52">
        <v>2.44836620580808</v>
      </c>
      <c r="AO146" s="52">
        <v>1.0505882352941185</v>
      </c>
      <c r="AP146" s="52">
        <v>2.6651836065656562</v>
      </c>
      <c r="AQ146" s="52">
        <v>2.6891242972222225</v>
      </c>
      <c r="AR146" s="52">
        <v>1.1454099821746875</v>
      </c>
      <c r="AS146" s="52">
        <v>4.3672105679292912</v>
      </c>
      <c r="AT146" s="52">
        <v>4.380476180050505</v>
      </c>
      <c r="AU146" s="52">
        <v>2.1600564468211521</v>
      </c>
      <c r="AV146" s="52">
        <v>3.2877148366161615</v>
      </c>
      <c r="AW146" s="52">
        <v>3.3023473724747481</v>
      </c>
      <c r="AX146" s="52">
        <v>1.6693850267379671</v>
      </c>
      <c r="AY146" s="52">
        <v>5.3441034212121217</v>
      </c>
      <c r="AZ146" s="52">
        <v>5.3572656035353532</v>
      </c>
      <c r="BA146" s="52">
        <v>2.9411898395721932</v>
      </c>
      <c r="BB146" s="52">
        <v>0.1305515128205133</v>
      </c>
      <c r="BC146" s="52">
        <v>6.2927246153846025E-2</v>
      </c>
      <c r="BD146" s="52">
        <v>0.18028167692307714</v>
      </c>
      <c r="BE146" s="52">
        <v>0.30604043076923049</v>
      </c>
      <c r="BF146" s="52">
        <v>0.12990805641025663</v>
      </c>
      <c r="BG146" s="52">
        <v>0.14746146153846171</v>
      </c>
      <c r="BH146" s="52">
        <v>7.6300615384615453E-2</v>
      </c>
      <c r="BI146" s="52">
        <v>0.19706345128205122</v>
      </c>
      <c r="BJ146" s="52">
        <v>0.32519597435897457</v>
      </c>
      <c r="BK146" s="52">
        <v>0.15063626153846132</v>
      </c>
      <c r="BL146" s="52">
        <v>3.41005439393939E-2</v>
      </c>
      <c r="BM146" s="52">
        <v>-2.3099122474747279E-2</v>
      </c>
      <c r="BN146" s="52">
        <v>0.10276523712121188</v>
      </c>
      <c r="BO146" s="52">
        <v>0.2040394646464645</v>
      </c>
      <c r="BP146" s="52">
        <v>6.0947518686868596E-2</v>
      </c>
    </row>
    <row r="147" spans="2:68">
      <c r="B147" t="s">
        <v>639</v>
      </c>
      <c r="C147" t="s">
        <v>640</v>
      </c>
      <c r="D147" t="s">
        <v>176</v>
      </c>
      <c r="E147">
        <v>20</v>
      </c>
      <c r="F147" t="s">
        <v>641</v>
      </c>
      <c r="G147" t="s">
        <v>637</v>
      </c>
      <c r="H147" t="s">
        <v>639</v>
      </c>
      <c r="I147" s="52">
        <v>19.847052687179488</v>
      </c>
      <c r="J147" s="52">
        <v>21.137952364102571</v>
      </c>
      <c r="K147" s="52">
        <v>9.2232880844645564</v>
      </c>
      <c r="L147" s="52">
        <v>21.726267117948712</v>
      </c>
      <c r="M147" s="52">
        <v>23.148757410256412</v>
      </c>
      <c r="N147" s="52">
        <v>9.9073303167420814</v>
      </c>
      <c r="O147" s="52">
        <v>32.474114251282053</v>
      </c>
      <c r="P147" s="52">
        <v>34.340989276923082</v>
      </c>
      <c r="Q147" s="52">
        <v>20.10241327300151</v>
      </c>
      <c r="R147" s="52">
        <v>25.646100323076922</v>
      </c>
      <c r="S147" s="52">
        <v>27.235929794871794</v>
      </c>
      <c r="T147" s="52">
        <v>15.382081447963801</v>
      </c>
      <c r="U147" s="52">
        <v>39.043351958974363</v>
      </c>
      <c r="V147" s="52">
        <v>41.146599092307689</v>
      </c>
      <c r="W147" s="52">
        <v>27.760000000000005</v>
      </c>
      <c r="X147" s="52">
        <v>19.583692523076923</v>
      </c>
      <c r="Y147" s="52">
        <v>20.597667861538454</v>
      </c>
      <c r="Z147" s="52">
        <v>9.9965912518853681</v>
      </c>
      <c r="AA147" s="52">
        <v>21.417973148717945</v>
      </c>
      <c r="AB147" s="52">
        <v>22.53569203076923</v>
      </c>
      <c r="AC147" s="52">
        <v>10.706666666666671</v>
      </c>
      <c r="AD147" s="52">
        <v>32.041693548717944</v>
      </c>
      <c r="AE147" s="52">
        <v>33.73107825128205</v>
      </c>
      <c r="AF147" s="52">
        <v>23.478401206636491</v>
      </c>
      <c r="AG147" s="52">
        <v>25.270915215384615</v>
      </c>
      <c r="AH147" s="52">
        <v>26.603402138461544</v>
      </c>
      <c r="AI147" s="52">
        <v>17.372217194570137</v>
      </c>
      <c r="AJ147" s="52">
        <v>38.644376112820517</v>
      </c>
      <c r="AK147" s="52">
        <v>40.672944112820517</v>
      </c>
      <c r="AL147" s="52">
        <v>32.05628959276018</v>
      </c>
      <c r="AM147" s="52">
        <v>18.940990479040405</v>
      </c>
      <c r="AN147" s="52">
        <v>19.022660155050506</v>
      </c>
      <c r="AO147" s="52">
        <v>8.0204842543077834</v>
      </c>
      <c r="AP147" s="52">
        <v>20.741075133585859</v>
      </c>
      <c r="AQ147" s="52">
        <v>20.834344918686867</v>
      </c>
      <c r="AR147" s="52">
        <v>8.7200802139037457</v>
      </c>
      <c r="AS147" s="52">
        <v>32.049015174999994</v>
      </c>
      <c r="AT147" s="52">
        <v>32.103772499747471</v>
      </c>
      <c r="AU147" s="52">
        <v>17.492508912655975</v>
      </c>
      <c r="AV147" s="52">
        <v>24.886949441666665</v>
      </c>
      <c r="AW147" s="52">
        <v>24.944801819949497</v>
      </c>
      <c r="AX147" s="52">
        <v>13.322361853832442</v>
      </c>
      <c r="AY147" s="52">
        <v>38.6704557179293</v>
      </c>
      <c r="AZ147" s="52">
        <v>38.720253996212122</v>
      </c>
      <c r="BA147" s="52">
        <v>24.424888591800361</v>
      </c>
      <c r="BB147" s="52">
        <v>1.478884194871795</v>
      </c>
      <c r="BC147" s="52">
        <v>0.98548476410256391</v>
      </c>
      <c r="BD147" s="52">
        <v>1.7631407230769232</v>
      </c>
      <c r="BE147" s="52">
        <v>2.7035393589743588</v>
      </c>
      <c r="BF147" s="52">
        <v>1.4883168717948718</v>
      </c>
      <c r="BG147" s="52">
        <v>1.5147847794871794</v>
      </c>
      <c r="BH147" s="52">
        <v>1.008069758974359</v>
      </c>
      <c r="BI147" s="52">
        <v>1.8200129179487179</v>
      </c>
      <c r="BJ147" s="52">
        <v>2.6575297179487176</v>
      </c>
      <c r="BK147" s="52">
        <v>1.5492757641025636</v>
      </c>
      <c r="BL147" s="52">
        <v>1.0486505648989901</v>
      </c>
      <c r="BM147" s="52">
        <v>0.64363743737373735</v>
      </c>
      <c r="BN147" s="52">
        <v>1.4007502404040399</v>
      </c>
      <c r="BO147" s="52">
        <v>2.1478815881313138</v>
      </c>
      <c r="BP147" s="52">
        <v>1.1487040078282829</v>
      </c>
    </row>
    <row r="148" spans="2:68">
      <c r="B148" t="s">
        <v>643</v>
      </c>
      <c r="C148" t="s">
        <v>644</v>
      </c>
      <c r="D148" t="s">
        <v>176</v>
      </c>
      <c r="E148">
        <v>21</v>
      </c>
      <c r="F148" t="s">
        <v>645</v>
      </c>
      <c r="G148" t="s">
        <v>637</v>
      </c>
      <c r="H148" t="s">
        <v>643</v>
      </c>
      <c r="I148" s="52">
        <v>11.448749646153844</v>
      </c>
      <c r="J148" s="52">
        <v>12.195929451282055</v>
      </c>
      <c r="K148" s="52">
        <v>5.4155052790346909</v>
      </c>
      <c r="L148" s="52">
        <v>12.564428394871795</v>
      </c>
      <c r="M148" s="52">
        <v>13.391494533333333</v>
      </c>
      <c r="N148" s="52">
        <v>5.8107390648567119</v>
      </c>
      <c r="O148" s="52">
        <v>19.140715492307695</v>
      </c>
      <c r="P148" s="52">
        <v>20.23353818461538</v>
      </c>
      <c r="Q148" s="52">
        <v>11.744615384615384</v>
      </c>
      <c r="R148" s="52">
        <v>14.715521466666667</v>
      </c>
      <c r="S148" s="52">
        <v>15.625869902564101</v>
      </c>
      <c r="T148" s="52">
        <v>9.0169532428355961</v>
      </c>
      <c r="U148" s="52">
        <v>23.38075615384615</v>
      </c>
      <c r="V148" s="52">
        <v>24.626526348717949</v>
      </c>
      <c r="W148" s="52">
        <v>16.591191553544494</v>
      </c>
      <c r="X148" s="52">
        <v>11.191317246153845</v>
      </c>
      <c r="Y148" s="52">
        <v>11.773958866666666</v>
      </c>
      <c r="Z148" s="52">
        <v>5.8112217194570146</v>
      </c>
      <c r="AA148" s="52">
        <v>12.275070866666665</v>
      </c>
      <c r="AB148" s="52">
        <v>12.918934364102563</v>
      </c>
      <c r="AC148" s="52">
        <v>6.2028657616892913</v>
      </c>
      <c r="AD148" s="52">
        <v>18.78250992820513</v>
      </c>
      <c r="AE148" s="52">
        <v>19.776495887179493</v>
      </c>
      <c r="AF148" s="52">
        <v>13.695022624434387</v>
      </c>
      <c r="AG148" s="52">
        <v>14.388666523076921</v>
      </c>
      <c r="AH148" s="52">
        <v>15.151049153846156</v>
      </c>
      <c r="AI148" s="52">
        <v>10.048144796380088</v>
      </c>
      <c r="AJ148" s="52">
        <v>22.997321517948716</v>
      </c>
      <c r="AK148" s="52">
        <v>24.207038948717951</v>
      </c>
      <c r="AL148" s="52">
        <v>19.160331825037709</v>
      </c>
      <c r="AM148" s="52">
        <v>11.053629010353536</v>
      </c>
      <c r="AN148" s="52">
        <v>11.112766813383837</v>
      </c>
      <c r="AO148" s="52">
        <v>4.7534878193701724</v>
      </c>
      <c r="AP148" s="52">
        <v>12.167317269444442</v>
      </c>
      <c r="AQ148" s="52">
        <v>12.235957583080809</v>
      </c>
      <c r="AR148" s="52">
        <v>5.178244206773619</v>
      </c>
      <c r="AS148" s="52">
        <v>19.230041666161611</v>
      </c>
      <c r="AT148" s="52">
        <v>19.266414532575755</v>
      </c>
      <c r="AU148" s="52">
        <v>10.219101307189542</v>
      </c>
      <c r="AV148" s="52">
        <v>14.498524987878787</v>
      </c>
      <c r="AW148" s="52">
        <v>14.536333069949496</v>
      </c>
      <c r="AX148" s="52">
        <v>7.8016830065359493</v>
      </c>
      <c r="AY148" s="52">
        <v>23.45756186919192</v>
      </c>
      <c r="AZ148" s="52">
        <v>23.491383820707075</v>
      </c>
      <c r="BA148" s="52">
        <v>14.445502079619731</v>
      </c>
      <c r="BB148" s="52">
        <v>1.8672990923076924</v>
      </c>
      <c r="BC148" s="52">
        <v>1.3684665794871793</v>
      </c>
      <c r="BD148" s="52">
        <v>2.0792829692307699</v>
      </c>
      <c r="BE148" s="52">
        <v>3.0234496205128205</v>
      </c>
      <c r="BF148" s="52">
        <v>1.7756397589743589</v>
      </c>
      <c r="BG148" s="52">
        <v>1.9108184666666665</v>
      </c>
      <c r="BH148" s="52">
        <v>1.397125876923077</v>
      </c>
      <c r="BI148" s="52">
        <v>2.1481491282051279</v>
      </c>
      <c r="BJ148" s="52">
        <v>3.0117147333333332</v>
      </c>
      <c r="BK148" s="52">
        <v>1.8422093948717946</v>
      </c>
      <c r="BL148" s="52">
        <v>1.5715860878787877</v>
      </c>
      <c r="BM148" s="52">
        <v>1.1716657005050508</v>
      </c>
      <c r="BN148" s="52">
        <v>1.8460171762626263</v>
      </c>
      <c r="BO148" s="52">
        <v>2.63284314949495</v>
      </c>
      <c r="BP148" s="52">
        <v>1.5670368308080809</v>
      </c>
    </row>
    <row r="149" spans="2:68">
      <c r="B149" t="s">
        <v>647</v>
      </c>
      <c r="C149" t="s">
        <v>648</v>
      </c>
      <c r="D149" t="s">
        <v>176</v>
      </c>
      <c r="E149">
        <v>22</v>
      </c>
      <c r="F149" t="s">
        <v>641</v>
      </c>
      <c r="G149" t="s">
        <v>608</v>
      </c>
      <c r="H149" t="s">
        <v>647</v>
      </c>
      <c r="I149" s="52">
        <v>18.221038420512819</v>
      </c>
      <c r="J149" s="52">
        <v>19.407085123076925</v>
      </c>
      <c r="K149" s="52">
        <v>8.4831975867270017</v>
      </c>
      <c r="L149" s="52">
        <v>19.932821799999996</v>
      </c>
      <c r="M149" s="52">
        <v>21.239057302564106</v>
      </c>
      <c r="N149" s="52">
        <v>9.1027450980392164</v>
      </c>
      <c r="O149" s="52">
        <v>29.761474246153853</v>
      </c>
      <c r="P149" s="52">
        <v>31.474121358974365</v>
      </c>
      <c r="Q149" s="52">
        <v>18.582775263951739</v>
      </c>
      <c r="R149" s="52">
        <v>23.519898338461537</v>
      </c>
      <c r="S149" s="52">
        <v>24.979477287179481</v>
      </c>
      <c r="T149" s="52">
        <v>14.178220211161388</v>
      </c>
      <c r="U149" s="52">
        <v>35.76316773846154</v>
      </c>
      <c r="V149" s="52">
        <v>37.692044815384612</v>
      </c>
      <c r="W149" s="52">
        <v>25.668657616892915</v>
      </c>
      <c r="X149" s="52">
        <v>17.966476533333335</v>
      </c>
      <c r="Y149" s="52">
        <v>18.896657641025637</v>
      </c>
      <c r="Z149" s="52">
        <v>9.1919457013574632</v>
      </c>
      <c r="AA149" s="52">
        <v>19.642014692307686</v>
      </c>
      <c r="AB149" s="52">
        <v>20.666985723076923</v>
      </c>
      <c r="AC149" s="52">
        <v>9.8395173453996989</v>
      </c>
      <c r="AD149" s="52">
        <v>29.34808665641026</v>
      </c>
      <c r="AE149" s="52">
        <v>30.89542496410256</v>
      </c>
      <c r="AF149" s="52">
        <v>21.718944193061834</v>
      </c>
      <c r="AG149" s="52">
        <v>23.170710497435898</v>
      </c>
      <c r="AH149" s="52">
        <v>24.392413446153849</v>
      </c>
      <c r="AI149" s="52">
        <v>16.036892911010561</v>
      </c>
      <c r="AJ149" s="52">
        <v>35.393264220512833</v>
      </c>
      <c r="AK149" s="52">
        <v>37.25115048205128</v>
      </c>
      <c r="AL149" s="52">
        <v>29.621990950226245</v>
      </c>
      <c r="AM149" s="52">
        <v>17.504541711363636</v>
      </c>
      <c r="AN149" s="52">
        <v>17.573971888131315</v>
      </c>
      <c r="AO149" s="52">
        <v>7.3969132501485442</v>
      </c>
      <c r="AP149" s="52">
        <v>19.171412510101014</v>
      </c>
      <c r="AQ149" s="52">
        <v>19.249961216919193</v>
      </c>
      <c r="AR149" s="52">
        <v>8.0378163992869887</v>
      </c>
      <c r="AS149" s="52">
        <v>29.451623803030301</v>
      </c>
      <c r="AT149" s="52">
        <v>29.498061484595958</v>
      </c>
      <c r="AU149" s="52">
        <v>16.205506535947716</v>
      </c>
      <c r="AV149" s="52">
        <v>22.938662510353538</v>
      </c>
      <c r="AW149" s="52">
        <v>22.98728228510101</v>
      </c>
      <c r="AX149" s="52">
        <v>12.33111111111111</v>
      </c>
      <c r="AY149" s="52">
        <v>35.476386182070705</v>
      </c>
      <c r="AZ149" s="52">
        <v>35.517809129040408</v>
      </c>
      <c r="BA149" s="52">
        <v>22.671739453357102</v>
      </c>
      <c r="BB149" s="52">
        <v>1.3821475948717947</v>
      </c>
      <c r="BC149" s="52">
        <v>0.93336242051282026</v>
      </c>
      <c r="BD149" s="52">
        <v>1.634848441025641</v>
      </c>
      <c r="BE149" s="52">
        <v>2.4922753692307698</v>
      </c>
      <c r="BF149" s="52">
        <v>1.3935764923076923</v>
      </c>
      <c r="BG149" s="52">
        <v>1.4063789076923074</v>
      </c>
      <c r="BH149" s="52">
        <v>0.94687152307692313</v>
      </c>
      <c r="BI149" s="52">
        <v>1.6804872153846155</v>
      </c>
      <c r="BJ149" s="52">
        <v>2.4330875230769227</v>
      </c>
      <c r="BK149" s="52">
        <v>1.4420456358974356</v>
      </c>
      <c r="BL149" s="52">
        <v>1.0110307699494951</v>
      </c>
      <c r="BM149" s="52">
        <v>0.64336015555555526</v>
      </c>
      <c r="BN149" s="52">
        <v>1.3195427593434341</v>
      </c>
      <c r="BO149" s="52">
        <v>1.9993299373737372</v>
      </c>
      <c r="BP149" s="52">
        <v>1.0955703386363635</v>
      </c>
    </row>
    <row r="150" spans="2:68">
      <c r="B150" t="s">
        <v>650</v>
      </c>
      <c r="C150" t="s">
        <v>651</v>
      </c>
      <c r="D150" t="s">
        <v>176</v>
      </c>
      <c r="E150">
        <v>23</v>
      </c>
      <c r="F150" t="s">
        <v>645</v>
      </c>
      <c r="G150" t="s">
        <v>608</v>
      </c>
      <c r="H150" t="s">
        <v>650</v>
      </c>
      <c r="I150" s="52">
        <v>9.8227353794871775</v>
      </c>
      <c r="J150" s="52">
        <v>10.465062210256409</v>
      </c>
      <c r="K150" s="52">
        <v>4.6754147812971354</v>
      </c>
      <c r="L150" s="52">
        <v>10.770983076923077</v>
      </c>
      <c r="M150" s="52">
        <v>11.481794425641027</v>
      </c>
      <c r="N150" s="52">
        <v>5.0061538461538451</v>
      </c>
      <c r="O150" s="52">
        <v>16.428075487179488</v>
      </c>
      <c r="P150" s="52">
        <v>17.366670266666663</v>
      </c>
      <c r="Q150" s="52">
        <v>10.224977375565611</v>
      </c>
      <c r="R150" s="52">
        <v>12.58931948205128</v>
      </c>
      <c r="S150" s="52">
        <v>13.369417394871791</v>
      </c>
      <c r="T150" s="52">
        <v>7.8130920060331848</v>
      </c>
      <c r="U150" s="52">
        <v>20.100571933333327</v>
      </c>
      <c r="V150" s="52">
        <v>21.171972071794873</v>
      </c>
      <c r="W150" s="52">
        <v>14.499849170437404</v>
      </c>
      <c r="X150" s="52">
        <v>9.5741012564102554</v>
      </c>
      <c r="Y150" s="52">
        <v>10.072948646153847</v>
      </c>
      <c r="Z150" s="52">
        <v>5.0065761689291115</v>
      </c>
      <c r="AA150" s="52">
        <v>10.499112410256409</v>
      </c>
      <c r="AB150" s="52">
        <v>11.050228056410257</v>
      </c>
      <c r="AC150" s="52">
        <v>5.3357164404223205</v>
      </c>
      <c r="AD150" s="52">
        <v>16.088903035897442</v>
      </c>
      <c r="AE150" s="52">
        <v>16.9408426</v>
      </c>
      <c r="AF150" s="52">
        <v>11.935565610859726</v>
      </c>
      <c r="AG150" s="52">
        <v>12.288461805128202</v>
      </c>
      <c r="AH150" s="52">
        <v>12.940060461538465</v>
      </c>
      <c r="AI150" s="52">
        <v>8.7128205128205121</v>
      </c>
      <c r="AJ150" s="52">
        <v>19.746209625641029</v>
      </c>
      <c r="AK150" s="52">
        <v>20.785245317948721</v>
      </c>
      <c r="AL150" s="52">
        <v>16.726033182503773</v>
      </c>
      <c r="AM150" s="52">
        <v>9.617180242676767</v>
      </c>
      <c r="AN150" s="52">
        <v>9.6640785464646477</v>
      </c>
      <c r="AO150" s="52">
        <v>4.1299168152109331</v>
      </c>
      <c r="AP150" s="52">
        <v>10.597654645959595</v>
      </c>
      <c r="AQ150" s="52">
        <v>10.651573881313134</v>
      </c>
      <c r="AR150" s="52">
        <v>4.4959803921568637</v>
      </c>
      <c r="AS150" s="52">
        <v>16.632650294191915</v>
      </c>
      <c r="AT150" s="52">
        <v>16.660703517424242</v>
      </c>
      <c r="AU150" s="52">
        <v>8.9320989304812848</v>
      </c>
      <c r="AV150" s="52">
        <v>12.550238056565657</v>
      </c>
      <c r="AW150" s="52">
        <v>12.578813535101011</v>
      </c>
      <c r="AX150" s="52">
        <v>6.8104322638146169</v>
      </c>
      <c r="AY150" s="52">
        <v>20.263492333333335</v>
      </c>
      <c r="AZ150" s="52">
        <v>20.288938953535357</v>
      </c>
      <c r="BA150" s="52">
        <v>12.692352941176473</v>
      </c>
      <c r="BB150" s="52">
        <v>1.7705624923076921</v>
      </c>
      <c r="BC150" s="52">
        <v>1.3163442358974358</v>
      </c>
      <c r="BD150" s="52">
        <v>1.9509906871794875</v>
      </c>
      <c r="BE150" s="52">
        <v>2.8121856307692314</v>
      </c>
      <c r="BF150" s="52">
        <v>1.6808993794871794</v>
      </c>
      <c r="BG150" s="52">
        <v>1.8024125948717948</v>
      </c>
      <c r="BH150" s="52">
        <v>1.3359276410256411</v>
      </c>
      <c r="BI150" s="52">
        <v>2.0086234256410256</v>
      </c>
      <c r="BJ150" s="52">
        <v>2.7872725384615387</v>
      </c>
      <c r="BK150" s="52">
        <v>1.7349792666666666</v>
      </c>
      <c r="BL150" s="52">
        <v>1.5339662929292928</v>
      </c>
      <c r="BM150" s="52">
        <v>1.1713884186868686</v>
      </c>
      <c r="BN150" s="52">
        <v>1.7648096952020205</v>
      </c>
      <c r="BO150" s="52">
        <v>2.4842914987373734</v>
      </c>
      <c r="BP150" s="52">
        <v>1.5139031616161616</v>
      </c>
    </row>
    <row r="151" spans="2:68">
      <c r="B151" t="s">
        <v>653</v>
      </c>
      <c r="C151" t="s">
        <v>654</v>
      </c>
      <c r="D151" t="s">
        <v>176</v>
      </c>
      <c r="E151">
        <v>24</v>
      </c>
      <c r="F151" t="s">
        <v>604</v>
      </c>
      <c r="G151" t="s">
        <v>608</v>
      </c>
      <c r="H151" t="s">
        <v>653</v>
      </c>
      <c r="I151" s="52">
        <v>1.1193503384615373</v>
      </c>
      <c r="J151" s="52">
        <v>1.19145663076923</v>
      </c>
      <c r="K151" s="52">
        <v>0.50968325791855484</v>
      </c>
      <c r="L151" s="52">
        <v>1.2284285282051244</v>
      </c>
      <c r="M151" s="52">
        <v>1.3083976512820532</v>
      </c>
      <c r="N151" s="52">
        <v>0.54337858220210944</v>
      </c>
      <c r="O151" s="52">
        <v>1.8383825538461585</v>
      </c>
      <c r="P151" s="52">
        <v>1.943610317948715</v>
      </c>
      <c r="Q151" s="52">
        <v>1.0344494720965323</v>
      </c>
      <c r="R151" s="52">
        <v>1.4608328051282045</v>
      </c>
      <c r="S151" s="52">
        <v>1.5504173282051292</v>
      </c>
      <c r="T151" s="52">
        <v>0.81930618401206745</v>
      </c>
      <c r="U151" s="52">
        <v>2.2103690051282077</v>
      </c>
      <c r="V151" s="52">
        <v>2.3287823179487206</v>
      </c>
      <c r="W151" s="52">
        <v>1.4101659125188561</v>
      </c>
      <c r="X151" s="52">
        <v>1.1127235128205146</v>
      </c>
      <c r="Y151" s="52">
        <v>1.1702436717948728</v>
      </c>
      <c r="Z151" s="52">
        <v>0.54880844645550519</v>
      </c>
      <c r="AA151" s="52">
        <v>1.220923784615386</v>
      </c>
      <c r="AB151" s="52">
        <v>1.2845493333333322</v>
      </c>
      <c r="AC151" s="52">
        <v>0.59248868778280528</v>
      </c>
      <c r="AD151" s="52">
        <v>1.8324861435897428</v>
      </c>
      <c r="AE151" s="52">
        <v>1.9289433025640998</v>
      </c>
      <c r="AF151" s="52">
        <v>1.2080241327300172</v>
      </c>
      <c r="AG151" s="52">
        <v>1.4430108205128187</v>
      </c>
      <c r="AH151" s="52">
        <v>1.5189515846153834</v>
      </c>
      <c r="AI151" s="52">
        <v>0.90974358974358793</v>
      </c>
      <c r="AJ151" s="52">
        <v>2.1968745897435906</v>
      </c>
      <c r="AK151" s="52">
        <v>2.3120709384615439</v>
      </c>
      <c r="AL151" s="52">
        <v>1.6520663650075407</v>
      </c>
      <c r="AM151" s="52">
        <v>0.99230865656565603</v>
      </c>
      <c r="AN151" s="52">
        <v>0.9996779388888879</v>
      </c>
      <c r="AO151" s="52">
        <v>0.42701723113487888</v>
      </c>
      <c r="AP151" s="52">
        <v>1.0955209830808084</v>
      </c>
      <c r="AQ151" s="52">
        <v>1.1047405954545471</v>
      </c>
      <c r="AR151" s="52">
        <v>0.46314616755793159</v>
      </c>
      <c r="AS151" s="52">
        <v>1.7698191959595966</v>
      </c>
      <c r="AT151" s="52">
        <v>1.7747651648989906</v>
      </c>
      <c r="AU151" s="52">
        <v>0.87305407011289471</v>
      </c>
      <c r="AV151" s="52">
        <v>1.3394279053030307</v>
      </c>
      <c r="AW151" s="52">
        <v>1.3448278376262637</v>
      </c>
      <c r="AX151" s="52">
        <v>0.67813428401663478</v>
      </c>
      <c r="AY151" s="52">
        <v>2.1500338853535341</v>
      </c>
      <c r="AZ151" s="52">
        <v>2.154820736363638</v>
      </c>
      <c r="BA151" s="52">
        <v>1.1880407011289356</v>
      </c>
      <c r="BB151" s="52">
        <v>3.3814912820513104E-2</v>
      </c>
      <c r="BC151" s="52">
        <v>1.0804902564102402E-2</v>
      </c>
      <c r="BD151" s="52">
        <v>5.1989394871794756E-2</v>
      </c>
      <c r="BE151" s="52">
        <v>9.4776441025641575E-2</v>
      </c>
      <c r="BF151" s="52">
        <v>3.5167676923077075E-2</v>
      </c>
      <c r="BG151" s="52">
        <v>3.905558974358999E-2</v>
      </c>
      <c r="BH151" s="52">
        <v>1.5102379487179627E-2</v>
      </c>
      <c r="BI151" s="52">
        <v>5.7537748717948908E-2</v>
      </c>
      <c r="BJ151" s="52">
        <v>0.10075377948717991</v>
      </c>
      <c r="BK151" s="52">
        <v>4.3406133333333118E-2</v>
      </c>
      <c r="BL151" s="52">
        <v>-3.5192510101011857E-3</v>
      </c>
      <c r="BM151" s="52">
        <v>-2.3376404292929406E-2</v>
      </c>
      <c r="BN151" s="52">
        <v>2.1557756060606108E-2</v>
      </c>
      <c r="BO151" s="52">
        <v>5.5487813888888043E-2</v>
      </c>
      <c r="BP151" s="52">
        <v>7.8138494949493032E-3</v>
      </c>
    </row>
    <row r="152" spans="2:68">
      <c r="B152" t="s">
        <v>655</v>
      </c>
      <c r="C152" t="s">
        <v>656</v>
      </c>
      <c r="D152" t="s">
        <v>58</v>
      </c>
      <c r="E152">
        <v>10</v>
      </c>
      <c r="F152" t="s">
        <v>657</v>
      </c>
      <c r="G152" t="s">
        <v>179</v>
      </c>
      <c r="H152" t="s">
        <v>655</v>
      </c>
      <c r="I152" s="52">
        <v>0</v>
      </c>
      <c r="J152" s="52">
        <v>0</v>
      </c>
      <c r="K152" s="52">
        <v>0</v>
      </c>
      <c r="L152" s="52">
        <v>0</v>
      </c>
      <c r="M152" s="52">
        <v>0</v>
      </c>
      <c r="N152" s="52">
        <v>0</v>
      </c>
      <c r="O152" s="52">
        <v>0</v>
      </c>
      <c r="P152" s="52">
        <v>0</v>
      </c>
      <c r="Q152" s="52">
        <v>0</v>
      </c>
      <c r="R152" s="52">
        <v>0</v>
      </c>
      <c r="S152" s="52">
        <v>0</v>
      </c>
      <c r="T152" s="52">
        <v>0</v>
      </c>
      <c r="U152" s="52">
        <v>0</v>
      </c>
      <c r="V152" s="52">
        <v>0</v>
      </c>
      <c r="W152" s="52">
        <v>0</v>
      </c>
      <c r="X152" s="52">
        <v>0</v>
      </c>
      <c r="Y152" s="52">
        <v>0</v>
      </c>
      <c r="Z152" s="52">
        <v>0</v>
      </c>
      <c r="AA152" s="52">
        <v>0</v>
      </c>
      <c r="AB152" s="52">
        <v>0</v>
      </c>
      <c r="AC152" s="52">
        <v>0</v>
      </c>
      <c r="AD152" s="52">
        <v>0</v>
      </c>
      <c r="AE152" s="52">
        <v>0</v>
      </c>
      <c r="AF152" s="52">
        <v>0</v>
      </c>
      <c r="AG152" s="52">
        <v>0</v>
      </c>
      <c r="AH152" s="52">
        <v>0</v>
      </c>
      <c r="AI152" s="52">
        <v>0</v>
      </c>
      <c r="AJ152" s="52">
        <v>0</v>
      </c>
      <c r="AK152" s="52">
        <v>0</v>
      </c>
      <c r="AL152" s="52">
        <v>0</v>
      </c>
      <c r="AM152" s="52">
        <v>0</v>
      </c>
      <c r="AN152" s="52">
        <v>0</v>
      </c>
      <c r="AO152" s="52">
        <v>0</v>
      </c>
      <c r="AP152" s="52">
        <v>0</v>
      </c>
      <c r="AQ152" s="52">
        <v>0</v>
      </c>
      <c r="AR152" s="52">
        <v>0</v>
      </c>
      <c r="AS152" s="52">
        <v>0</v>
      </c>
      <c r="AT152" s="52">
        <v>0</v>
      </c>
      <c r="AU152" s="52">
        <v>0</v>
      </c>
      <c r="AV152" s="52">
        <v>0</v>
      </c>
      <c r="AW152" s="52">
        <v>0</v>
      </c>
      <c r="AX152" s="52">
        <v>0</v>
      </c>
      <c r="AY152" s="52">
        <v>0</v>
      </c>
      <c r="AZ152" s="52">
        <v>0</v>
      </c>
      <c r="BA152" s="52">
        <v>0</v>
      </c>
      <c r="BB152" s="52">
        <v>0</v>
      </c>
      <c r="BC152" s="52">
        <v>0</v>
      </c>
      <c r="BD152" s="52">
        <v>0</v>
      </c>
      <c r="BE152" s="52">
        <v>0</v>
      </c>
      <c r="BF152" s="52">
        <v>0</v>
      </c>
      <c r="BG152" s="52">
        <v>0</v>
      </c>
      <c r="BH152" s="52">
        <v>0</v>
      </c>
      <c r="BI152" s="52">
        <v>0</v>
      </c>
      <c r="BJ152" s="52">
        <v>0</v>
      </c>
      <c r="BK152" s="52">
        <v>0</v>
      </c>
      <c r="BL152" s="52">
        <v>0</v>
      </c>
      <c r="BM152" s="52">
        <v>0</v>
      </c>
      <c r="BN152" s="52">
        <v>0</v>
      </c>
      <c r="BO152" s="52">
        <v>0</v>
      </c>
      <c r="BP152" s="52">
        <v>0</v>
      </c>
    </row>
    <row r="153" spans="2:68">
      <c r="B153" t="s">
        <v>659</v>
      </c>
      <c r="C153" t="s">
        <v>660</v>
      </c>
      <c r="D153" t="s">
        <v>58</v>
      </c>
      <c r="E153">
        <v>11</v>
      </c>
      <c r="F153" t="s">
        <v>657</v>
      </c>
      <c r="G153" t="s">
        <v>661</v>
      </c>
      <c r="H153" t="s">
        <v>659</v>
      </c>
      <c r="I153" s="52">
        <v>0</v>
      </c>
      <c r="J153" s="52">
        <v>0</v>
      </c>
      <c r="K153" s="52">
        <v>0</v>
      </c>
      <c r="L153" s="52">
        <v>0</v>
      </c>
      <c r="M153" s="52">
        <v>0</v>
      </c>
      <c r="N153" s="52">
        <v>0</v>
      </c>
      <c r="O153" s="52">
        <v>0</v>
      </c>
      <c r="P153" s="52">
        <v>0</v>
      </c>
      <c r="Q153" s="52">
        <v>0</v>
      </c>
      <c r="R153" s="52">
        <v>0</v>
      </c>
      <c r="S153" s="52">
        <v>0</v>
      </c>
      <c r="T153" s="52">
        <v>0</v>
      </c>
      <c r="U153" s="52">
        <v>0</v>
      </c>
      <c r="V153" s="52">
        <v>0</v>
      </c>
      <c r="W153" s="52">
        <v>0</v>
      </c>
      <c r="X153" s="52">
        <v>0</v>
      </c>
      <c r="Y153" s="52">
        <v>0</v>
      </c>
      <c r="Z153" s="52">
        <v>0</v>
      </c>
      <c r="AA153" s="52">
        <v>0</v>
      </c>
      <c r="AB153" s="52">
        <v>0</v>
      </c>
      <c r="AC153" s="52">
        <v>0</v>
      </c>
      <c r="AD153" s="52">
        <v>0</v>
      </c>
      <c r="AE153" s="52">
        <v>0</v>
      </c>
      <c r="AF153" s="52">
        <v>0</v>
      </c>
      <c r="AG153" s="52">
        <v>0</v>
      </c>
      <c r="AH153" s="52">
        <v>0</v>
      </c>
      <c r="AI153" s="52">
        <v>0</v>
      </c>
      <c r="AJ153" s="52">
        <v>0</v>
      </c>
      <c r="AK153" s="52">
        <v>0</v>
      </c>
      <c r="AL153" s="52">
        <v>0</v>
      </c>
      <c r="AM153" s="52">
        <v>0</v>
      </c>
      <c r="AN153" s="52">
        <v>0</v>
      </c>
      <c r="AO153" s="52">
        <v>0</v>
      </c>
      <c r="AP153" s="52">
        <v>0</v>
      </c>
      <c r="AQ153" s="52">
        <v>0</v>
      </c>
      <c r="AR153" s="52">
        <v>0</v>
      </c>
      <c r="AS153" s="52">
        <v>0</v>
      </c>
      <c r="AT153" s="52">
        <v>0</v>
      </c>
      <c r="AU153" s="52">
        <v>0</v>
      </c>
      <c r="AV153" s="52">
        <v>0</v>
      </c>
      <c r="AW153" s="52">
        <v>0</v>
      </c>
      <c r="AX153" s="52">
        <v>0</v>
      </c>
      <c r="AY153" s="52">
        <v>0</v>
      </c>
      <c r="AZ153" s="52">
        <v>0</v>
      </c>
      <c r="BA153" s="52">
        <v>0</v>
      </c>
      <c r="BB153" s="52">
        <v>0</v>
      </c>
      <c r="BC153" s="52">
        <v>0</v>
      </c>
      <c r="BD153" s="52">
        <v>0</v>
      </c>
      <c r="BE153" s="52">
        <v>0</v>
      </c>
      <c r="BF153" s="52">
        <v>0</v>
      </c>
      <c r="BG153" s="52">
        <v>0</v>
      </c>
      <c r="BH153" s="52">
        <v>0</v>
      </c>
      <c r="BI153" s="52">
        <v>0</v>
      </c>
      <c r="BJ153" s="52">
        <v>0</v>
      </c>
      <c r="BK153" s="52">
        <v>0</v>
      </c>
      <c r="BL153" s="52">
        <v>0</v>
      </c>
      <c r="BM153" s="52">
        <v>0</v>
      </c>
      <c r="BN153" s="52">
        <v>0</v>
      </c>
      <c r="BO153" s="52">
        <v>0</v>
      </c>
      <c r="BP153" s="52">
        <v>0</v>
      </c>
    </row>
    <row r="154" spans="2:68">
      <c r="B154" t="s">
        <v>663</v>
      </c>
      <c r="C154" t="s">
        <v>664</v>
      </c>
      <c r="D154" t="s">
        <v>58</v>
      </c>
      <c r="E154">
        <v>12</v>
      </c>
      <c r="F154" t="s">
        <v>179</v>
      </c>
      <c r="G154" t="s">
        <v>661</v>
      </c>
      <c r="H154" t="s">
        <v>663</v>
      </c>
      <c r="I154" s="52">
        <v>0</v>
      </c>
      <c r="J154" s="52">
        <v>0</v>
      </c>
      <c r="K154" s="52">
        <v>0</v>
      </c>
      <c r="L154" s="52">
        <v>0</v>
      </c>
      <c r="M154" s="52">
        <v>0</v>
      </c>
      <c r="N154" s="52">
        <v>0</v>
      </c>
      <c r="O154" s="52">
        <v>0</v>
      </c>
      <c r="P154" s="52">
        <v>0</v>
      </c>
      <c r="Q154" s="52">
        <v>0</v>
      </c>
      <c r="R154" s="52">
        <v>0</v>
      </c>
      <c r="S154" s="52">
        <v>0</v>
      </c>
      <c r="T154" s="52">
        <v>0</v>
      </c>
      <c r="U154" s="52">
        <v>0</v>
      </c>
      <c r="V154" s="52">
        <v>0</v>
      </c>
      <c r="W154" s="52">
        <v>0</v>
      </c>
      <c r="X154" s="52">
        <v>0</v>
      </c>
      <c r="Y154" s="52">
        <v>0</v>
      </c>
      <c r="Z154" s="52">
        <v>0</v>
      </c>
      <c r="AA154" s="52">
        <v>0</v>
      </c>
      <c r="AB154" s="52">
        <v>0</v>
      </c>
      <c r="AC154" s="52">
        <v>0</v>
      </c>
      <c r="AD154" s="52">
        <v>0</v>
      </c>
      <c r="AE154" s="52">
        <v>0</v>
      </c>
      <c r="AF154" s="52">
        <v>0</v>
      </c>
      <c r="AG154" s="52">
        <v>0</v>
      </c>
      <c r="AH154" s="52">
        <v>0</v>
      </c>
      <c r="AI154" s="52">
        <v>0</v>
      </c>
      <c r="AJ154" s="52">
        <v>0</v>
      </c>
      <c r="AK154" s="52">
        <v>0</v>
      </c>
      <c r="AL154" s="52">
        <v>0</v>
      </c>
      <c r="AM154" s="52">
        <v>0</v>
      </c>
      <c r="AN154" s="52">
        <v>0</v>
      </c>
      <c r="AO154" s="52">
        <v>0</v>
      </c>
      <c r="AP154" s="52">
        <v>0</v>
      </c>
      <c r="AQ154" s="52">
        <v>0</v>
      </c>
      <c r="AR154" s="52">
        <v>0</v>
      </c>
      <c r="AS154" s="52">
        <v>0</v>
      </c>
      <c r="AT154" s="52">
        <v>0</v>
      </c>
      <c r="AU154" s="52">
        <v>0</v>
      </c>
      <c r="AV154" s="52">
        <v>0</v>
      </c>
      <c r="AW154" s="52">
        <v>0</v>
      </c>
      <c r="AX154" s="52">
        <v>0</v>
      </c>
      <c r="AY154" s="52">
        <v>0</v>
      </c>
      <c r="AZ154" s="52">
        <v>0</v>
      </c>
      <c r="BA154" s="52">
        <v>0</v>
      </c>
      <c r="BB154" s="52">
        <v>0</v>
      </c>
      <c r="BC154" s="52">
        <v>0</v>
      </c>
      <c r="BD154" s="52">
        <v>0</v>
      </c>
      <c r="BE154" s="52">
        <v>0</v>
      </c>
      <c r="BF154" s="52">
        <v>0</v>
      </c>
      <c r="BG154" s="52">
        <v>0</v>
      </c>
      <c r="BH154" s="52">
        <v>0</v>
      </c>
      <c r="BI154" s="52">
        <v>0</v>
      </c>
      <c r="BJ154" s="52">
        <v>0</v>
      </c>
      <c r="BK154" s="52">
        <v>0</v>
      </c>
      <c r="BL154" s="52">
        <v>0</v>
      </c>
      <c r="BM154" s="52">
        <v>0</v>
      </c>
      <c r="BN154" s="52">
        <v>0</v>
      </c>
      <c r="BO154" s="52">
        <v>0</v>
      </c>
      <c r="BP154" s="52">
        <v>0</v>
      </c>
    </row>
    <row r="155" spans="2:68">
      <c r="B155" t="s">
        <v>666</v>
      </c>
      <c r="C155" t="s">
        <v>667</v>
      </c>
      <c r="D155" t="s">
        <v>541</v>
      </c>
      <c r="E155">
        <v>10</v>
      </c>
      <c r="F155" t="s">
        <v>668</v>
      </c>
      <c r="G155" t="s">
        <v>669</v>
      </c>
      <c r="H155" t="s">
        <v>666</v>
      </c>
      <c r="I155" s="52">
        <v>0</v>
      </c>
      <c r="J155" s="52">
        <v>336.96818599999915</v>
      </c>
      <c r="K155" s="52">
        <v>161.30588235294181</v>
      </c>
      <c r="L155" s="52">
        <v>0</v>
      </c>
      <c r="M155" s="52">
        <v>368.53079700000035</v>
      </c>
      <c r="N155" s="52">
        <v>166.21764705882333</v>
      </c>
      <c r="O155" s="52">
        <v>0</v>
      </c>
      <c r="P155" s="52">
        <v>578.5160649999998</v>
      </c>
      <c r="Q155" s="52">
        <v>255.07647058823477</v>
      </c>
      <c r="R155" s="52">
        <v>0</v>
      </c>
      <c r="S155" s="52">
        <v>446.94870699999956</v>
      </c>
      <c r="T155" s="52">
        <v>229.07058823529405</v>
      </c>
      <c r="U155" s="52">
        <v>0</v>
      </c>
      <c r="V155" s="52">
        <v>652.69113499999912</v>
      </c>
      <c r="W155" s="52">
        <v>275.41176470588198</v>
      </c>
      <c r="X155" s="52">
        <v>0</v>
      </c>
      <c r="Y155" s="52">
        <v>-4598.3255669999999</v>
      </c>
      <c r="Z155" s="52">
        <v>337.02352941176514</v>
      </c>
      <c r="AA155" s="52">
        <v>0</v>
      </c>
      <c r="AB155" s="52">
        <v>-5018.3332879999998</v>
      </c>
      <c r="AC155" s="52">
        <v>352.98235294117603</v>
      </c>
      <c r="AD155" s="52">
        <v>0</v>
      </c>
      <c r="AE155" s="52">
        <v>-9535.5001520000005</v>
      </c>
      <c r="AF155" s="52">
        <v>941.02352941176468</v>
      </c>
      <c r="AG155" s="52">
        <v>0</v>
      </c>
      <c r="AH155" s="52">
        <v>-6745.1643119999999</v>
      </c>
      <c r="AI155" s="52">
        <v>643.52352941176468</v>
      </c>
      <c r="AJ155" s="52">
        <v>0</v>
      </c>
      <c r="AK155" s="52">
        <v>-11944.385966</v>
      </c>
      <c r="AL155" s="52">
        <v>1317.8058823529409</v>
      </c>
      <c r="AM155" s="52">
        <v>0</v>
      </c>
      <c r="AN155" s="52">
        <v>1052.4374429999989</v>
      </c>
      <c r="AO155" s="52">
        <v>1451.0823529411791</v>
      </c>
      <c r="AP155" s="52">
        <v>0</v>
      </c>
      <c r="AQ155" s="52">
        <v>1198.2619590000031</v>
      </c>
      <c r="AR155" s="52">
        <v>1563.3647058823553</v>
      </c>
      <c r="AS155" s="52">
        <v>0</v>
      </c>
      <c r="AT155" s="52">
        <v>2434.4303249999939</v>
      </c>
      <c r="AU155" s="52">
        <v>5491</v>
      </c>
      <c r="AV155" s="52">
        <v>0</v>
      </c>
      <c r="AW155" s="52">
        <v>1734.8969819999984</v>
      </c>
      <c r="AX155" s="52">
        <v>3587.4647058823466</v>
      </c>
      <c r="AY155" s="52">
        <v>0</v>
      </c>
      <c r="AZ155" s="52">
        <v>2858.6344280000048</v>
      </c>
      <c r="BA155" s="52">
        <v>8558.0823529411573</v>
      </c>
      <c r="BB155" s="52">
        <v>97.724575999999956</v>
      </c>
      <c r="BC155" s="52">
        <v>49.533252000000005</v>
      </c>
      <c r="BD155" s="52">
        <v>108.37213399999996</v>
      </c>
      <c r="BE155" s="52">
        <v>194.46095700000001</v>
      </c>
      <c r="BF155" s="52">
        <v>76.755137000000047</v>
      </c>
      <c r="BG155" s="52">
        <v>62.394310000000019</v>
      </c>
      <c r="BH155" s="52">
        <v>32.116931000000022</v>
      </c>
      <c r="BI155" s="52">
        <v>67.568430000000035</v>
      </c>
      <c r="BJ155" s="52">
        <v>119.12942799999996</v>
      </c>
      <c r="BK155" s="52">
        <v>46.987952000000007</v>
      </c>
      <c r="BL155" s="52">
        <v>439.62086799999997</v>
      </c>
      <c r="BM155" s="52">
        <v>206.14320599999883</v>
      </c>
      <c r="BN155" s="52">
        <v>522.81592699999965</v>
      </c>
      <c r="BO155" s="52">
        <v>1097.9505619999982</v>
      </c>
      <c r="BP155" s="52">
        <v>362.14361800000006</v>
      </c>
    </row>
    <row r="156" spans="2:68">
      <c r="B156" t="s">
        <v>671</v>
      </c>
      <c r="C156" t="s">
        <v>672</v>
      </c>
      <c r="D156" t="s">
        <v>542</v>
      </c>
      <c r="E156">
        <v>10</v>
      </c>
      <c r="F156" t="s">
        <v>527</v>
      </c>
      <c r="G156" t="s">
        <v>673</v>
      </c>
      <c r="H156" t="s">
        <v>671</v>
      </c>
      <c r="I156" s="52">
        <v>0</v>
      </c>
      <c r="J156" s="52">
        <v>144.77203599999939</v>
      </c>
      <c r="K156" s="52">
        <v>183.75294117647127</v>
      </c>
      <c r="L156" s="52">
        <v>0</v>
      </c>
      <c r="M156" s="52">
        <v>158.14188300000023</v>
      </c>
      <c r="N156" s="52">
        <v>193.7235294117645</v>
      </c>
      <c r="O156" s="52">
        <v>0</v>
      </c>
      <c r="P156" s="52">
        <v>291.45680200000061</v>
      </c>
      <c r="Q156" s="52">
        <v>468.26470588235316</v>
      </c>
      <c r="R156" s="52">
        <v>0</v>
      </c>
      <c r="S156" s="52">
        <v>212.8300449999997</v>
      </c>
      <c r="T156" s="52">
        <v>359.44117647058829</v>
      </c>
      <c r="U156" s="52">
        <v>0</v>
      </c>
      <c r="V156" s="52">
        <v>357.0504949999995</v>
      </c>
      <c r="W156" s="52">
        <v>648.31176470588252</v>
      </c>
      <c r="X156" s="52">
        <v>0</v>
      </c>
      <c r="Y156" s="52">
        <v>22.414585000000443</v>
      </c>
      <c r="Z156" s="52">
        <v>296.84117647058838</v>
      </c>
      <c r="AA156" s="52">
        <v>0</v>
      </c>
      <c r="AB156" s="52">
        <v>25.082193000000188</v>
      </c>
      <c r="AC156" s="52">
        <v>324.38823529411729</v>
      </c>
      <c r="AD156" s="52">
        <v>0</v>
      </c>
      <c r="AE156" s="52">
        <v>43.871869999999035</v>
      </c>
      <c r="AF156" s="52">
        <v>818.12941176470667</v>
      </c>
      <c r="AG156" s="52">
        <v>0</v>
      </c>
      <c r="AH156" s="52">
        <v>30.911607000000004</v>
      </c>
      <c r="AI156" s="52">
        <v>574.09411764705874</v>
      </c>
      <c r="AJ156" s="52">
        <v>0</v>
      </c>
      <c r="AK156" s="52">
        <v>50.822645000000193</v>
      </c>
      <c r="AL156" s="52">
        <v>1080.2705882352948</v>
      </c>
      <c r="AM156" s="52">
        <v>0</v>
      </c>
      <c r="AN156" s="52">
        <v>41.225390999999945</v>
      </c>
      <c r="AO156" s="52">
        <v>4.4764705882334965</v>
      </c>
      <c r="AP156" s="52">
        <v>0</v>
      </c>
      <c r="AQ156" s="52">
        <v>48.96473700000206</v>
      </c>
      <c r="AR156" s="52">
        <v>5</v>
      </c>
      <c r="AS156" s="52">
        <v>0</v>
      </c>
      <c r="AT156" s="52">
        <v>74.811520999995992</v>
      </c>
      <c r="AU156" s="52">
        <v>11.470588235300966</v>
      </c>
      <c r="AV156" s="52">
        <v>0</v>
      </c>
      <c r="AW156" s="52">
        <v>54.206985999997414</v>
      </c>
      <c r="AX156" s="52">
        <v>8</v>
      </c>
      <c r="AY156" s="52">
        <v>0</v>
      </c>
      <c r="AZ156" s="52">
        <v>70.932862000001478</v>
      </c>
      <c r="BA156" s="52">
        <v>13</v>
      </c>
      <c r="BB156" s="52">
        <v>28.766264999999976</v>
      </c>
      <c r="BC156" s="52">
        <v>14.153397999999981</v>
      </c>
      <c r="BD156" s="52">
        <v>36.444773999999938</v>
      </c>
      <c r="BE156" s="52">
        <v>70.839453000000049</v>
      </c>
      <c r="BF156" s="52">
        <v>25.291819999999973</v>
      </c>
      <c r="BG156" s="52">
        <v>88.673136999999997</v>
      </c>
      <c r="BH156" s="52">
        <v>46.472314999999981</v>
      </c>
      <c r="BI156" s="52">
        <v>103.94849899999997</v>
      </c>
      <c r="BJ156" s="52">
        <v>183.45734900000002</v>
      </c>
      <c r="BK156" s="52">
        <v>76.206913999999927</v>
      </c>
      <c r="BL156" s="52">
        <v>6.1189530000010564</v>
      </c>
      <c r="BM156" s="52">
        <v>3.2990269999991142</v>
      </c>
      <c r="BN156" s="52">
        <v>7.3311260000009497</v>
      </c>
      <c r="BO156" s="52">
        <v>13.93064499999673</v>
      </c>
      <c r="BP156" s="52">
        <v>5.549630999999863</v>
      </c>
    </row>
    <row r="157" spans="2:68">
      <c r="B157" t="s">
        <v>675</v>
      </c>
      <c r="C157" t="s">
        <v>676</v>
      </c>
      <c r="D157" t="s">
        <v>542</v>
      </c>
      <c r="E157">
        <v>11</v>
      </c>
      <c r="F157" t="s">
        <v>527</v>
      </c>
      <c r="G157" t="s">
        <v>528</v>
      </c>
      <c r="H157" t="s">
        <v>675</v>
      </c>
      <c r="I157" s="52">
        <v>0</v>
      </c>
      <c r="J157" s="52">
        <v>203.63635299999987</v>
      </c>
      <c r="K157" s="52">
        <v>256.49411764705883</v>
      </c>
      <c r="L157" s="52">
        <v>0</v>
      </c>
      <c r="M157" s="52">
        <v>222.43412200000057</v>
      </c>
      <c r="N157" s="52">
        <v>272.09411764705874</v>
      </c>
      <c r="O157" s="52">
        <v>0</v>
      </c>
      <c r="P157" s="52">
        <v>411.42399000000114</v>
      </c>
      <c r="Q157" s="52">
        <v>663.40588235294126</v>
      </c>
      <c r="R157" s="52">
        <v>0</v>
      </c>
      <c r="S157" s="52">
        <v>300.09646100000009</v>
      </c>
      <c r="T157" s="52">
        <v>507.94117647058829</v>
      </c>
      <c r="U157" s="52">
        <v>0</v>
      </c>
      <c r="V157" s="52">
        <v>504.74117300000034</v>
      </c>
      <c r="W157" s="52">
        <v>926.48235294117694</v>
      </c>
      <c r="X157" s="52">
        <v>0</v>
      </c>
      <c r="Y157" s="52">
        <v>31.869279000000461</v>
      </c>
      <c r="Z157" s="52">
        <v>413.81176470588252</v>
      </c>
      <c r="AA157" s="52">
        <v>0</v>
      </c>
      <c r="AB157" s="52">
        <v>35.656565999999657</v>
      </c>
      <c r="AC157" s="52">
        <v>452.1823529411763</v>
      </c>
      <c r="AD157" s="52">
        <v>0</v>
      </c>
      <c r="AE157" s="52">
        <v>62.430548999998791</v>
      </c>
      <c r="AF157" s="52">
        <v>1135.517647058824</v>
      </c>
      <c r="AG157" s="52">
        <v>0</v>
      </c>
      <c r="AH157" s="52">
        <v>43.993019999999888</v>
      </c>
      <c r="AI157" s="52">
        <v>800.5294117647054</v>
      </c>
      <c r="AJ157" s="52">
        <v>0</v>
      </c>
      <c r="AK157" s="52">
        <v>72.38066599999911</v>
      </c>
      <c r="AL157" s="52">
        <v>1504.6647058823528</v>
      </c>
      <c r="AM157" s="52">
        <v>0</v>
      </c>
      <c r="AN157" s="52">
        <v>55.21021699999983</v>
      </c>
      <c r="AO157" s="52">
        <v>6</v>
      </c>
      <c r="AP157" s="52">
        <v>0</v>
      </c>
      <c r="AQ157" s="52">
        <v>65.571088999997301</v>
      </c>
      <c r="AR157" s="52">
        <v>6.4705882352936896</v>
      </c>
      <c r="AS157" s="52">
        <v>0</v>
      </c>
      <c r="AT157" s="52">
        <v>100.20811799999501</v>
      </c>
      <c r="AU157" s="52">
        <v>15.470588235300966</v>
      </c>
      <c r="AV157" s="52">
        <v>0</v>
      </c>
      <c r="AW157" s="52">
        <v>72.60460599999351</v>
      </c>
      <c r="AX157" s="52">
        <v>11.000000000003638</v>
      </c>
      <c r="AY157" s="52">
        <v>0</v>
      </c>
      <c r="AZ157" s="52">
        <v>95.013693999993848</v>
      </c>
      <c r="BA157" s="52">
        <v>17</v>
      </c>
      <c r="BB157" s="52">
        <v>40.366405999999984</v>
      </c>
      <c r="BC157" s="52">
        <v>19.855965000000026</v>
      </c>
      <c r="BD157" s="52">
        <v>51.026817999999935</v>
      </c>
      <c r="BE157" s="52">
        <v>99.050208999999995</v>
      </c>
      <c r="BF157" s="52">
        <v>35.436827999999991</v>
      </c>
      <c r="BG157" s="52">
        <v>123.81918499999995</v>
      </c>
      <c r="BH157" s="52">
        <v>64.598974999999996</v>
      </c>
      <c r="BI157" s="52">
        <v>144.285259</v>
      </c>
      <c r="BJ157" s="52">
        <v>259.14257700000007</v>
      </c>
      <c r="BK157" s="52">
        <v>105.33506699999992</v>
      </c>
      <c r="BL157" s="52">
        <v>8.1859030000014172</v>
      </c>
      <c r="BM157" s="52">
        <v>4.41324799999893</v>
      </c>
      <c r="BN157" s="52">
        <v>9.8047500000011496</v>
      </c>
      <c r="BO157" s="52">
        <v>18.631311999997706</v>
      </c>
      <c r="BP157" s="52">
        <v>7.4229369999993651</v>
      </c>
    </row>
    <row r="158" spans="2:68">
      <c r="B158" t="s">
        <v>678</v>
      </c>
      <c r="C158" t="s">
        <v>679</v>
      </c>
      <c r="D158" t="s">
        <v>542</v>
      </c>
      <c r="E158">
        <v>12</v>
      </c>
      <c r="F158" t="s">
        <v>673</v>
      </c>
      <c r="G158" t="s">
        <v>528</v>
      </c>
      <c r="H158" t="s">
        <v>678</v>
      </c>
      <c r="I158" s="52">
        <v>0</v>
      </c>
      <c r="J158" s="52">
        <v>58.864317000000483</v>
      </c>
      <c r="K158" s="52">
        <v>72.741176470587561</v>
      </c>
      <c r="L158" s="52">
        <v>0</v>
      </c>
      <c r="M158" s="52">
        <v>64.292239000000336</v>
      </c>
      <c r="N158" s="52">
        <v>78.370588235294235</v>
      </c>
      <c r="O158" s="52">
        <v>0</v>
      </c>
      <c r="P158" s="52">
        <v>119.96718800000053</v>
      </c>
      <c r="Q158" s="52">
        <v>195.14117647058811</v>
      </c>
      <c r="R158" s="52">
        <v>0</v>
      </c>
      <c r="S158" s="52">
        <v>87.26641600000039</v>
      </c>
      <c r="T158" s="52">
        <v>148.5</v>
      </c>
      <c r="U158" s="52">
        <v>0</v>
      </c>
      <c r="V158" s="52">
        <v>147.69067800000084</v>
      </c>
      <c r="W158" s="52">
        <v>278.17058823529442</v>
      </c>
      <c r="X158" s="52">
        <v>0</v>
      </c>
      <c r="Y158" s="52">
        <v>9.4546940000000177</v>
      </c>
      <c r="Z158" s="52">
        <v>116.97058823529414</v>
      </c>
      <c r="AA158" s="52">
        <v>0</v>
      </c>
      <c r="AB158" s="52">
        <v>10.574372999999468</v>
      </c>
      <c r="AC158" s="52">
        <v>127.79411764705901</v>
      </c>
      <c r="AD158" s="52">
        <v>0</v>
      </c>
      <c r="AE158" s="52">
        <v>18.558678999999756</v>
      </c>
      <c r="AF158" s="52">
        <v>317.38823529411729</v>
      </c>
      <c r="AG158" s="52">
        <v>0</v>
      </c>
      <c r="AH158" s="52">
        <v>13.081412999999884</v>
      </c>
      <c r="AI158" s="52">
        <v>226.43529411764666</v>
      </c>
      <c r="AJ158" s="52">
        <v>0</v>
      </c>
      <c r="AK158" s="52">
        <v>21.558020999998917</v>
      </c>
      <c r="AL158" s="52">
        <v>424.39411764705801</v>
      </c>
      <c r="AM158" s="52">
        <v>0</v>
      </c>
      <c r="AN158" s="52">
        <v>13.984825999999885</v>
      </c>
      <c r="AO158" s="52">
        <v>1.5235294117665035</v>
      </c>
      <c r="AP158" s="52">
        <v>0</v>
      </c>
      <c r="AQ158" s="52">
        <v>16.60635199999524</v>
      </c>
      <c r="AR158" s="52">
        <v>1.4705882352936896</v>
      </c>
      <c r="AS158" s="52">
        <v>0</v>
      </c>
      <c r="AT158" s="52">
        <v>25.396596999999019</v>
      </c>
      <c r="AU158" s="52">
        <v>4</v>
      </c>
      <c r="AV158" s="52">
        <v>0</v>
      </c>
      <c r="AW158" s="52">
        <v>18.397619999996095</v>
      </c>
      <c r="AX158" s="52">
        <v>3.000000000003638</v>
      </c>
      <c r="AY158" s="52">
        <v>0</v>
      </c>
      <c r="AZ158" s="52">
        <v>24.08083199999237</v>
      </c>
      <c r="BA158" s="52">
        <v>4</v>
      </c>
      <c r="BB158" s="52">
        <v>11.600141000000008</v>
      </c>
      <c r="BC158" s="52">
        <v>5.7025670000000446</v>
      </c>
      <c r="BD158" s="52">
        <v>14.582043999999996</v>
      </c>
      <c r="BE158" s="52">
        <v>28.210755999999947</v>
      </c>
      <c r="BF158" s="52">
        <v>10.145008000000018</v>
      </c>
      <c r="BG158" s="52">
        <v>35.146047999999951</v>
      </c>
      <c r="BH158" s="52">
        <v>18.126660000000015</v>
      </c>
      <c r="BI158" s="52">
        <v>40.336760000000027</v>
      </c>
      <c r="BJ158" s="52">
        <v>75.685228000000052</v>
      </c>
      <c r="BK158" s="52">
        <v>29.128152999999998</v>
      </c>
      <c r="BL158" s="52">
        <v>2.0669500000003609</v>
      </c>
      <c r="BM158" s="52">
        <v>1.1142209999998158</v>
      </c>
      <c r="BN158" s="52">
        <v>2.4736240000001999</v>
      </c>
      <c r="BO158" s="52">
        <v>4.7006670000009763</v>
      </c>
      <c r="BP158" s="52">
        <v>1.8733059999995021</v>
      </c>
    </row>
    <row r="159" spans="2:68">
      <c r="B159" t="s">
        <v>681</v>
      </c>
      <c r="C159" t="s">
        <v>682</v>
      </c>
      <c r="D159" t="s">
        <v>543</v>
      </c>
      <c r="E159">
        <v>10</v>
      </c>
      <c r="F159" t="s">
        <v>683</v>
      </c>
      <c r="G159" t="s">
        <v>684</v>
      </c>
      <c r="H159" t="s">
        <v>681</v>
      </c>
      <c r="I159" s="52">
        <v>0</v>
      </c>
      <c r="J159" s="52">
        <v>0</v>
      </c>
      <c r="K159" s="52">
        <v>195.62211611917428</v>
      </c>
      <c r="L159" s="52">
        <v>0</v>
      </c>
      <c r="M159" s="52">
        <v>0</v>
      </c>
      <c r="N159" s="52">
        <v>213.16008403361366</v>
      </c>
      <c r="O159" s="52">
        <v>0</v>
      </c>
      <c r="P159" s="52">
        <v>0</v>
      </c>
      <c r="Q159" s="52">
        <v>249.25737203972494</v>
      </c>
      <c r="R159" s="52">
        <v>0</v>
      </c>
      <c r="S159" s="52">
        <v>0</v>
      </c>
      <c r="T159" s="52">
        <v>195.85106951871694</v>
      </c>
      <c r="U159" s="52">
        <v>0</v>
      </c>
      <c r="V159" s="52">
        <v>0</v>
      </c>
      <c r="W159" s="52">
        <v>252.93025210083943</v>
      </c>
      <c r="X159" s="52">
        <v>0</v>
      </c>
      <c r="Y159" s="52">
        <v>0</v>
      </c>
      <c r="Z159" s="52">
        <v>193.03040488922807</v>
      </c>
      <c r="AA159" s="52">
        <v>0</v>
      </c>
      <c r="AB159" s="52">
        <v>0</v>
      </c>
      <c r="AC159" s="52">
        <v>211.27001527883886</v>
      </c>
      <c r="AD159" s="52">
        <v>0</v>
      </c>
      <c r="AE159" s="52">
        <v>0</v>
      </c>
      <c r="AF159" s="52">
        <v>222.01260504201491</v>
      </c>
      <c r="AG159" s="52">
        <v>0</v>
      </c>
      <c r="AH159" s="52">
        <v>0</v>
      </c>
      <c r="AI159" s="52">
        <v>180.50466004583723</v>
      </c>
      <c r="AJ159" s="52">
        <v>0</v>
      </c>
      <c r="AK159" s="52">
        <v>0</v>
      </c>
      <c r="AL159" s="52">
        <v>213.80534759358306</v>
      </c>
      <c r="AM159" s="52">
        <v>0</v>
      </c>
      <c r="AN159" s="52">
        <v>0</v>
      </c>
      <c r="AO159" s="52">
        <v>2056.2181054239882</v>
      </c>
      <c r="AP159" s="52">
        <v>0</v>
      </c>
      <c r="AQ159" s="52">
        <v>0</v>
      </c>
      <c r="AR159" s="52">
        <v>2234.5284568372808</v>
      </c>
      <c r="AS159" s="52">
        <v>0</v>
      </c>
      <c r="AT159" s="52">
        <v>0</v>
      </c>
      <c r="AU159" s="52">
        <v>3632.5230710465985</v>
      </c>
      <c r="AV159" s="52">
        <v>0</v>
      </c>
      <c r="AW159" s="52">
        <v>0</v>
      </c>
      <c r="AX159" s="52">
        <v>2525.2088617265035</v>
      </c>
      <c r="AY159" s="52">
        <v>0</v>
      </c>
      <c r="AZ159" s="52">
        <v>0</v>
      </c>
      <c r="BA159" s="52">
        <v>4074.0951107715809</v>
      </c>
      <c r="BB159" s="52">
        <v>0</v>
      </c>
      <c r="BC159" s="52">
        <v>0</v>
      </c>
      <c r="BD159" s="52">
        <v>0</v>
      </c>
      <c r="BE159" s="52">
        <v>0</v>
      </c>
      <c r="BF159" s="52">
        <v>0</v>
      </c>
      <c r="BG159" s="52">
        <v>0</v>
      </c>
      <c r="BH159" s="52">
        <v>0</v>
      </c>
      <c r="BI159" s="52">
        <v>0</v>
      </c>
      <c r="BJ159" s="52">
        <v>0</v>
      </c>
      <c r="BK159" s="52">
        <v>0</v>
      </c>
      <c r="BL159" s="52">
        <v>0</v>
      </c>
      <c r="BM159" s="52">
        <v>0</v>
      </c>
      <c r="BN159" s="52">
        <v>0</v>
      </c>
      <c r="BO159" s="52">
        <v>0</v>
      </c>
      <c r="BP159" s="52">
        <v>0</v>
      </c>
    </row>
    <row r="160" spans="2:68">
      <c r="B160" t="s">
        <v>686</v>
      </c>
      <c r="C160" t="s">
        <v>687</v>
      </c>
      <c r="D160" t="s">
        <v>543</v>
      </c>
      <c r="E160">
        <v>11</v>
      </c>
      <c r="F160" t="s">
        <v>683</v>
      </c>
      <c r="G160" t="s">
        <v>688</v>
      </c>
      <c r="H160" t="s">
        <v>686</v>
      </c>
      <c r="I160" s="52">
        <v>0</v>
      </c>
      <c r="J160" s="52">
        <v>0</v>
      </c>
      <c r="K160" s="52">
        <v>281.31623376623338</v>
      </c>
      <c r="L160" s="52">
        <v>0</v>
      </c>
      <c r="M160" s="52">
        <v>0</v>
      </c>
      <c r="N160" s="52">
        <v>308.00714285714275</v>
      </c>
      <c r="O160" s="52">
        <v>0</v>
      </c>
      <c r="P160" s="52">
        <v>0</v>
      </c>
      <c r="Q160" s="52">
        <v>354.62207792207755</v>
      </c>
      <c r="R160" s="52">
        <v>0</v>
      </c>
      <c r="S160" s="52">
        <v>0</v>
      </c>
      <c r="T160" s="52">
        <v>280.48636363636433</v>
      </c>
      <c r="U160" s="52">
        <v>0</v>
      </c>
      <c r="V160" s="52">
        <v>0</v>
      </c>
      <c r="W160" s="52">
        <v>353.47142857142717</v>
      </c>
      <c r="X160" s="52">
        <v>0</v>
      </c>
      <c r="Y160" s="52">
        <v>0</v>
      </c>
      <c r="Z160" s="52">
        <v>273.14805194805149</v>
      </c>
      <c r="AA160" s="52">
        <v>0</v>
      </c>
      <c r="AB160" s="52">
        <v>0</v>
      </c>
      <c r="AC160" s="52">
        <v>300.58766233766255</v>
      </c>
      <c r="AD160" s="52">
        <v>0</v>
      </c>
      <c r="AE160" s="52">
        <v>0</v>
      </c>
      <c r="AF160" s="52">
        <v>298.67142857142699</v>
      </c>
      <c r="AG160" s="52">
        <v>0</v>
      </c>
      <c r="AH160" s="52">
        <v>0</v>
      </c>
      <c r="AI160" s="52">
        <v>248.78701298701344</v>
      </c>
      <c r="AJ160" s="52">
        <v>0</v>
      </c>
      <c r="AK160" s="52">
        <v>0</v>
      </c>
      <c r="AL160" s="52">
        <v>275.78181818181656</v>
      </c>
      <c r="AM160" s="52">
        <v>0</v>
      </c>
      <c r="AN160" s="52">
        <v>0</v>
      </c>
      <c r="AO160" s="52">
        <v>3051.2298701298678</v>
      </c>
      <c r="AP160" s="52">
        <v>0</v>
      </c>
      <c r="AQ160" s="52">
        <v>0</v>
      </c>
      <c r="AR160" s="52">
        <v>3319.0461038961039</v>
      </c>
      <c r="AS160" s="52">
        <v>0</v>
      </c>
      <c r="AT160" s="52">
        <v>0</v>
      </c>
      <c r="AU160" s="52">
        <v>5482.5701298701315</v>
      </c>
      <c r="AV160" s="52">
        <v>0</v>
      </c>
      <c r="AW160" s="52">
        <v>0</v>
      </c>
      <c r="AX160" s="52">
        <v>3798.2441558441569</v>
      </c>
      <c r="AY160" s="52">
        <v>0</v>
      </c>
      <c r="AZ160" s="52">
        <v>0</v>
      </c>
      <c r="BA160" s="52">
        <v>6153.248051948045</v>
      </c>
      <c r="BB160" s="52">
        <v>72.158553178571424</v>
      </c>
      <c r="BC160" s="52">
        <v>38.4395336428571</v>
      </c>
      <c r="BD160" s="52">
        <v>68.129429607142811</v>
      </c>
      <c r="BE160" s="52">
        <v>111.93628407142842</v>
      </c>
      <c r="BF160" s="52">
        <v>48.934755892857083</v>
      </c>
      <c r="BG160" s="52">
        <v>67.152154928571349</v>
      </c>
      <c r="BH160" s="52">
        <v>34.158424964285643</v>
      </c>
      <c r="BI160" s="52">
        <v>61.498518464285667</v>
      </c>
      <c r="BJ160" s="52">
        <v>108.16045203571412</v>
      </c>
      <c r="BK160" s="52">
        <v>41.781730678571421</v>
      </c>
      <c r="BL160" s="52">
        <v>1574.8656509999983</v>
      </c>
      <c r="BM160" s="52">
        <v>1033.724907428571</v>
      </c>
      <c r="BN160" s="52">
        <v>1390.4081620714278</v>
      </c>
      <c r="BO160" s="52">
        <v>2110.7874161785694</v>
      </c>
      <c r="BP160" s="52">
        <v>1101.4743136071411</v>
      </c>
    </row>
    <row r="161" spans="1:68">
      <c r="B161" t="s">
        <v>690</v>
      </c>
      <c r="C161" t="s">
        <v>691</v>
      </c>
      <c r="D161" t="s">
        <v>543</v>
      </c>
      <c r="E161">
        <v>12</v>
      </c>
      <c r="F161" t="s">
        <v>683</v>
      </c>
      <c r="G161" t="s">
        <v>692</v>
      </c>
      <c r="H161" t="s">
        <v>690</v>
      </c>
      <c r="I161" s="52">
        <v>0</v>
      </c>
      <c r="J161" s="52">
        <v>0</v>
      </c>
      <c r="K161" s="52">
        <v>139.18940449794081</v>
      </c>
      <c r="L161" s="52">
        <v>0</v>
      </c>
      <c r="M161" s="52">
        <v>0</v>
      </c>
      <c r="N161" s="52">
        <v>150.69982578397185</v>
      </c>
      <c r="O161" s="52">
        <v>0</v>
      </c>
      <c r="P161" s="52">
        <v>0</v>
      </c>
      <c r="Q161" s="52">
        <v>179.8708584098822</v>
      </c>
      <c r="R161" s="52">
        <v>0</v>
      </c>
      <c r="S161" s="52">
        <v>0</v>
      </c>
      <c r="T161" s="52">
        <v>140.11563192904669</v>
      </c>
      <c r="U161" s="52">
        <v>0</v>
      </c>
      <c r="V161" s="52">
        <v>0</v>
      </c>
      <c r="W161" s="52">
        <v>186.72020905923091</v>
      </c>
      <c r="X161" s="52">
        <v>0</v>
      </c>
      <c r="Y161" s="52">
        <v>0</v>
      </c>
      <c r="Z161" s="52">
        <v>140.27000316756312</v>
      </c>
      <c r="AA161" s="52">
        <v>0</v>
      </c>
      <c r="AB161" s="52">
        <v>0</v>
      </c>
      <c r="AC161" s="52">
        <v>152.45107697180856</v>
      </c>
      <c r="AD161" s="52">
        <v>0</v>
      </c>
      <c r="AE161" s="52">
        <v>0</v>
      </c>
      <c r="AF161" s="52">
        <v>171.52996515679297</v>
      </c>
      <c r="AG161" s="52">
        <v>0</v>
      </c>
      <c r="AH161" s="52">
        <v>0</v>
      </c>
      <c r="AI161" s="52">
        <v>135.53823249920879</v>
      </c>
      <c r="AJ161" s="52">
        <v>0</v>
      </c>
      <c r="AK161" s="52">
        <v>0</v>
      </c>
      <c r="AL161" s="52">
        <v>172.99157427937826</v>
      </c>
      <c r="AM161" s="52">
        <v>0</v>
      </c>
      <c r="AN161" s="52">
        <v>0</v>
      </c>
      <c r="AO161" s="52">
        <v>1400.9664554957199</v>
      </c>
      <c r="AP161" s="52">
        <v>0</v>
      </c>
      <c r="AQ161" s="52">
        <v>0</v>
      </c>
      <c r="AR161" s="52">
        <v>1520.3339087741551</v>
      </c>
      <c r="AS161" s="52">
        <v>0</v>
      </c>
      <c r="AT161" s="52">
        <v>0</v>
      </c>
      <c r="AU161" s="52">
        <v>2414.1993981628038</v>
      </c>
      <c r="AV161" s="52">
        <v>0</v>
      </c>
      <c r="AW161" s="52">
        <v>0</v>
      </c>
      <c r="AX161" s="52">
        <v>1686.8685460880515</v>
      </c>
      <c r="AY161" s="52">
        <v>0</v>
      </c>
      <c r="AZ161" s="52">
        <v>0</v>
      </c>
      <c r="BA161" s="52">
        <v>2704.8968324358575</v>
      </c>
      <c r="BB161" s="52">
        <v>0</v>
      </c>
      <c r="BC161" s="52">
        <v>0</v>
      </c>
      <c r="BD161" s="52">
        <v>0</v>
      </c>
      <c r="BE161" s="52">
        <v>0</v>
      </c>
      <c r="BF161" s="52">
        <v>0</v>
      </c>
      <c r="BG161" s="52">
        <v>0</v>
      </c>
      <c r="BH161" s="52">
        <v>0</v>
      </c>
      <c r="BI161" s="52">
        <v>0</v>
      </c>
      <c r="BJ161" s="52">
        <v>0</v>
      </c>
      <c r="BK161" s="52">
        <v>0</v>
      </c>
      <c r="BL161" s="52">
        <v>0</v>
      </c>
      <c r="BM161" s="52">
        <v>0</v>
      </c>
      <c r="BN161" s="52">
        <v>0</v>
      </c>
      <c r="BO161" s="52">
        <v>0</v>
      </c>
      <c r="BP161" s="52">
        <v>0</v>
      </c>
    </row>
    <row r="162" spans="1:68">
      <c r="B162" t="s">
        <v>694</v>
      </c>
      <c r="C162" t="s">
        <v>695</v>
      </c>
      <c r="D162" t="s">
        <v>544</v>
      </c>
      <c r="E162">
        <v>10</v>
      </c>
      <c r="F162" t="s">
        <v>696</v>
      </c>
      <c r="G162" t="s">
        <v>178</v>
      </c>
      <c r="H162" t="s">
        <v>694</v>
      </c>
      <c r="I162" s="52">
        <v>0</v>
      </c>
      <c r="J162" s="52">
        <v>0</v>
      </c>
      <c r="K162" s="52">
        <v>522.10588235294199</v>
      </c>
      <c r="L162" s="52">
        <v>0</v>
      </c>
      <c r="M162" s="52">
        <v>0</v>
      </c>
      <c r="N162" s="52">
        <v>572.45588235294053</v>
      </c>
      <c r="O162" s="52">
        <v>0</v>
      </c>
      <c r="P162" s="52">
        <v>0</v>
      </c>
      <c r="Q162" s="52">
        <v>1507.6941176470582</v>
      </c>
      <c r="R162" s="52">
        <v>0</v>
      </c>
      <c r="S162" s="52">
        <v>0</v>
      </c>
      <c r="T162" s="52">
        <v>1021.75</v>
      </c>
      <c r="U162" s="52">
        <v>0</v>
      </c>
      <c r="V162" s="52">
        <v>0</v>
      </c>
      <c r="W162" s="52">
        <v>1996.1647058823528</v>
      </c>
      <c r="X162" s="52">
        <v>0</v>
      </c>
      <c r="Y162" s="52">
        <v>0</v>
      </c>
      <c r="Z162" s="52">
        <v>617.17941176470595</v>
      </c>
      <c r="AA162" s="52">
        <v>0</v>
      </c>
      <c r="AB162" s="52">
        <v>0</v>
      </c>
      <c r="AC162" s="52">
        <v>676.66470588235279</v>
      </c>
      <c r="AD162" s="52">
        <v>0</v>
      </c>
      <c r="AE162" s="52">
        <v>0</v>
      </c>
      <c r="AF162" s="52">
        <v>1739.0676470588242</v>
      </c>
      <c r="AG162" s="52">
        <v>0</v>
      </c>
      <c r="AH162" s="52">
        <v>0</v>
      </c>
      <c r="AI162" s="52">
        <v>1170.8382352941171</v>
      </c>
      <c r="AJ162" s="52">
        <v>0</v>
      </c>
      <c r="AK162" s="52">
        <v>0</v>
      </c>
      <c r="AL162" s="52">
        <v>2236.6058823529402</v>
      </c>
      <c r="AM162" s="52">
        <v>0</v>
      </c>
      <c r="AN162" s="52">
        <v>0</v>
      </c>
      <c r="AO162" s="52">
        <v>770.82058823529223</v>
      </c>
      <c r="AP162" s="52">
        <v>0</v>
      </c>
      <c r="AQ162" s="52">
        <v>0</v>
      </c>
      <c r="AR162" s="52">
        <v>909.67941176470413</v>
      </c>
      <c r="AS162" s="52">
        <v>0</v>
      </c>
      <c r="AT162" s="52">
        <v>0</v>
      </c>
      <c r="AU162" s="52">
        <v>6143.9823529411806</v>
      </c>
      <c r="AV162" s="52">
        <v>0</v>
      </c>
      <c r="AW162" s="52">
        <v>0</v>
      </c>
      <c r="AX162" s="52">
        <v>3754.0588235294126</v>
      </c>
      <c r="AY162" s="52">
        <v>0</v>
      </c>
      <c r="AZ162" s="52">
        <v>0</v>
      </c>
      <c r="BA162" s="52">
        <v>9839.2176470588165</v>
      </c>
      <c r="BB162" s="52">
        <v>-2.077857999999992</v>
      </c>
      <c r="BC162" s="52">
        <v>-0.35372300000000223</v>
      </c>
      <c r="BD162" s="52">
        <v>3.0142700000000104</v>
      </c>
      <c r="BE162" s="52">
        <v>5.6197090000000571</v>
      </c>
      <c r="BF162" s="52">
        <v>1.2734340000000088</v>
      </c>
      <c r="BG162" s="52">
        <v>9.9456089999999904</v>
      </c>
      <c r="BH162" s="52">
        <v>6.735147999999981</v>
      </c>
      <c r="BI162" s="52">
        <v>17.151310999999964</v>
      </c>
      <c r="BJ162" s="52">
        <v>20.959871000000021</v>
      </c>
      <c r="BK162" s="52">
        <v>12.621306000000004</v>
      </c>
      <c r="BL162" s="52">
        <v>-148.51738300000034</v>
      </c>
      <c r="BM162" s="52">
        <v>-77.917253999999957</v>
      </c>
      <c r="BN162" s="52">
        <v>-85.142640000000029</v>
      </c>
      <c r="BO162" s="52">
        <v>-124.13322700000208</v>
      </c>
      <c r="BP162" s="52">
        <v>-85.957905999999639</v>
      </c>
    </row>
    <row r="169" spans="1:68" ht="46.5">
      <c r="B169" s="488" t="s">
        <v>1303</v>
      </c>
    </row>
    <row r="170" spans="1:68" ht="47.25" thickBot="1">
      <c r="B170" s="488" t="s">
        <v>1304</v>
      </c>
      <c r="X170" s="493"/>
      <c r="Y170" s="493"/>
      <c r="Z170" s="493"/>
      <c r="AA170" s="493"/>
      <c r="AB170" s="493"/>
    </row>
    <row r="171" spans="1:68" ht="13.5" thickBot="1">
      <c r="I171" s="482" t="s">
        <v>522</v>
      </c>
      <c r="J171" s="483"/>
      <c r="K171" s="483"/>
      <c r="L171" s="483"/>
      <c r="M171" s="483"/>
      <c r="N171" s="483"/>
      <c r="O171" s="483"/>
      <c r="P171" s="483"/>
      <c r="Q171" s="483"/>
      <c r="R171" s="483"/>
      <c r="S171" s="483"/>
      <c r="T171" s="483"/>
      <c r="U171" s="483"/>
      <c r="V171" s="483"/>
      <c r="W171" s="483"/>
      <c r="X171" s="504" t="s">
        <v>523</v>
      </c>
      <c r="Y171" s="505"/>
      <c r="Z171" s="505"/>
      <c r="AA171" s="505"/>
      <c r="AB171" s="506"/>
    </row>
    <row r="172" spans="1:68">
      <c r="I172" s="390" t="s">
        <v>1231</v>
      </c>
      <c r="J172" s="391" t="s">
        <v>1231</v>
      </c>
      <c r="K172" s="393" t="s">
        <v>1231</v>
      </c>
      <c r="L172" s="394" t="s">
        <v>1232</v>
      </c>
      <c r="M172" s="395" t="s">
        <v>1232</v>
      </c>
      <c r="N172" s="396" t="s">
        <v>1232</v>
      </c>
      <c r="O172" s="398" t="s">
        <v>1233</v>
      </c>
      <c r="P172" s="399" t="s">
        <v>1233</v>
      </c>
      <c r="Q172" s="400" t="s">
        <v>1233</v>
      </c>
      <c r="R172" s="402" t="s">
        <v>1234</v>
      </c>
      <c r="S172" s="403" t="s">
        <v>1234</v>
      </c>
      <c r="T172" s="404" t="s">
        <v>1234</v>
      </c>
      <c r="U172" s="406" t="s">
        <v>1235</v>
      </c>
      <c r="V172" s="407" t="s">
        <v>1235</v>
      </c>
      <c r="W172" s="407" t="s">
        <v>1235</v>
      </c>
      <c r="X172" s="390" t="s">
        <v>1231</v>
      </c>
      <c r="Y172" s="394" t="s">
        <v>1232</v>
      </c>
      <c r="Z172" s="507" t="s">
        <v>1233</v>
      </c>
      <c r="AA172" s="405" t="s">
        <v>1234</v>
      </c>
      <c r="AB172" s="409" t="s">
        <v>1235</v>
      </c>
    </row>
    <row r="173" spans="1:68" ht="13.5" thickBot="1">
      <c r="I173" s="477" t="s">
        <v>1237</v>
      </c>
      <c r="J173" s="493" t="s">
        <v>1238</v>
      </c>
      <c r="K173" s="494" t="s">
        <v>1239</v>
      </c>
      <c r="L173" s="477" t="s">
        <v>1237</v>
      </c>
      <c r="M173" s="493" t="s">
        <v>1238</v>
      </c>
      <c r="N173" s="495" t="s">
        <v>1239</v>
      </c>
      <c r="O173" s="477" t="s">
        <v>1237</v>
      </c>
      <c r="P173" s="493" t="s">
        <v>1238</v>
      </c>
      <c r="Q173" s="495" t="s">
        <v>1239</v>
      </c>
      <c r="R173" s="477" t="s">
        <v>1237</v>
      </c>
      <c r="S173" s="493" t="s">
        <v>1238</v>
      </c>
      <c r="T173" s="495" t="s">
        <v>1239</v>
      </c>
      <c r="U173" s="477" t="s">
        <v>1237</v>
      </c>
      <c r="V173" s="493" t="s">
        <v>1238</v>
      </c>
      <c r="W173" s="493" t="s">
        <v>1239</v>
      </c>
      <c r="X173" s="508" t="s">
        <v>1305</v>
      </c>
      <c r="Y173" s="508" t="s">
        <v>1305</v>
      </c>
      <c r="Z173" s="509" t="s">
        <v>1305</v>
      </c>
      <c r="AA173" s="510" t="s">
        <v>1305</v>
      </c>
      <c r="AB173" s="510" t="s">
        <v>1305</v>
      </c>
    </row>
    <row r="174" spans="1:68" ht="13.5" thickBot="1">
      <c r="I174" s="511" t="s">
        <v>1306</v>
      </c>
      <c r="J174" s="511" t="s">
        <v>1307</v>
      </c>
      <c r="K174" s="511" t="s">
        <v>1308</v>
      </c>
      <c r="L174" s="511" t="s">
        <v>1309</v>
      </c>
      <c r="M174" s="511" t="s">
        <v>1310</v>
      </c>
      <c r="N174" s="511" t="s">
        <v>1311</v>
      </c>
      <c r="O174" s="511" t="s">
        <v>1312</v>
      </c>
      <c r="P174" s="511" t="s">
        <v>1313</v>
      </c>
      <c r="Q174" s="511" t="s">
        <v>1314</v>
      </c>
      <c r="R174" s="511" t="s">
        <v>1315</v>
      </c>
      <c r="S174" s="511" t="s">
        <v>1316</v>
      </c>
      <c r="T174" s="511" t="s">
        <v>1317</v>
      </c>
      <c r="U174" s="511" t="s">
        <v>1318</v>
      </c>
      <c r="V174" s="511" t="s">
        <v>1319</v>
      </c>
      <c r="W174" s="511" t="s">
        <v>1320</v>
      </c>
      <c r="X174" s="498"/>
      <c r="Y174" s="512"/>
      <c r="Z174" s="512"/>
      <c r="AA174" s="512"/>
      <c r="AB174" s="513"/>
    </row>
    <row r="175" spans="1:68">
      <c r="A175">
        <v>2</v>
      </c>
      <c r="B175" t="s">
        <v>525</v>
      </c>
      <c r="C175" t="s">
        <v>525</v>
      </c>
      <c r="D175" t="s">
        <v>526</v>
      </c>
      <c r="E175">
        <v>10</v>
      </c>
      <c r="F175" t="s">
        <v>527</v>
      </c>
      <c r="G175" t="s">
        <v>528</v>
      </c>
      <c r="H175" t="s">
        <v>525</v>
      </c>
      <c r="I175" s="52">
        <v>1.036799761275899</v>
      </c>
      <c r="J175" s="52">
        <v>1.0648417840024869</v>
      </c>
      <c r="K175" s="52">
        <v>0.45733204633573427</v>
      </c>
      <c r="L175" s="52">
        <v>1.1377866888292945</v>
      </c>
      <c r="M175" s="52">
        <v>1.1693068488650935</v>
      </c>
      <c r="N175" s="52">
        <v>0.49606907842663123</v>
      </c>
      <c r="O175" s="52">
        <v>1.7674696629122391</v>
      </c>
      <c r="P175" s="52">
        <v>1.8066459909718762</v>
      </c>
      <c r="Q175" s="52">
        <v>0.95199530671384835</v>
      </c>
      <c r="R175" s="52">
        <v>1.3727047233560294</v>
      </c>
      <c r="S175" s="52">
        <v>1.4061195222032725</v>
      </c>
      <c r="T175" s="52">
        <v>0.73727365454059091</v>
      </c>
      <c r="U175" s="52">
        <v>2.1186632912856931</v>
      </c>
      <c r="V175" s="52">
        <v>2.1631987251147935</v>
      </c>
      <c r="W175" s="52">
        <v>1.2941128108432651</v>
      </c>
      <c r="X175">
        <v>-1.6983460335020913E-2</v>
      </c>
      <c r="Y175">
        <v>-3.0270070023613274E-2</v>
      </c>
      <c r="Z175">
        <v>3.1875353624901941E-3</v>
      </c>
      <c r="AA175">
        <v>2.718977531756606E-2</v>
      </c>
      <c r="AB175">
        <v>-5.2337931794577356E-3</v>
      </c>
    </row>
    <row r="176" spans="1:68" ht="15">
      <c r="A176">
        <v>3</v>
      </c>
      <c r="B176" t="s">
        <v>531</v>
      </c>
      <c r="C176" t="s">
        <v>532</v>
      </c>
      <c r="D176" t="s">
        <v>533</v>
      </c>
      <c r="E176">
        <v>10</v>
      </c>
      <c r="F176" t="s">
        <v>527</v>
      </c>
      <c r="G176" t="s">
        <v>528</v>
      </c>
      <c r="H176" t="s">
        <v>531</v>
      </c>
      <c r="I176" s="514">
        <v>0</v>
      </c>
      <c r="J176" s="514">
        <v>0</v>
      </c>
      <c r="K176" s="514">
        <v>0</v>
      </c>
      <c r="L176" s="514">
        <v>0</v>
      </c>
      <c r="M176" s="514">
        <v>0</v>
      </c>
      <c r="N176" s="514">
        <v>0</v>
      </c>
      <c r="O176" s="514">
        <v>0</v>
      </c>
      <c r="P176" s="514">
        <v>0</v>
      </c>
      <c r="Q176" s="514">
        <v>0</v>
      </c>
      <c r="R176" s="514">
        <v>0</v>
      </c>
      <c r="S176" s="514">
        <v>0</v>
      </c>
      <c r="T176" s="514">
        <v>0</v>
      </c>
      <c r="U176" s="514">
        <v>0</v>
      </c>
      <c r="V176" s="514">
        <v>0</v>
      </c>
      <c r="W176" s="514">
        <v>0</v>
      </c>
      <c r="X176" s="515">
        <v>0</v>
      </c>
      <c r="Y176" s="515">
        <v>0</v>
      </c>
      <c r="Z176" s="515">
        <v>0</v>
      </c>
      <c r="AA176" s="515">
        <v>0</v>
      </c>
      <c r="AB176" s="515">
        <v>0</v>
      </c>
    </row>
    <row r="177" spans="1:28" ht="15">
      <c r="A177">
        <v>4</v>
      </c>
      <c r="B177" t="s">
        <v>535</v>
      </c>
      <c r="C177" t="s">
        <v>536</v>
      </c>
      <c r="D177" t="s">
        <v>537</v>
      </c>
      <c r="E177">
        <v>10</v>
      </c>
      <c r="F177" t="s">
        <v>527</v>
      </c>
      <c r="G177" t="s">
        <v>538</v>
      </c>
      <c r="H177" t="s">
        <v>535</v>
      </c>
      <c r="I177" s="516">
        <v>0.47866340444919847</v>
      </c>
      <c r="J177" s="516">
        <v>0.47739491773796755</v>
      </c>
      <c r="K177" s="516">
        <v>0.19639032714690152</v>
      </c>
      <c r="L177" s="516">
        <v>0.52922966273529459</v>
      </c>
      <c r="M177" s="516">
        <v>0.52843038294919842</v>
      </c>
      <c r="N177" s="516">
        <v>0.21377139037433121</v>
      </c>
      <c r="O177" s="516">
        <v>0.71731033236363706</v>
      </c>
      <c r="P177" s="516">
        <v>0.70648960467914335</v>
      </c>
      <c r="Q177" s="516">
        <v>0.32089172695816287</v>
      </c>
      <c r="R177" s="516">
        <v>0.56825141875935858</v>
      </c>
      <c r="S177" s="516">
        <v>0.56171038138235285</v>
      </c>
      <c r="T177" s="516">
        <v>0.26400025165146251</v>
      </c>
      <c r="U177" s="516">
        <v>0.83933543743850392</v>
      </c>
      <c r="V177" s="516">
        <v>0.82437550182887731</v>
      </c>
      <c r="W177" s="516">
        <v>0.39968299779804961</v>
      </c>
      <c r="X177" s="517">
        <v>-9.1862266237967977E-2</v>
      </c>
      <c r="Y177" s="517">
        <v>-8.5593866205882371E-2</v>
      </c>
      <c r="Z177" s="517">
        <v>-8.36514852727272E-2</v>
      </c>
      <c r="AA177" s="517">
        <v>-8.9672965962566548E-2</v>
      </c>
      <c r="AB177" s="517">
        <v>-8.3454250229946611E-2</v>
      </c>
    </row>
    <row r="178" spans="1:28" ht="15">
      <c r="A178">
        <v>5</v>
      </c>
      <c r="B178" t="s">
        <v>546</v>
      </c>
      <c r="C178" t="s">
        <v>547</v>
      </c>
      <c r="D178" t="s">
        <v>537</v>
      </c>
      <c r="E178">
        <v>11</v>
      </c>
      <c r="F178" t="s">
        <v>527</v>
      </c>
      <c r="G178" t="s">
        <v>548</v>
      </c>
      <c r="H178" t="s">
        <v>546</v>
      </c>
      <c r="I178" s="516">
        <v>0.54793233943315545</v>
      </c>
      <c r="J178" s="516">
        <v>0.54660840379679121</v>
      </c>
      <c r="K178" s="516">
        <v>0.22536615287826367</v>
      </c>
      <c r="L178" s="516">
        <v>0.6060842639919789</v>
      </c>
      <c r="M178" s="516">
        <v>0.60530926598663148</v>
      </c>
      <c r="N178" s="516">
        <v>0.24508781063227394</v>
      </c>
      <c r="O178" s="516">
        <v>0.8232592183101608</v>
      </c>
      <c r="P178" s="516">
        <v>0.81104198635828839</v>
      </c>
      <c r="Q178" s="516">
        <v>0.36891456432840541</v>
      </c>
      <c r="R178" s="516">
        <v>0.65225096897861001</v>
      </c>
      <c r="S178" s="516">
        <v>0.64491026413368979</v>
      </c>
      <c r="T178" s="516">
        <v>0.3031408933626924</v>
      </c>
      <c r="U178" s="516">
        <v>0.96383913254010711</v>
      </c>
      <c r="V178" s="516">
        <v>0.94690606218181939</v>
      </c>
      <c r="W178" s="516">
        <v>0.45860684177414163</v>
      </c>
      <c r="X178" s="517">
        <v>-0.10638654902673797</v>
      </c>
      <c r="Y178" s="517">
        <v>-9.9211018026738068E-2</v>
      </c>
      <c r="Z178" s="517">
        <v>-9.7073770609625562E-2</v>
      </c>
      <c r="AA178" s="517">
        <v>-0.10411173149197864</v>
      </c>
      <c r="AB178" s="517">
        <v>-9.7018501061497356E-2</v>
      </c>
    </row>
    <row r="179" spans="1:28" ht="15">
      <c r="A179">
        <v>6</v>
      </c>
      <c r="B179" t="s">
        <v>550</v>
      </c>
      <c r="C179" t="s">
        <v>551</v>
      </c>
      <c r="D179" t="s">
        <v>537</v>
      </c>
      <c r="E179">
        <v>12</v>
      </c>
      <c r="F179" t="s">
        <v>527</v>
      </c>
      <c r="G179" t="s">
        <v>552</v>
      </c>
      <c r="H179" t="s">
        <v>550</v>
      </c>
      <c r="I179" s="516">
        <v>0.62070711196791484</v>
      </c>
      <c r="J179" s="516">
        <v>0.61935412188770067</v>
      </c>
      <c r="K179" s="516">
        <v>0.25554188424032714</v>
      </c>
      <c r="L179" s="516">
        <v>0.68677423531283477</v>
      </c>
      <c r="M179" s="516">
        <v>0.68605476754010675</v>
      </c>
      <c r="N179" s="516">
        <v>0.27855478137779133</v>
      </c>
      <c r="O179" s="516">
        <v>0.93521545472994649</v>
      </c>
      <c r="P179" s="516">
        <v>0.921575325959893</v>
      </c>
      <c r="Q179" s="516">
        <v>0.41977197231833913</v>
      </c>
      <c r="R179" s="516">
        <v>0.74100886369251318</v>
      </c>
      <c r="S179" s="516">
        <v>0.73288034255347612</v>
      </c>
      <c r="T179" s="516">
        <v>0.34458546712802751</v>
      </c>
      <c r="U179" s="516">
        <v>1.0954997954090917</v>
      </c>
      <c r="V179" s="516">
        <v>1.0765310108930493</v>
      </c>
      <c r="W179" s="516">
        <v>0.52124867882982007</v>
      </c>
      <c r="X179" s="517">
        <v>-0.12201946885828877</v>
      </c>
      <c r="Y179" s="517">
        <v>-0.11388793055614976</v>
      </c>
      <c r="Z179" s="517">
        <v>-0.11155742610695178</v>
      </c>
      <c r="AA179" s="517">
        <v>-0.1197336760508019</v>
      </c>
      <c r="AB179" s="517">
        <v>-0.11172869120855622</v>
      </c>
    </row>
    <row r="180" spans="1:28" ht="15">
      <c r="A180">
        <v>7</v>
      </c>
      <c r="B180" t="s">
        <v>554</v>
      </c>
      <c r="C180" t="s">
        <v>555</v>
      </c>
      <c r="D180" t="s">
        <v>537</v>
      </c>
      <c r="E180">
        <v>13</v>
      </c>
      <c r="F180" t="s">
        <v>527</v>
      </c>
      <c r="G180" t="s">
        <v>556</v>
      </c>
      <c r="H180" t="s">
        <v>554</v>
      </c>
      <c r="I180" s="516">
        <v>0.64002117803475989</v>
      </c>
      <c r="J180" s="516">
        <v>0.63866913440641693</v>
      </c>
      <c r="K180" s="516">
        <v>0.2635681189053159</v>
      </c>
      <c r="L180" s="516">
        <v>0.70819889051336937</v>
      </c>
      <c r="M180" s="516">
        <v>0.70749533431550826</v>
      </c>
      <c r="N180" s="516">
        <v>0.28696481597986778</v>
      </c>
      <c r="O180" s="516">
        <v>0.96505431395187224</v>
      </c>
      <c r="P180" s="516">
        <v>0.95104254030481195</v>
      </c>
      <c r="Q180" s="516">
        <v>0.43320858760616554</v>
      </c>
      <c r="R180" s="516">
        <v>0.76463132599197881</v>
      </c>
      <c r="S180" s="516">
        <v>0.75629752230481295</v>
      </c>
      <c r="T180" s="516">
        <v>0.35547269581629437</v>
      </c>
      <c r="U180" s="516">
        <v>1.1306003745133688</v>
      </c>
      <c r="V180" s="516">
        <v>1.1110958556657757</v>
      </c>
      <c r="W180" s="516">
        <v>0.53813011953444434</v>
      </c>
      <c r="X180" s="517">
        <v>-0.12623216545721924</v>
      </c>
      <c r="Y180" s="517">
        <v>-0.11784685012566849</v>
      </c>
      <c r="Z180" s="517">
        <v>-0.11547613986898392</v>
      </c>
      <c r="AA180" s="517">
        <v>-0.12395791410962562</v>
      </c>
      <c r="AB180" s="517">
        <v>-0.11570651067379684</v>
      </c>
    </row>
    <row r="181" spans="1:28" ht="15">
      <c r="A181">
        <v>8</v>
      </c>
      <c r="B181" t="s">
        <v>558</v>
      </c>
      <c r="C181" t="s">
        <v>559</v>
      </c>
      <c r="D181" t="s">
        <v>537</v>
      </c>
      <c r="E181">
        <v>14</v>
      </c>
      <c r="F181" t="s">
        <v>538</v>
      </c>
      <c r="G181" t="s">
        <v>548</v>
      </c>
      <c r="H181" t="s">
        <v>558</v>
      </c>
      <c r="I181" s="516">
        <v>6.926893498395692E-2</v>
      </c>
      <c r="J181" s="516">
        <v>6.9213486058823659E-2</v>
      </c>
      <c r="K181" s="516">
        <v>2.8975825731362134E-2</v>
      </c>
      <c r="L181" s="516">
        <v>7.6854601256684252E-2</v>
      </c>
      <c r="M181" s="516">
        <v>7.6878883037433177E-2</v>
      </c>
      <c r="N181" s="516">
        <v>3.1316420257942762E-2</v>
      </c>
      <c r="O181" s="516">
        <v>0.10594888594652382</v>
      </c>
      <c r="P181" s="516">
        <v>0.10455238167914498</v>
      </c>
      <c r="Q181" s="516">
        <v>4.8022837370242488E-2</v>
      </c>
      <c r="R181" s="516">
        <v>8.3999550219251304E-2</v>
      </c>
      <c r="S181" s="516">
        <v>8.3199882751336968E-2</v>
      </c>
      <c r="T181" s="516">
        <v>3.9140641711229926E-2</v>
      </c>
      <c r="U181" s="516">
        <v>0.12450369510160321</v>
      </c>
      <c r="V181" s="516">
        <v>0.12253056035294209</v>
      </c>
      <c r="W181" s="516">
        <v>5.8923843976091989E-2</v>
      </c>
      <c r="X181" s="517">
        <v>-1.4524282788769992E-2</v>
      </c>
      <c r="Y181" s="517">
        <v>-1.3617151820855702E-2</v>
      </c>
      <c r="Z181" s="517">
        <v>-1.3422285336898359E-2</v>
      </c>
      <c r="AA181" s="517">
        <v>-1.4438765529412086E-2</v>
      </c>
      <c r="AB181" s="517">
        <v>-1.3564250831550754E-2</v>
      </c>
    </row>
    <row r="182" spans="1:28" ht="15">
      <c r="A182">
        <v>9</v>
      </c>
      <c r="B182" t="s">
        <v>562</v>
      </c>
      <c r="C182" t="s">
        <v>563</v>
      </c>
      <c r="D182" t="s">
        <v>537</v>
      </c>
      <c r="E182">
        <v>15</v>
      </c>
      <c r="F182" t="s">
        <v>538</v>
      </c>
      <c r="G182" t="s">
        <v>552</v>
      </c>
      <c r="H182" t="s">
        <v>562</v>
      </c>
      <c r="I182" s="516">
        <v>0.14204370751871645</v>
      </c>
      <c r="J182" s="516">
        <v>0.14195920414973306</v>
      </c>
      <c r="K182" s="516">
        <v>5.9151557093425594E-2</v>
      </c>
      <c r="L182" s="516">
        <v>0.15754457257754009</v>
      </c>
      <c r="M182" s="516">
        <v>0.15762438459090833</v>
      </c>
      <c r="N182" s="516">
        <v>6.4783391003460117E-2</v>
      </c>
      <c r="O182" s="516">
        <v>0.21790512236630938</v>
      </c>
      <c r="P182" s="516">
        <v>0.21508572128074954</v>
      </c>
      <c r="Q182" s="516">
        <v>9.8880245360176214E-2</v>
      </c>
      <c r="R182" s="516">
        <v>0.17275744493315459</v>
      </c>
      <c r="S182" s="516">
        <v>0.17116996117112329</v>
      </c>
      <c r="T182" s="516">
        <v>8.0585215476565025E-2</v>
      </c>
      <c r="U182" s="516">
        <v>0.25616435797058795</v>
      </c>
      <c r="V182" s="516">
        <v>0.25215550906417195</v>
      </c>
      <c r="W182" s="516">
        <v>0.12156568103177048</v>
      </c>
      <c r="X182" s="517">
        <v>-3.0157202620320803E-2</v>
      </c>
      <c r="Y182" s="517">
        <v>-2.8294064350267406E-2</v>
      </c>
      <c r="Z182" s="517">
        <v>-2.7905940834224582E-2</v>
      </c>
      <c r="AA182" s="517">
        <v>-3.0060710088235364E-2</v>
      </c>
      <c r="AB182" s="517">
        <v>-2.8274440978609604E-2</v>
      </c>
    </row>
    <row r="183" spans="1:28" ht="15">
      <c r="A183">
        <v>10</v>
      </c>
      <c r="B183" t="s">
        <v>565</v>
      </c>
      <c r="C183" t="s">
        <v>566</v>
      </c>
      <c r="D183" t="s">
        <v>537</v>
      </c>
      <c r="E183">
        <v>16</v>
      </c>
      <c r="F183" t="s">
        <v>538</v>
      </c>
      <c r="G183" t="s">
        <v>556</v>
      </c>
      <c r="H183" t="s">
        <v>565</v>
      </c>
      <c r="I183" s="516">
        <v>0.1613577735855613</v>
      </c>
      <c r="J183" s="516">
        <v>0.16127421666844935</v>
      </c>
      <c r="K183" s="516">
        <v>6.717779175841436E-2</v>
      </c>
      <c r="L183" s="516">
        <v>0.17896922777807461</v>
      </c>
      <c r="M183" s="516">
        <v>0.17906495136630984</v>
      </c>
      <c r="N183" s="516">
        <v>7.3193425605536572E-2</v>
      </c>
      <c r="O183" s="516">
        <v>0.2477439815882351</v>
      </c>
      <c r="P183" s="516">
        <v>0.24455293562566854</v>
      </c>
      <c r="Q183" s="516">
        <v>0.11231686064800266</v>
      </c>
      <c r="R183" s="516">
        <v>0.19637990723262008</v>
      </c>
      <c r="S183" s="516">
        <v>0.19458714092246016</v>
      </c>
      <c r="T183" s="516">
        <v>9.1472444164831898E-2</v>
      </c>
      <c r="U183" s="516">
        <v>0.29126493707486489</v>
      </c>
      <c r="V183" s="516">
        <v>0.28672035383689848</v>
      </c>
      <c r="W183" s="516">
        <v>0.13844712173639465</v>
      </c>
      <c r="X183" s="517">
        <v>-3.4369899219251251E-2</v>
      </c>
      <c r="Y183" s="517">
        <v>-3.2252983919786135E-2</v>
      </c>
      <c r="Z183" s="517">
        <v>-3.1824654596256725E-2</v>
      </c>
      <c r="AA183" s="517">
        <v>-3.4284948147059083E-2</v>
      </c>
      <c r="AB183" s="517">
        <v>-3.2252260443850225E-2</v>
      </c>
    </row>
    <row r="184" spans="1:28" ht="15">
      <c r="A184">
        <v>11</v>
      </c>
      <c r="B184" t="s">
        <v>568</v>
      </c>
      <c r="C184" t="s">
        <v>569</v>
      </c>
      <c r="D184" t="s">
        <v>537</v>
      </c>
      <c r="E184">
        <v>17</v>
      </c>
      <c r="F184" t="s">
        <v>528</v>
      </c>
      <c r="G184" t="s">
        <v>552</v>
      </c>
      <c r="H184" t="s">
        <v>568</v>
      </c>
      <c r="I184" s="516">
        <v>1.4097633556978608</v>
      </c>
      <c r="J184" s="516">
        <v>1.4029866460775402</v>
      </c>
      <c r="K184" s="516">
        <v>0.5704184649260774</v>
      </c>
      <c r="L184" s="516">
        <v>1.5519435071684498</v>
      </c>
      <c r="M184" s="516">
        <v>1.5459159344545454</v>
      </c>
      <c r="N184" s="516">
        <v>0.62076124567474</v>
      </c>
      <c r="O184" s="516">
        <v>2.0724460419144379</v>
      </c>
      <c r="P184" s="516">
        <v>2.0363185768342249</v>
      </c>
      <c r="Q184" s="516">
        <v>0.92414970116388784</v>
      </c>
      <c r="R184" s="516">
        <v>1.6431141200588233</v>
      </c>
      <c r="S184" s="516">
        <v>1.6200190208770058</v>
      </c>
      <c r="T184" s="516">
        <v>0.75640273670965696</v>
      </c>
      <c r="U184" s="516">
        <v>2.4116216873262033</v>
      </c>
      <c r="V184" s="516">
        <v>2.3629964043983964</v>
      </c>
      <c r="W184" s="516">
        <v>1.1485525794274944</v>
      </c>
      <c r="X184" s="517">
        <v>-0.24813228072994661</v>
      </c>
      <c r="Y184" s="517">
        <v>-0.22883898312032083</v>
      </c>
      <c r="Z184" s="517">
        <v>-0.22126152360962567</v>
      </c>
      <c r="AA184" s="517">
        <v>-0.23747853707754002</v>
      </c>
      <c r="AB184" s="517">
        <v>-0.21709613312566844</v>
      </c>
    </row>
    <row r="185" spans="1:28" ht="15">
      <c r="A185">
        <v>12</v>
      </c>
      <c r="B185" t="s">
        <v>570</v>
      </c>
      <c r="C185" t="s">
        <v>571</v>
      </c>
      <c r="D185" t="s">
        <v>537</v>
      </c>
      <c r="E185">
        <v>18</v>
      </c>
      <c r="F185" t="s">
        <v>527</v>
      </c>
      <c r="G185" t="s">
        <v>538</v>
      </c>
      <c r="H185" t="s">
        <v>570</v>
      </c>
      <c r="I185" s="516">
        <v>0.47866340444919847</v>
      </c>
      <c r="J185" s="516">
        <v>0.47739491773796755</v>
      </c>
      <c r="K185" s="516">
        <v>0.19639032714690152</v>
      </c>
      <c r="L185" s="516">
        <v>0.52922966273529459</v>
      </c>
      <c r="M185" s="516">
        <v>0.52843038294919842</v>
      </c>
      <c r="N185" s="516">
        <v>0.21377139037433121</v>
      </c>
      <c r="O185" s="516">
        <v>0.71731033236363706</v>
      </c>
      <c r="P185" s="516">
        <v>0.70648960467914335</v>
      </c>
      <c r="Q185" s="516">
        <v>0.32089172695816287</v>
      </c>
      <c r="R185" s="516">
        <v>0.56825141875935858</v>
      </c>
      <c r="S185" s="516">
        <v>0.56171038138235285</v>
      </c>
      <c r="T185" s="516">
        <v>0.26400025165146251</v>
      </c>
      <c r="U185" s="516">
        <v>0.83933543743850392</v>
      </c>
      <c r="V185" s="516">
        <v>0.82437550182887731</v>
      </c>
      <c r="W185" s="516">
        <v>0.39968299779804961</v>
      </c>
      <c r="X185" s="517">
        <v>-9.1862266237967977E-2</v>
      </c>
      <c r="Y185" s="517">
        <v>-8.5593866205882371E-2</v>
      </c>
      <c r="Z185" s="517">
        <v>-8.36514852727272E-2</v>
      </c>
      <c r="AA185" s="517">
        <v>-8.9672965962566548E-2</v>
      </c>
      <c r="AB185" s="517">
        <v>-8.3454250229946611E-2</v>
      </c>
    </row>
    <row r="186" spans="1:28">
      <c r="A186">
        <v>13</v>
      </c>
      <c r="B186" t="s">
        <v>573</v>
      </c>
      <c r="C186" t="s">
        <v>574</v>
      </c>
      <c r="D186" t="s">
        <v>540</v>
      </c>
      <c r="E186">
        <v>10</v>
      </c>
      <c r="F186" t="s">
        <v>527</v>
      </c>
      <c r="G186" t="s">
        <v>538</v>
      </c>
      <c r="H186" t="s">
        <v>573</v>
      </c>
      <c r="I186" s="52">
        <v>0.40887212932045436</v>
      </c>
      <c r="J186" s="52">
        <v>0.41829608072272773</v>
      </c>
      <c r="K186" s="52">
        <v>0.1599424732620322</v>
      </c>
      <c r="L186" s="52">
        <v>0.48612493617045394</v>
      </c>
      <c r="M186" s="52">
        <v>0.49751547447500011</v>
      </c>
      <c r="N186" s="52">
        <v>0.18514513368984004</v>
      </c>
      <c r="O186" s="52">
        <v>0.47976472749772703</v>
      </c>
      <c r="P186" s="52">
        <v>0.49126835989090889</v>
      </c>
      <c r="Q186" s="52">
        <v>0.1978703475935828</v>
      </c>
      <c r="R186" s="52">
        <v>0.39077713460454544</v>
      </c>
      <c r="S186" s="52">
        <v>0.40071394280000011</v>
      </c>
      <c r="T186" s="52">
        <v>0.17558053475935881</v>
      </c>
      <c r="U186" s="52">
        <v>0.42681917023409172</v>
      </c>
      <c r="V186" s="52">
        <v>0.43941515209318205</v>
      </c>
      <c r="W186" s="52">
        <v>0.17776883689839601</v>
      </c>
      <c r="X186">
        <v>7.7784897654545382E-2</v>
      </c>
      <c r="Y186">
        <v>5.0493053895454526E-2</v>
      </c>
      <c r="Z186">
        <v>9.6865402981818255E-2</v>
      </c>
      <c r="AA186">
        <v>0.1503444091636362</v>
      </c>
      <c r="AB186">
        <v>8.6530549904545478E-2</v>
      </c>
    </row>
    <row r="187" spans="1:28">
      <c r="A187">
        <v>14</v>
      </c>
      <c r="B187" t="s">
        <v>576</v>
      </c>
      <c r="C187" t="s">
        <v>577</v>
      </c>
      <c r="D187" t="s">
        <v>540</v>
      </c>
      <c r="E187">
        <v>11</v>
      </c>
      <c r="F187" t="s">
        <v>527</v>
      </c>
      <c r="G187" t="s">
        <v>556</v>
      </c>
      <c r="H187" t="s">
        <v>576</v>
      </c>
      <c r="I187" s="52">
        <v>0.55566378114318149</v>
      </c>
      <c r="J187" s="52">
        <v>0.56852443481590909</v>
      </c>
      <c r="K187" s="52">
        <v>0.21801558823529432</v>
      </c>
      <c r="L187" s="52">
        <v>0.6609475032295451</v>
      </c>
      <c r="M187" s="52">
        <v>0.67651579514772797</v>
      </c>
      <c r="N187" s="52">
        <v>0.25203641711229946</v>
      </c>
      <c r="O187" s="52">
        <v>0.65371275477727309</v>
      </c>
      <c r="P187" s="52">
        <v>0.66939014418863629</v>
      </c>
      <c r="Q187" s="52">
        <v>0.2701608288770056</v>
      </c>
      <c r="R187" s="52">
        <v>0.53231183076363664</v>
      </c>
      <c r="S187" s="52">
        <v>0.54583976893636366</v>
      </c>
      <c r="T187" s="52">
        <v>0.23919700534759386</v>
      </c>
      <c r="U187" s="52">
        <v>0.58275977589772743</v>
      </c>
      <c r="V187" s="52">
        <v>0.59990572675681908</v>
      </c>
      <c r="W187" s="52">
        <v>0.24316752673796765</v>
      </c>
      <c r="X187">
        <v>0.1063809095681818</v>
      </c>
      <c r="Y187">
        <v>6.858540233181816E-2</v>
      </c>
      <c r="Z187">
        <v>0.13273487957500005</v>
      </c>
      <c r="AA187">
        <v>0.20626678120454522</v>
      </c>
      <c r="AB187">
        <v>0.11840045257954544</v>
      </c>
    </row>
    <row r="188" spans="1:28">
      <c r="A188">
        <v>15</v>
      </c>
      <c r="B188" t="s">
        <v>579</v>
      </c>
      <c r="C188" t="s">
        <v>580</v>
      </c>
      <c r="D188" t="s">
        <v>540</v>
      </c>
      <c r="E188">
        <v>12</v>
      </c>
      <c r="F188" t="s">
        <v>527</v>
      </c>
      <c r="G188" t="s">
        <v>581</v>
      </c>
      <c r="H188" t="s">
        <v>579</v>
      </c>
      <c r="I188" s="52">
        <v>0.58963715204772693</v>
      </c>
      <c r="J188" s="52">
        <v>0.60329482254318179</v>
      </c>
      <c r="K188" s="52">
        <v>0.23119779411764707</v>
      </c>
      <c r="L188" s="52">
        <v>0.70130752469772728</v>
      </c>
      <c r="M188" s="52">
        <v>0.71784911428181863</v>
      </c>
      <c r="N188" s="52">
        <v>0.26730665775401063</v>
      </c>
      <c r="O188" s="52">
        <v>0.69411506248636412</v>
      </c>
      <c r="P188" s="52">
        <v>0.71076266646590947</v>
      </c>
      <c r="Q188" s="52">
        <v>0.28682438502673746</v>
      </c>
      <c r="R188" s="52">
        <v>0.56508099312499993</v>
      </c>
      <c r="S188" s="52">
        <v>0.57944584058181836</v>
      </c>
      <c r="T188" s="52">
        <v>0.2540536096256687</v>
      </c>
      <c r="U188" s="52">
        <v>0.61900856289545525</v>
      </c>
      <c r="V188" s="52">
        <v>0.63720868576363709</v>
      </c>
      <c r="W188" s="52">
        <v>0.25850335561497367</v>
      </c>
      <c r="X188">
        <v>0.11305157723863629</v>
      </c>
      <c r="Y188">
        <v>7.2781771781818175E-2</v>
      </c>
      <c r="Z188">
        <v>0.14114033457272734</v>
      </c>
      <c r="AA188">
        <v>0.21938249129545437</v>
      </c>
      <c r="AB188">
        <v>0.12585824704318188</v>
      </c>
    </row>
    <row r="189" spans="1:28">
      <c r="A189">
        <v>16</v>
      </c>
      <c r="B189" t="s">
        <v>583</v>
      </c>
      <c r="C189" t="s">
        <v>584</v>
      </c>
      <c r="D189" t="s">
        <v>540</v>
      </c>
      <c r="E189">
        <v>13</v>
      </c>
      <c r="F189" t="s">
        <v>552</v>
      </c>
      <c r="G189" t="s">
        <v>556</v>
      </c>
      <c r="H189" t="s">
        <v>583</v>
      </c>
      <c r="I189" s="52">
        <v>4.0377832404545427E-2</v>
      </c>
      <c r="J189" s="52">
        <v>4.1325035495454403E-2</v>
      </c>
      <c r="K189" s="52">
        <v>1.6009665775401173E-2</v>
      </c>
      <c r="L189" s="52">
        <v>4.8034567404545675E-2</v>
      </c>
      <c r="M189" s="52">
        <v>4.9185253340909396E-2</v>
      </c>
      <c r="N189" s="52">
        <v>1.8536042780748427E-2</v>
      </c>
      <c r="O189" s="52">
        <v>4.794034047954597E-2</v>
      </c>
      <c r="P189" s="52">
        <v>4.9090941824999387E-2</v>
      </c>
      <c r="Q189" s="52">
        <v>2.0116898395722702E-2</v>
      </c>
      <c r="R189" s="52">
        <v>3.8905416784090777E-2</v>
      </c>
      <c r="S189" s="52">
        <v>3.9894538797727128E-2</v>
      </c>
      <c r="T189" s="52">
        <v>1.7518823529412045E-2</v>
      </c>
      <c r="U189" s="52">
        <v>4.2994746247727096E-2</v>
      </c>
      <c r="V189" s="52">
        <v>4.4247784520455233E-2</v>
      </c>
      <c r="W189" s="52">
        <v>1.7770561497326129E-2</v>
      </c>
      <c r="X189">
        <v>7.8975004204546104E-3</v>
      </c>
      <c r="Y189">
        <v>4.9828685545454353E-3</v>
      </c>
      <c r="Z189">
        <v>9.931399493181765E-3</v>
      </c>
      <c r="AA189">
        <v>1.5492037881818157E-2</v>
      </c>
      <c r="AB189">
        <v>8.8215345954544659E-3</v>
      </c>
    </row>
    <row r="190" spans="1:28">
      <c r="A190">
        <v>17</v>
      </c>
      <c r="B190" t="s">
        <v>586</v>
      </c>
      <c r="C190" t="s">
        <v>587</v>
      </c>
      <c r="D190" t="s">
        <v>540</v>
      </c>
      <c r="E190">
        <v>14</v>
      </c>
      <c r="F190" t="s">
        <v>552</v>
      </c>
      <c r="G190" t="s">
        <v>581</v>
      </c>
      <c r="H190" t="s">
        <v>586</v>
      </c>
      <c r="I190" s="52">
        <v>7.4351203309090855E-2</v>
      </c>
      <c r="J190" s="52">
        <v>7.6095423222727082E-2</v>
      </c>
      <c r="K190" s="52">
        <v>2.9191871657753894E-2</v>
      </c>
      <c r="L190" s="52">
        <v>8.8394588872727831E-2</v>
      </c>
      <c r="M190" s="52">
        <v>9.0518572475000031E-2</v>
      </c>
      <c r="N190" s="52">
        <v>3.3806283422459608E-2</v>
      </c>
      <c r="O190" s="52">
        <v>8.8342648188637046E-2</v>
      </c>
      <c r="P190" s="52">
        <v>9.0463464102272573E-2</v>
      </c>
      <c r="Q190" s="52">
        <v>3.678045454545463E-2</v>
      </c>
      <c r="R190" s="52">
        <v>7.1674579145454068E-2</v>
      </c>
      <c r="S190" s="52">
        <v>7.3500610443181791E-2</v>
      </c>
      <c r="T190" s="52">
        <v>3.237542780748686E-2</v>
      </c>
      <c r="U190" s="52">
        <v>7.924353324545487E-2</v>
      </c>
      <c r="V190" s="52">
        <v>8.1550743527273248E-2</v>
      </c>
      <c r="W190" s="52">
        <v>3.3106390374332099E-2</v>
      </c>
      <c r="X190">
        <v>1.456816809090909E-2</v>
      </c>
      <c r="Y190">
        <v>9.1792380045454466E-3</v>
      </c>
      <c r="Z190">
        <v>1.8336854490909084E-2</v>
      </c>
      <c r="AA190">
        <v>2.8607747972727304E-2</v>
      </c>
      <c r="AB190">
        <v>1.6279329059090901E-2</v>
      </c>
    </row>
    <row r="191" spans="1:28">
      <c r="A191">
        <v>18</v>
      </c>
      <c r="B191" t="s">
        <v>589</v>
      </c>
      <c r="C191" t="s">
        <v>590</v>
      </c>
      <c r="D191" t="s">
        <v>540</v>
      </c>
      <c r="E191">
        <v>15</v>
      </c>
      <c r="F191" t="s">
        <v>538</v>
      </c>
      <c r="G191" t="s">
        <v>552</v>
      </c>
      <c r="H191" t="s">
        <v>589</v>
      </c>
      <c r="I191" s="52">
        <v>0.1064138194181817</v>
      </c>
      <c r="J191" s="52">
        <v>0.10890331859772701</v>
      </c>
      <c r="K191" s="52">
        <v>4.2063449197860973E-2</v>
      </c>
      <c r="L191" s="52">
        <v>0.12678799965454549</v>
      </c>
      <c r="M191" s="52">
        <v>0.12981506733181841</v>
      </c>
      <c r="N191" s="52">
        <v>4.8355240641710998E-2</v>
      </c>
      <c r="O191" s="52">
        <v>0.12600768680000002</v>
      </c>
      <c r="P191" s="52">
        <v>0.12903084247272795</v>
      </c>
      <c r="Q191" s="52">
        <v>5.2173582887700111E-2</v>
      </c>
      <c r="R191" s="52">
        <v>0.10262927937500042</v>
      </c>
      <c r="S191" s="52">
        <v>0.1052312873386364</v>
      </c>
      <c r="T191" s="52">
        <v>4.6097647058823028E-2</v>
      </c>
      <c r="U191" s="52">
        <v>0.11294585941590859</v>
      </c>
      <c r="V191" s="52">
        <v>0.11624279014318187</v>
      </c>
      <c r="W191" s="52">
        <v>4.7628128342245529E-2</v>
      </c>
      <c r="X191">
        <v>2.0698511493181825E-2</v>
      </c>
      <c r="Y191">
        <v>1.3109479881818199E-2</v>
      </c>
      <c r="Z191">
        <v>2.5938077100000019E-2</v>
      </c>
      <c r="AA191">
        <v>4.0430334159090892E-2</v>
      </c>
      <c r="AB191">
        <v>2.3048368079545498E-2</v>
      </c>
    </row>
    <row r="192" spans="1:28">
      <c r="A192">
        <v>19</v>
      </c>
      <c r="B192" t="s">
        <v>592</v>
      </c>
      <c r="C192" t="s">
        <v>593</v>
      </c>
      <c r="D192" t="s">
        <v>540</v>
      </c>
      <c r="E192">
        <v>16</v>
      </c>
      <c r="F192" t="s">
        <v>538</v>
      </c>
      <c r="G192" t="s">
        <v>556</v>
      </c>
      <c r="H192" t="s">
        <v>592</v>
      </c>
      <c r="I192" s="52">
        <v>0.14679165182272713</v>
      </c>
      <c r="J192" s="52">
        <v>0.15022835409318142</v>
      </c>
      <c r="K192" s="52">
        <v>5.8073114973262147E-2</v>
      </c>
      <c r="L192" s="52">
        <v>0.17482256705909116</v>
      </c>
      <c r="M192" s="52">
        <v>0.17900032067272778</v>
      </c>
      <c r="N192" s="52">
        <v>6.6891283422459424E-2</v>
      </c>
      <c r="O192" s="52">
        <v>0.17394802727954597</v>
      </c>
      <c r="P192" s="52">
        <v>0.17812178429772735</v>
      </c>
      <c r="Q192" s="52">
        <v>7.2290481283422803E-2</v>
      </c>
      <c r="R192" s="52">
        <v>0.1415346961590912</v>
      </c>
      <c r="S192" s="52">
        <v>0.14512582613636352</v>
      </c>
      <c r="T192" s="52">
        <v>6.361647058823508E-2</v>
      </c>
      <c r="U192" s="52">
        <v>0.15594060566363571</v>
      </c>
      <c r="V192" s="52">
        <v>0.16049057466363709</v>
      </c>
      <c r="W192" s="52">
        <v>6.5398689839571644E-2</v>
      </c>
      <c r="X192">
        <v>2.8596011913636431E-2</v>
      </c>
      <c r="Y192">
        <v>1.8092348436363634E-2</v>
      </c>
      <c r="Z192">
        <v>3.5869476593181786E-2</v>
      </c>
      <c r="AA192">
        <v>5.5922372040909052E-2</v>
      </c>
      <c r="AB192">
        <v>3.1869902674999964E-2</v>
      </c>
    </row>
    <row r="193" spans="1:28">
      <c r="A193">
        <v>20</v>
      </c>
      <c r="B193" t="s">
        <v>595</v>
      </c>
      <c r="C193" t="s">
        <v>596</v>
      </c>
      <c r="D193" t="s">
        <v>540</v>
      </c>
      <c r="E193">
        <v>17</v>
      </c>
      <c r="F193" t="s">
        <v>538</v>
      </c>
      <c r="G193" t="s">
        <v>581</v>
      </c>
      <c r="H193" t="s">
        <v>595</v>
      </c>
      <c r="I193" s="52">
        <v>0.18076502272727257</v>
      </c>
      <c r="J193" s="52">
        <v>0.18499874182045406</v>
      </c>
      <c r="K193" s="52">
        <v>7.1255320855614868E-2</v>
      </c>
      <c r="L193" s="52">
        <v>0.21518258852727329</v>
      </c>
      <c r="M193" s="52">
        <v>0.22033363980681844</v>
      </c>
      <c r="N193" s="52">
        <v>8.2161524064170599E-2</v>
      </c>
      <c r="O193" s="52">
        <v>0.21435033498863706</v>
      </c>
      <c r="P193" s="52">
        <v>0.21949430657500052</v>
      </c>
      <c r="Q193" s="52">
        <v>8.8954037433154734E-2</v>
      </c>
      <c r="R193" s="52">
        <v>0.17430385852045449</v>
      </c>
      <c r="S193" s="52">
        <v>0.17873189778181819</v>
      </c>
      <c r="T193" s="52">
        <v>7.8473074866309889E-2</v>
      </c>
      <c r="U193" s="52">
        <v>0.19218939266136348</v>
      </c>
      <c r="V193" s="52">
        <v>0.1977935336704551</v>
      </c>
      <c r="W193" s="52">
        <v>8.0734518716577622E-2</v>
      </c>
      <c r="X193">
        <v>3.5266679584090917E-2</v>
      </c>
      <c r="Y193">
        <v>2.2288717886363649E-2</v>
      </c>
      <c r="Z193">
        <v>4.427493159090911E-2</v>
      </c>
      <c r="AA193">
        <v>6.9038082131818196E-2</v>
      </c>
      <c r="AB193">
        <v>3.9327697138636403E-2</v>
      </c>
    </row>
    <row r="194" spans="1:28">
      <c r="A194">
        <v>21</v>
      </c>
      <c r="B194" t="s">
        <v>598</v>
      </c>
      <c r="C194" t="s">
        <v>599</v>
      </c>
      <c r="D194" t="s">
        <v>540</v>
      </c>
      <c r="E194">
        <v>18</v>
      </c>
      <c r="F194" t="s">
        <v>556</v>
      </c>
      <c r="G194" t="s">
        <v>581</v>
      </c>
      <c r="H194" t="s">
        <v>598</v>
      </c>
      <c r="I194" s="52">
        <v>3.3973370904545427E-2</v>
      </c>
      <c r="J194" s="52">
        <v>3.4770387727272672E-2</v>
      </c>
      <c r="K194" s="52">
        <v>1.3182205882352718E-2</v>
      </c>
      <c r="L194" s="52">
        <v>4.0360021468182142E-2</v>
      </c>
      <c r="M194" s="52">
        <v>4.1333319134090649E-2</v>
      </c>
      <c r="N194" s="52">
        <v>1.5270240641711185E-2</v>
      </c>
      <c r="O194" s="52">
        <v>4.0402307709091076E-2</v>
      </c>
      <c r="P194" s="52">
        <v>4.1372522277273172E-2</v>
      </c>
      <c r="Q194" s="52">
        <v>1.6663556149731928E-2</v>
      </c>
      <c r="R194" s="52">
        <v>3.2769162361363298E-2</v>
      </c>
      <c r="S194" s="52">
        <v>3.3606071645454663E-2</v>
      </c>
      <c r="T194" s="52">
        <v>1.4856604278074812E-2</v>
      </c>
      <c r="U194" s="52">
        <v>3.6248786997727767E-2</v>
      </c>
      <c r="V194" s="52">
        <v>3.7302959006818015E-2</v>
      </c>
      <c r="W194" s="52">
        <v>1.5335828877005974E-2</v>
      </c>
      <c r="X194">
        <v>6.6706676704544818E-3</v>
      </c>
      <c r="Y194">
        <v>4.1963694500000114E-3</v>
      </c>
      <c r="Z194">
        <v>8.4054549977273189E-3</v>
      </c>
      <c r="AA194">
        <v>1.3115710090909147E-2</v>
      </c>
      <c r="AB194">
        <v>7.4577944636364368E-3</v>
      </c>
    </row>
    <row r="195" spans="1:28">
      <c r="A195">
        <v>22</v>
      </c>
      <c r="B195" t="s">
        <v>601</v>
      </c>
      <c r="C195" t="s">
        <v>602</v>
      </c>
      <c r="D195" t="s">
        <v>176</v>
      </c>
      <c r="E195">
        <v>10</v>
      </c>
      <c r="F195" t="s">
        <v>603</v>
      </c>
      <c r="G195" t="s">
        <v>604</v>
      </c>
      <c r="H195" t="s">
        <v>601</v>
      </c>
      <c r="I195" s="52">
        <v>-5.7170955436868685</v>
      </c>
      <c r="J195" s="52">
        <v>-5.8632578499728041</v>
      </c>
      <c r="K195" s="52">
        <v>-2.5955497280497282</v>
      </c>
      <c r="L195" s="52">
        <v>-6.3018993838830601</v>
      </c>
      <c r="M195" s="52">
        <v>-6.4663228043356646</v>
      </c>
      <c r="N195" s="52">
        <v>-2.8331769047945512</v>
      </c>
      <c r="O195" s="52">
        <v>-10.365117765578866</v>
      </c>
      <c r="P195" s="52">
        <v>-10.569981333036131</v>
      </c>
      <c r="Q195" s="52">
        <v>-5.556422208510444</v>
      </c>
      <c r="R195" s="52">
        <v>-7.6348905131915306</v>
      </c>
      <c r="S195" s="52">
        <v>-7.8041782426942508</v>
      </c>
      <c r="T195" s="52">
        <v>-4.1519606929018682</v>
      </c>
      <c r="U195" s="52">
        <v>-12.905144495730379</v>
      </c>
      <c r="V195" s="52">
        <v>-13.138803052332946</v>
      </c>
      <c r="W195" s="52">
        <v>-7.7238867978426793</v>
      </c>
      <c r="X195">
        <v>-1.0685166459965032</v>
      </c>
      <c r="Y195">
        <v>-0.74262315118686861</v>
      </c>
      <c r="Z195">
        <v>-1.2383304293512043</v>
      </c>
      <c r="AA195">
        <v>-1.827726509498834</v>
      </c>
      <c r="AB195">
        <v>-0.9993578215112664</v>
      </c>
    </row>
    <row r="196" spans="1:28">
      <c r="A196">
        <v>23</v>
      </c>
      <c r="B196" t="s">
        <v>606</v>
      </c>
      <c r="C196" t="s">
        <v>607</v>
      </c>
      <c r="D196" t="s">
        <v>176</v>
      </c>
      <c r="E196">
        <v>11</v>
      </c>
      <c r="F196" t="s">
        <v>603</v>
      </c>
      <c r="G196" t="s">
        <v>608</v>
      </c>
      <c r="H196" t="s">
        <v>606</v>
      </c>
      <c r="I196" s="52">
        <v>-4.6876684063986023</v>
      </c>
      <c r="J196" s="52">
        <v>-4.8092282473659669</v>
      </c>
      <c r="K196" s="52">
        <v>-2.1378639105992043</v>
      </c>
      <c r="L196" s="52">
        <v>-5.1676318488034187</v>
      </c>
      <c r="M196" s="52">
        <v>-5.3040623398251743</v>
      </c>
      <c r="N196" s="52">
        <v>-2.338594497006262</v>
      </c>
      <c r="O196" s="52">
        <v>-8.5756140237917613</v>
      </c>
      <c r="P196" s="52">
        <v>-8.746762674529915</v>
      </c>
      <c r="Q196" s="52">
        <v>-4.6089133187074349</v>
      </c>
      <c r="R196" s="52">
        <v>-6.2617144356332552</v>
      </c>
      <c r="S196" s="52">
        <v>-6.4023934194327889</v>
      </c>
      <c r="T196" s="52">
        <v>-3.4179092280268759</v>
      </c>
      <c r="U196" s="52">
        <v>-10.739034236752136</v>
      </c>
      <c r="V196" s="52">
        <v>-10.934300548416861</v>
      </c>
      <c r="W196" s="52">
        <v>-6.4329234654234657</v>
      </c>
      <c r="X196">
        <v>-1.0600495463189588</v>
      </c>
      <c r="Y196">
        <v>-0.75510054188422693</v>
      </c>
      <c r="Z196">
        <v>-1.2068109285703184</v>
      </c>
      <c r="AA196">
        <v>-1.7595555066996891</v>
      </c>
      <c r="AB196">
        <v>-0.98210205532634032</v>
      </c>
    </row>
    <row r="197" spans="1:28">
      <c r="A197">
        <v>24</v>
      </c>
      <c r="B197" t="s">
        <v>610</v>
      </c>
      <c r="C197" t="s">
        <v>611</v>
      </c>
      <c r="D197" t="s">
        <v>176</v>
      </c>
      <c r="E197">
        <v>12</v>
      </c>
      <c r="F197" t="s">
        <v>603</v>
      </c>
      <c r="G197" t="s">
        <v>612</v>
      </c>
      <c r="H197" t="s">
        <v>610</v>
      </c>
      <c r="I197" s="52">
        <v>0</v>
      </c>
      <c r="J197" s="52">
        <v>0</v>
      </c>
      <c r="K197" s="52">
        <v>0</v>
      </c>
      <c r="L197" s="52">
        <v>0</v>
      </c>
      <c r="M197" s="52">
        <v>0</v>
      </c>
      <c r="N197" s="52">
        <v>0</v>
      </c>
      <c r="O197" s="52">
        <v>0</v>
      </c>
      <c r="P197" s="52">
        <v>0</v>
      </c>
      <c r="Q197" s="52">
        <v>0</v>
      </c>
      <c r="R197" s="52">
        <v>0</v>
      </c>
      <c r="S197" s="52">
        <v>0</v>
      </c>
      <c r="T197" s="52">
        <v>0</v>
      </c>
      <c r="U197" s="52">
        <v>0</v>
      </c>
      <c r="V197" s="52">
        <v>0</v>
      </c>
      <c r="W197" s="52">
        <v>0</v>
      </c>
      <c r="X197">
        <v>0</v>
      </c>
      <c r="Y197">
        <v>0</v>
      </c>
      <c r="Z197">
        <v>0</v>
      </c>
      <c r="AA197">
        <v>0</v>
      </c>
      <c r="AB197">
        <v>0</v>
      </c>
    </row>
    <row r="198" spans="1:28">
      <c r="A198">
        <v>25</v>
      </c>
      <c r="B198" t="s">
        <v>614</v>
      </c>
      <c r="C198" t="s">
        <v>615</v>
      </c>
      <c r="D198" t="s">
        <v>176</v>
      </c>
      <c r="E198">
        <v>13</v>
      </c>
      <c r="F198" t="s">
        <v>603</v>
      </c>
      <c r="G198" t="s">
        <v>616</v>
      </c>
      <c r="H198" t="s">
        <v>614</v>
      </c>
      <c r="I198" s="52">
        <v>-2.785361253616939</v>
      </c>
      <c r="J198" s="52">
        <v>-2.8595519707867139</v>
      </c>
      <c r="K198" s="52">
        <v>-1.2853744001096941</v>
      </c>
      <c r="L198" s="52">
        <v>-3.0870602546212114</v>
      </c>
      <c r="M198" s="52">
        <v>-3.1701746288053609</v>
      </c>
      <c r="N198" s="52">
        <v>-1.407727706933589</v>
      </c>
      <c r="O198" s="52">
        <v>-5.2189335216045061</v>
      </c>
      <c r="P198" s="52">
        <v>-5.3255145686169367</v>
      </c>
      <c r="Q198" s="52">
        <v>-2.8328694181635354</v>
      </c>
      <c r="R198" s="52">
        <v>-3.711232304693084</v>
      </c>
      <c r="S198" s="52">
        <v>-3.7970730731837601</v>
      </c>
      <c r="T198" s="52">
        <v>-2.048405982905984</v>
      </c>
      <c r="U198" s="52">
        <v>-6.6319485717035747</v>
      </c>
      <c r="V198" s="52">
        <v>-6.7532827251709389</v>
      </c>
      <c r="W198" s="52">
        <v>-4.0055807395219158</v>
      </c>
      <c r="X198">
        <v>-0.99541636562937041</v>
      </c>
      <c r="Y198">
        <v>-0.74061140366161626</v>
      </c>
      <c r="Z198">
        <v>-1.0903435630710954</v>
      </c>
      <c r="AA198">
        <v>-1.5531741247707849</v>
      </c>
      <c r="AB198">
        <v>-0.90318822324786319</v>
      </c>
    </row>
    <row r="199" spans="1:28">
      <c r="A199">
        <v>26</v>
      </c>
      <c r="B199" t="s">
        <v>618</v>
      </c>
      <c r="C199" t="s">
        <v>619</v>
      </c>
      <c r="D199" t="s">
        <v>176</v>
      </c>
      <c r="E199">
        <v>14</v>
      </c>
      <c r="F199" t="s">
        <v>603</v>
      </c>
      <c r="G199" t="s">
        <v>620</v>
      </c>
      <c r="H199" t="s">
        <v>618</v>
      </c>
      <c r="I199" s="52">
        <v>-1.6670568311266512</v>
      </c>
      <c r="J199" s="52">
        <v>-1.7115365920240877</v>
      </c>
      <c r="K199" s="52">
        <v>-0.77870809909045202</v>
      </c>
      <c r="L199" s="52">
        <v>-1.8686797124514372</v>
      </c>
      <c r="M199" s="52">
        <v>-1.9190352919463867</v>
      </c>
      <c r="N199" s="52">
        <v>-0.85152785776315265</v>
      </c>
      <c r="O199" s="52">
        <v>-3.2185029953438224</v>
      </c>
      <c r="P199" s="52">
        <v>-3.2842898666511267</v>
      </c>
      <c r="Q199" s="52">
        <v>-1.7947809771927408</v>
      </c>
      <c r="R199" s="52">
        <v>-2.1720161585644906</v>
      </c>
      <c r="S199" s="52">
        <v>-2.2219467647047386</v>
      </c>
      <c r="T199" s="52">
        <v>-1.2430671191553551</v>
      </c>
      <c r="U199" s="52">
        <v>-4.1991526195376832</v>
      </c>
      <c r="V199" s="52">
        <v>-4.2747010017851572</v>
      </c>
      <c r="W199" s="52">
        <v>-2.618766397001691</v>
      </c>
      <c r="X199">
        <v>-1.0773799606332555</v>
      </c>
      <c r="Y199">
        <v>-0.83519540929098679</v>
      </c>
      <c r="Z199">
        <v>-1.1394334768006993</v>
      </c>
      <c r="AA199">
        <v>-1.5889403216025639</v>
      </c>
      <c r="AB199">
        <v>-0.96466515365190353</v>
      </c>
    </row>
    <row r="200" spans="1:28">
      <c r="A200">
        <v>27</v>
      </c>
      <c r="B200" t="s">
        <v>622</v>
      </c>
      <c r="C200" t="s">
        <v>623</v>
      </c>
      <c r="D200" t="s">
        <v>176</v>
      </c>
      <c r="E200">
        <v>15</v>
      </c>
      <c r="F200" t="s">
        <v>624</v>
      </c>
      <c r="G200" t="s">
        <v>604</v>
      </c>
      <c r="H200" t="s">
        <v>622</v>
      </c>
      <c r="I200" s="52">
        <v>0.97027640130730353</v>
      </c>
      <c r="J200" s="52">
        <v>0.98496837977467022</v>
      </c>
      <c r="K200" s="52">
        <v>0.52026632844279863</v>
      </c>
      <c r="L200" s="52">
        <v>1.1326670280594409</v>
      </c>
      <c r="M200" s="52">
        <v>1.1511969972727265</v>
      </c>
      <c r="N200" s="52">
        <v>0.55733541295306033</v>
      </c>
      <c r="O200" s="52">
        <v>1.8804279481449089</v>
      </c>
      <c r="P200" s="52">
        <v>1.9006790820376827</v>
      </c>
      <c r="Q200" s="52">
        <v>1.366733648704237</v>
      </c>
      <c r="R200" s="52">
        <v>1.0876524499300704</v>
      </c>
      <c r="S200" s="52">
        <v>1.0953764663150718</v>
      </c>
      <c r="T200" s="52">
        <v>0.94002967457379272</v>
      </c>
      <c r="U200" s="52">
        <v>2.5999497985722604</v>
      </c>
      <c r="V200" s="52">
        <v>2.6302743183566415</v>
      </c>
      <c r="W200" s="52">
        <v>2.229638991727227</v>
      </c>
      <c r="X200">
        <v>1.7243542946969699</v>
      </c>
      <c r="Y200">
        <v>1.4453471669522147</v>
      </c>
      <c r="Z200">
        <v>1.805537958902486</v>
      </c>
      <c r="AA200">
        <v>2.3990663374087027</v>
      </c>
      <c r="AB200">
        <v>1.5941138247319349</v>
      </c>
    </row>
    <row r="201" spans="1:28">
      <c r="A201">
        <v>28</v>
      </c>
      <c r="B201" t="s">
        <v>626</v>
      </c>
      <c r="C201" t="s">
        <v>627</v>
      </c>
      <c r="D201" t="s">
        <v>176</v>
      </c>
      <c r="E201">
        <v>16</v>
      </c>
      <c r="F201" t="s">
        <v>624</v>
      </c>
      <c r="G201" t="s">
        <v>608</v>
      </c>
      <c r="H201" t="s">
        <v>626</v>
      </c>
      <c r="I201" s="52">
        <v>1.9997035385955706</v>
      </c>
      <c r="J201" s="52">
        <v>2.038997982381507</v>
      </c>
      <c r="K201" s="52">
        <v>0.9779521458933228</v>
      </c>
      <c r="L201" s="52">
        <v>2.2669345631390834</v>
      </c>
      <c r="M201" s="52">
        <v>2.3134574617832171</v>
      </c>
      <c r="N201" s="52">
        <v>1.0519178207413495</v>
      </c>
      <c r="O201" s="52">
        <v>3.669931689932012</v>
      </c>
      <c r="P201" s="52">
        <v>3.7238977405438982</v>
      </c>
      <c r="Q201" s="52">
        <v>2.3142425385072456</v>
      </c>
      <c r="R201" s="52">
        <v>2.4608285274883452</v>
      </c>
      <c r="S201" s="52">
        <v>2.4971612895765332</v>
      </c>
      <c r="T201" s="52">
        <v>1.6740811394487856</v>
      </c>
      <c r="U201" s="52">
        <v>4.7660600575505043</v>
      </c>
      <c r="V201" s="52">
        <v>4.8347768222727279</v>
      </c>
      <c r="W201" s="52">
        <v>3.5206023241464415</v>
      </c>
      <c r="X201">
        <v>1.7328213943745143</v>
      </c>
      <c r="Y201">
        <v>1.4328697762548563</v>
      </c>
      <c r="Z201">
        <v>1.837057459683372</v>
      </c>
      <c r="AA201">
        <v>2.4672373402078476</v>
      </c>
      <c r="AB201">
        <v>1.6113695909168608</v>
      </c>
    </row>
    <row r="202" spans="1:28">
      <c r="A202">
        <v>29</v>
      </c>
      <c r="B202" t="s">
        <v>629</v>
      </c>
      <c r="C202" t="s">
        <v>630</v>
      </c>
      <c r="D202" t="s">
        <v>176</v>
      </c>
      <c r="E202">
        <v>17</v>
      </c>
      <c r="F202" t="s">
        <v>624</v>
      </c>
      <c r="G202" t="s">
        <v>612</v>
      </c>
      <c r="H202" t="s">
        <v>629</v>
      </c>
      <c r="I202" s="52">
        <v>6.6873719449941724</v>
      </c>
      <c r="J202" s="52">
        <v>6.8482262297474747</v>
      </c>
      <c r="K202" s="52">
        <v>3.1158160564925272</v>
      </c>
      <c r="L202" s="52">
        <v>7.4345664119425017</v>
      </c>
      <c r="M202" s="52">
        <v>7.6175198016083918</v>
      </c>
      <c r="N202" s="52">
        <v>3.3905123177476115</v>
      </c>
      <c r="O202" s="52">
        <v>12.245545713723775</v>
      </c>
      <c r="P202" s="52">
        <v>12.470660415073812</v>
      </c>
      <c r="Q202" s="52">
        <v>6.9231558572146801</v>
      </c>
      <c r="R202" s="52">
        <v>8.7225429631216009</v>
      </c>
      <c r="S202" s="52">
        <v>8.8995547090093208</v>
      </c>
      <c r="T202" s="52">
        <v>5.0919903674756606</v>
      </c>
      <c r="U202" s="52">
        <v>15.505094294302641</v>
      </c>
      <c r="V202" s="52">
        <v>15.769077370689587</v>
      </c>
      <c r="W202" s="52">
        <v>9.9535257895699072</v>
      </c>
      <c r="X202">
        <v>2.7928709406934726</v>
      </c>
      <c r="Y202">
        <v>2.187970318139083</v>
      </c>
      <c r="Z202">
        <v>3.0438683882536908</v>
      </c>
      <c r="AA202">
        <v>4.2267928469075375</v>
      </c>
      <c r="AB202">
        <v>2.5934716462432008</v>
      </c>
    </row>
    <row r="203" spans="1:28">
      <c r="A203">
        <v>30</v>
      </c>
      <c r="B203" t="s">
        <v>632</v>
      </c>
      <c r="C203" t="s">
        <v>633</v>
      </c>
      <c r="D203" t="s">
        <v>176</v>
      </c>
      <c r="E203">
        <v>18</v>
      </c>
      <c r="F203" t="s">
        <v>624</v>
      </c>
      <c r="G203" t="s">
        <v>616</v>
      </c>
      <c r="H203" t="s">
        <v>632</v>
      </c>
      <c r="I203" s="52">
        <v>3.9020106913772326</v>
      </c>
      <c r="J203" s="52">
        <v>3.9886742589607609</v>
      </c>
      <c r="K203" s="52">
        <v>1.830441656382833</v>
      </c>
      <c r="L203" s="52">
        <v>4.3475061573212903</v>
      </c>
      <c r="M203" s="52">
        <v>4.44734517280303</v>
      </c>
      <c r="N203" s="52">
        <v>1.9827846108140226</v>
      </c>
      <c r="O203" s="52">
        <v>7.0266121921192672</v>
      </c>
      <c r="P203" s="52">
        <v>7.1451458464568764</v>
      </c>
      <c r="Q203" s="52">
        <v>4.0902864390511455</v>
      </c>
      <c r="R203" s="52">
        <v>5.0113106584285161</v>
      </c>
      <c r="S203" s="52">
        <v>5.102481635825562</v>
      </c>
      <c r="T203" s="52">
        <v>3.0435843845696771</v>
      </c>
      <c r="U203" s="52">
        <v>8.873145722599066</v>
      </c>
      <c r="V203" s="52">
        <v>9.015794645518648</v>
      </c>
      <c r="W203" s="52">
        <v>5.9479450500479913</v>
      </c>
      <c r="X203">
        <v>1.7974545750641024</v>
      </c>
      <c r="Y203">
        <v>1.447358914477467</v>
      </c>
      <c r="Z203">
        <v>1.953524825182595</v>
      </c>
      <c r="AA203">
        <v>2.6736187221367516</v>
      </c>
      <c r="AB203">
        <v>1.6902834229953381</v>
      </c>
    </row>
    <row r="204" spans="1:28">
      <c r="A204">
        <v>31</v>
      </c>
      <c r="B204" t="s">
        <v>635</v>
      </c>
      <c r="C204" t="s">
        <v>636</v>
      </c>
      <c r="D204" t="s">
        <v>176</v>
      </c>
      <c r="E204">
        <v>19</v>
      </c>
      <c r="F204" t="s">
        <v>604</v>
      </c>
      <c r="G204" t="s">
        <v>637</v>
      </c>
      <c r="H204" t="s">
        <v>635</v>
      </c>
      <c r="I204" s="52">
        <v>2.521425813123543</v>
      </c>
      <c r="J204" s="52">
        <v>2.5828930086810407</v>
      </c>
      <c r="K204" s="52">
        <v>1.1258959276018108</v>
      </c>
      <c r="L204" s="52">
        <v>2.7684419376728822</v>
      </c>
      <c r="M204" s="52">
        <v>2.8380900180555551</v>
      </c>
      <c r="N204" s="52">
        <v>1.2229272590154938</v>
      </c>
      <c r="O204" s="52">
        <v>4.4186147367812723</v>
      </c>
      <c r="P204" s="52">
        <v>4.5025945498815059</v>
      </c>
      <c r="Q204" s="52">
        <v>2.3402748068924537</v>
      </c>
      <c r="R204" s="52">
        <v>3.370937934862082</v>
      </c>
      <c r="S204" s="52">
        <v>3.4421646776554007</v>
      </c>
      <c r="T204" s="52">
        <v>1.8088048128342233</v>
      </c>
      <c r="U204" s="52">
        <v>5.3816533510023312</v>
      </c>
      <c r="V204" s="52">
        <v>5.4776660970901325</v>
      </c>
      <c r="W204" s="52">
        <v>3.1970138831756483</v>
      </c>
      <c r="X204">
        <v>6.557232691142198E-2</v>
      </c>
      <c r="Y204">
        <v>4.7147934984461265E-3</v>
      </c>
      <c r="Z204">
        <v>0.12853743521561756</v>
      </c>
      <c r="AA204">
        <v>0.23751308602175589</v>
      </c>
      <c r="AB204">
        <v>8.4744910773115703E-2</v>
      </c>
    </row>
    <row r="205" spans="1:28">
      <c r="A205">
        <v>32</v>
      </c>
      <c r="B205" t="s">
        <v>639</v>
      </c>
      <c r="C205" t="s">
        <v>640</v>
      </c>
      <c r="D205" t="s">
        <v>176</v>
      </c>
      <c r="E205">
        <v>20</v>
      </c>
      <c r="F205" t="s">
        <v>641</v>
      </c>
      <c r="G205" t="s">
        <v>637</v>
      </c>
      <c r="H205" t="s">
        <v>639</v>
      </c>
      <c r="I205" s="52">
        <v>19.173305116866743</v>
      </c>
      <c r="J205" s="52">
        <v>19.576205142381507</v>
      </c>
      <c r="K205" s="52">
        <v>8.4973208784679368</v>
      </c>
      <c r="L205" s="52">
        <v>20.990388633510101</v>
      </c>
      <c r="M205" s="52">
        <v>21.436708859234649</v>
      </c>
      <c r="N205" s="52">
        <v>9.1961556972439347</v>
      </c>
      <c r="O205" s="52">
        <v>32.111681792499994</v>
      </c>
      <c r="P205" s="52">
        <v>32.683450879053993</v>
      </c>
      <c r="Q205" s="52">
        <v>18.781878410804882</v>
      </c>
      <c r="R205" s="52">
        <v>25.058416939935896</v>
      </c>
      <c r="S205" s="52">
        <v>25.537261063964646</v>
      </c>
      <c r="T205" s="52">
        <v>14.238798094062799</v>
      </c>
      <c r="U205" s="52">
        <v>38.722478213319739</v>
      </c>
      <c r="V205" s="52">
        <v>39.377109278117715</v>
      </c>
      <c r="W205" s="52">
        <v>26.069865453174277</v>
      </c>
      <c r="X205">
        <v>1.1831057415831392</v>
      </c>
      <c r="Y205">
        <v>0.74957938462315454</v>
      </c>
      <c r="Z205">
        <v>1.5179982144366742</v>
      </c>
      <c r="AA205">
        <v>2.3076774732303811</v>
      </c>
      <c r="AB205">
        <v>1.2597317008644133</v>
      </c>
    </row>
    <row r="206" spans="1:28">
      <c r="A206">
        <v>33</v>
      </c>
      <c r="B206" t="s">
        <v>643</v>
      </c>
      <c r="C206" t="s">
        <v>644</v>
      </c>
      <c r="D206" t="s">
        <v>176</v>
      </c>
      <c r="E206">
        <v>21</v>
      </c>
      <c r="F206" t="s">
        <v>645</v>
      </c>
      <c r="G206" t="s">
        <v>637</v>
      </c>
      <c r="H206" t="s">
        <v>643</v>
      </c>
      <c r="I206" s="52">
        <v>11.133550341093628</v>
      </c>
      <c r="J206" s="52">
        <v>11.374420017060995</v>
      </c>
      <c r="K206" s="52">
        <v>5.0114505233328765</v>
      </c>
      <c r="L206" s="52">
        <v>12.243046977841878</v>
      </c>
      <c r="M206" s="52">
        <v>12.51173464277195</v>
      </c>
      <c r="N206" s="52">
        <v>5.4268116687234329</v>
      </c>
      <c r="O206" s="52">
        <v>19.14951297939005</v>
      </c>
      <c r="P206" s="52">
        <v>19.487995283572261</v>
      </c>
      <c r="Q206" s="52">
        <v>10.969316616390145</v>
      </c>
      <c r="R206" s="52">
        <v>14.514595689976687</v>
      </c>
      <c r="S206" s="52">
        <v>14.791971007426184</v>
      </c>
      <c r="T206" s="52">
        <v>8.3209428104575167</v>
      </c>
      <c r="U206" s="52">
        <v>23.377004959203571</v>
      </c>
      <c r="V206" s="52">
        <v>23.769003469110334</v>
      </c>
      <c r="W206" s="52">
        <v>15.474579962521142</v>
      </c>
      <c r="X206">
        <v>1.6668278953613052</v>
      </c>
      <c r="Y206">
        <v>1.2350048588150739</v>
      </c>
      <c r="Z206">
        <v>1.9263268379992229</v>
      </c>
      <c r="AA206">
        <v>2.7482648577233877</v>
      </c>
      <c r="AB206">
        <v>1.6396031546425796</v>
      </c>
    </row>
    <row r="207" spans="1:28">
      <c r="A207">
        <v>34</v>
      </c>
      <c r="B207" t="s">
        <v>647</v>
      </c>
      <c r="C207" t="s">
        <v>648</v>
      </c>
      <c r="D207" t="s">
        <v>176</v>
      </c>
      <c r="E207">
        <v>22</v>
      </c>
      <c r="F207" t="s">
        <v>641</v>
      </c>
      <c r="G207" t="s">
        <v>608</v>
      </c>
      <c r="H207" t="s">
        <v>647</v>
      </c>
      <c r="I207" s="52">
        <v>17.681306441031467</v>
      </c>
      <c r="J207" s="52">
        <v>18.047341736307303</v>
      </c>
      <c r="K207" s="52">
        <v>7.8291107683166503</v>
      </c>
      <c r="L207" s="52">
        <v>19.356214230916862</v>
      </c>
      <c r="M207" s="52">
        <v>19.760879305689588</v>
      </c>
      <c r="N207" s="52">
        <v>8.4678108460167287</v>
      </c>
      <c r="O207" s="52">
        <v>29.482570797505826</v>
      </c>
      <c r="P207" s="52">
        <v>30.00407498767871</v>
      </c>
      <c r="Q207" s="52">
        <v>17.389112493715437</v>
      </c>
      <c r="R207" s="52">
        <v>23.060655082632092</v>
      </c>
      <c r="S207" s="52">
        <v>23.496881209570706</v>
      </c>
      <c r="T207" s="52">
        <v>13.164044746103569</v>
      </c>
      <c r="U207" s="52">
        <v>35.506935121295648</v>
      </c>
      <c r="V207" s="52">
        <v>36.103945684943668</v>
      </c>
      <c r="W207" s="52">
        <v>24.163814902417844</v>
      </c>
      <c r="X207">
        <v>1.1260005143492617</v>
      </c>
      <c r="Y207">
        <v>0.73238720042735017</v>
      </c>
      <c r="Z207">
        <v>1.4209802800019422</v>
      </c>
      <c r="AA207">
        <v>2.1383353900077697</v>
      </c>
      <c r="AB207">
        <v>1.1922425562762236</v>
      </c>
    </row>
    <row r="208" spans="1:28">
      <c r="A208">
        <v>35</v>
      </c>
      <c r="B208" t="s">
        <v>650</v>
      </c>
      <c r="C208" t="s">
        <v>651</v>
      </c>
      <c r="D208" t="s">
        <v>176</v>
      </c>
      <c r="E208">
        <v>23</v>
      </c>
      <c r="F208" t="s">
        <v>645</v>
      </c>
      <c r="G208" t="s">
        <v>608</v>
      </c>
      <c r="H208" t="s">
        <v>650</v>
      </c>
      <c r="I208" s="52">
        <v>9.6415516652583513</v>
      </c>
      <c r="J208" s="52">
        <v>9.8455566109867902</v>
      </c>
      <c r="K208" s="52">
        <v>4.34324041318159</v>
      </c>
      <c r="L208" s="52">
        <v>10.60887257524864</v>
      </c>
      <c r="M208" s="52">
        <v>10.835905089226886</v>
      </c>
      <c r="N208" s="52">
        <v>4.6984668174962287</v>
      </c>
      <c r="O208" s="52">
        <v>16.520401984395882</v>
      </c>
      <c r="P208" s="52">
        <v>16.808619392196967</v>
      </c>
      <c r="Q208" s="52">
        <v>9.5765506993007001</v>
      </c>
      <c r="R208" s="52">
        <v>12.51683383267288</v>
      </c>
      <c r="S208" s="52">
        <v>12.751591153032246</v>
      </c>
      <c r="T208" s="52">
        <v>7.2461894624982861</v>
      </c>
      <c r="U208" s="52">
        <v>20.161461867179487</v>
      </c>
      <c r="V208" s="52">
        <v>20.495839875936287</v>
      </c>
      <c r="W208" s="52">
        <v>13.568529411764708</v>
      </c>
      <c r="X208">
        <v>1.6097226681274277</v>
      </c>
      <c r="Y208">
        <v>1.2178126746192695</v>
      </c>
      <c r="Z208">
        <v>1.8293089035644912</v>
      </c>
      <c r="AA208">
        <v>2.5789227745007768</v>
      </c>
      <c r="AB208">
        <v>1.5721140100543898</v>
      </c>
    </row>
    <row r="209" spans="1:28">
      <c r="A209">
        <v>36</v>
      </c>
      <c r="B209" t="s">
        <v>653</v>
      </c>
      <c r="C209" t="s">
        <v>654</v>
      </c>
      <c r="D209" t="s">
        <v>176</v>
      </c>
      <c r="E209">
        <v>24</v>
      </c>
      <c r="F209" t="s">
        <v>604</v>
      </c>
      <c r="G209" t="s">
        <v>608</v>
      </c>
      <c r="H209" t="s">
        <v>653</v>
      </c>
      <c r="I209" s="52">
        <v>1.0294271372882671</v>
      </c>
      <c r="J209" s="52">
        <v>1.0540296026068368</v>
      </c>
      <c r="K209" s="52">
        <v>0.45768581745052417</v>
      </c>
      <c r="L209" s="52">
        <v>1.1342675350796423</v>
      </c>
      <c r="M209" s="52">
        <v>1.1622604645104908</v>
      </c>
      <c r="N209" s="52">
        <v>0.49458240778828932</v>
      </c>
      <c r="O209" s="52">
        <v>1.7895037417871027</v>
      </c>
      <c r="P209" s="52">
        <v>1.8232186585062156</v>
      </c>
      <c r="Q209" s="52">
        <v>0.94750888980300862</v>
      </c>
      <c r="R209" s="52">
        <v>1.3731760775582749</v>
      </c>
      <c r="S209" s="52">
        <v>1.4017848232614614</v>
      </c>
      <c r="T209" s="52">
        <v>0.73405146487499262</v>
      </c>
      <c r="U209" s="52">
        <v>2.1661102589782435</v>
      </c>
      <c r="V209" s="52">
        <v>2.2045025039160864</v>
      </c>
      <c r="W209" s="52">
        <v>1.2909633324192145</v>
      </c>
      <c r="X209">
        <v>8.4670996775446337E-3</v>
      </c>
      <c r="Y209">
        <v>-1.2477390697358278E-2</v>
      </c>
      <c r="Z209">
        <v>3.151950078088582E-2</v>
      </c>
      <c r="AA209">
        <v>6.8171002799144842E-2</v>
      </c>
      <c r="AB209">
        <v>1.7255766184926042E-2</v>
      </c>
    </row>
    <row r="210" spans="1:28">
      <c r="A210">
        <v>37</v>
      </c>
      <c r="B210" t="s">
        <v>655</v>
      </c>
      <c r="C210" t="s">
        <v>656</v>
      </c>
      <c r="D210" t="s">
        <v>58</v>
      </c>
      <c r="E210">
        <v>10</v>
      </c>
      <c r="F210" t="s">
        <v>657</v>
      </c>
      <c r="G210" t="s">
        <v>179</v>
      </c>
      <c r="H210" t="s">
        <v>655</v>
      </c>
      <c r="I210" s="52">
        <v>0</v>
      </c>
      <c r="J210" s="52">
        <v>0</v>
      </c>
      <c r="K210" s="52">
        <v>0</v>
      </c>
      <c r="L210" s="52">
        <v>0</v>
      </c>
      <c r="M210" s="52">
        <v>0</v>
      </c>
      <c r="N210" s="52">
        <v>0</v>
      </c>
      <c r="O210" s="52">
        <v>0</v>
      </c>
      <c r="P210" s="52">
        <v>0</v>
      </c>
      <c r="Q210" s="52">
        <v>0</v>
      </c>
      <c r="R210" s="52">
        <v>0</v>
      </c>
      <c r="S210" s="52">
        <v>0</v>
      </c>
      <c r="T210" s="52">
        <v>0</v>
      </c>
      <c r="U210" s="52">
        <v>0</v>
      </c>
      <c r="V210" s="52">
        <v>0</v>
      </c>
      <c r="W210" s="52">
        <v>0</v>
      </c>
      <c r="X210">
        <v>0</v>
      </c>
      <c r="Y210">
        <v>0</v>
      </c>
      <c r="Z210">
        <v>0</v>
      </c>
      <c r="AA210">
        <v>0</v>
      </c>
      <c r="AB210">
        <v>0</v>
      </c>
    </row>
    <row r="211" spans="1:28">
      <c r="A211">
        <v>38</v>
      </c>
      <c r="B211" t="s">
        <v>659</v>
      </c>
      <c r="C211" t="s">
        <v>660</v>
      </c>
      <c r="D211" t="s">
        <v>58</v>
      </c>
      <c r="E211">
        <v>11</v>
      </c>
      <c r="F211" t="s">
        <v>657</v>
      </c>
      <c r="G211" t="s">
        <v>661</v>
      </c>
      <c r="H211" t="s">
        <v>659</v>
      </c>
      <c r="I211" s="52">
        <v>0</v>
      </c>
      <c r="J211" s="52">
        <v>0</v>
      </c>
      <c r="K211" s="52">
        <v>0</v>
      </c>
      <c r="L211" s="52">
        <v>0</v>
      </c>
      <c r="M211" s="52">
        <v>0</v>
      </c>
      <c r="N211" s="52">
        <v>0</v>
      </c>
      <c r="O211" s="52">
        <v>0</v>
      </c>
      <c r="P211" s="52">
        <v>0</v>
      </c>
      <c r="Q211" s="52">
        <v>0</v>
      </c>
      <c r="R211" s="52">
        <v>0</v>
      </c>
      <c r="S211" s="52">
        <v>0</v>
      </c>
      <c r="T211" s="52">
        <v>0</v>
      </c>
      <c r="U211" s="52">
        <v>0</v>
      </c>
      <c r="V211" s="52">
        <v>0</v>
      </c>
      <c r="W211" s="52">
        <v>0</v>
      </c>
      <c r="X211">
        <v>0</v>
      </c>
      <c r="Y211">
        <v>0</v>
      </c>
      <c r="Z211">
        <v>0</v>
      </c>
      <c r="AA211">
        <v>0</v>
      </c>
      <c r="AB211">
        <v>0</v>
      </c>
    </row>
    <row r="212" spans="1:28">
      <c r="A212">
        <v>39</v>
      </c>
      <c r="B212" t="s">
        <v>663</v>
      </c>
      <c r="C212" t="s">
        <v>664</v>
      </c>
      <c r="D212" t="s">
        <v>58</v>
      </c>
      <c r="E212">
        <v>12</v>
      </c>
      <c r="F212" t="s">
        <v>179</v>
      </c>
      <c r="G212" t="s">
        <v>661</v>
      </c>
      <c r="H212" t="s">
        <v>663</v>
      </c>
      <c r="I212" s="52">
        <v>0</v>
      </c>
      <c r="J212" s="52">
        <v>0</v>
      </c>
      <c r="K212" s="52">
        <v>0</v>
      </c>
      <c r="L212" s="52">
        <v>0</v>
      </c>
      <c r="M212" s="52">
        <v>0</v>
      </c>
      <c r="N212" s="52">
        <v>0</v>
      </c>
      <c r="O212" s="52">
        <v>0</v>
      </c>
      <c r="P212" s="52">
        <v>0</v>
      </c>
      <c r="Q212" s="52">
        <v>0</v>
      </c>
      <c r="R212" s="52">
        <v>0</v>
      </c>
      <c r="S212" s="52">
        <v>0</v>
      </c>
      <c r="T212" s="52">
        <v>0</v>
      </c>
      <c r="U212" s="52">
        <v>0</v>
      </c>
      <c r="V212" s="52">
        <v>0</v>
      </c>
      <c r="W212" s="52">
        <v>0</v>
      </c>
      <c r="X212">
        <v>0</v>
      </c>
      <c r="Y212">
        <v>0</v>
      </c>
      <c r="Z212">
        <v>0</v>
      </c>
      <c r="AA212">
        <v>0</v>
      </c>
      <c r="AB212">
        <v>0</v>
      </c>
    </row>
    <row r="213" spans="1:28" ht="15">
      <c r="A213">
        <v>40</v>
      </c>
      <c r="B213" t="s">
        <v>666</v>
      </c>
      <c r="C213" t="s">
        <v>667</v>
      </c>
      <c r="D213" t="s">
        <v>541</v>
      </c>
      <c r="E213">
        <v>10</v>
      </c>
      <c r="F213" t="s">
        <v>668</v>
      </c>
      <c r="G213" t="s">
        <v>669</v>
      </c>
      <c r="H213" t="s">
        <v>666</v>
      </c>
      <c r="I213" s="518">
        <v>0</v>
      </c>
      <c r="J213" s="518">
        <v>97.502602949999186</v>
      </c>
      <c r="K213" s="518">
        <v>1090.5070588235315</v>
      </c>
      <c r="L213" s="518">
        <v>0</v>
      </c>
      <c r="M213" s="518">
        <v>141.31299765000222</v>
      </c>
      <c r="N213" s="518">
        <v>1172.2352941176484</v>
      </c>
      <c r="O213" s="518">
        <v>0</v>
      </c>
      <c r="P213" s="518">
        <v>360.55361444999585</v>
      </c>
      <c r="Q213" s="518">
        <v>4023.1149999999998</v>
      </c>
      <c r="R213" s="518">
        <v>0</v>
      </c>
      <c r="S213" s="518">
        <v>269.69554664999885</v>
      </c>
      <c r="T213" s="518">
        <v>2642.1144117647013</v>
      </c>
      <c r="U213" s="518">
        <v>0</v>
      </c>
      <c r="V213" s="518">
        <v>307.28987495000297</v>
      </c>
      <c r="W213" s="518">
        <v>6229.6402941176329</v>
      </c>
      <c r="X213" s="517">
        <v>331.75244049999992</v>
      </c>
      <c r="Y213" s="517">
        <v>156.54777164999916</v>
      </c>
      <c r="Z213" s="517">
        <v>392.36223349999972</v>
      </c>
      <c r="AA213" s="517">
        <v>815.60395114999869</v>
      </c>
      <c r="AB213" s="517">
        <v>272.06199595000004</v>
      </c>
    </row>
    <row r="214" spans="1:28" ht="15">
      <c r="A214">
        <v>41</v>
      </c>
      <c r="B214" t="s">
        <v>671</v>
      </c>
      <c r="C214" t="s">
        <v>672</v>
      </c>
      <c r="D214" t="s">
        <v>542</v>
      </c>
      <c r="E214">
        <v>10</v>
      </c>
      <c r="F214" t="s">
        <v>527</v>
      </c>
      <c r="G214" t="s">
        <v>673</v>
      </c>
      <c r="H214" t="s">
        <v>671</v>
      </c>
      <c r="I214" s="518">
        <v>0</v>
      </c>
      <c r="J214" s="518">
        <v>53.935766849999936</v>
      </c>
      <c r="K214" s="518">
        <v>75.222647058822389</v>
      </c>
      <c r="L214" s="518">
        <v>0</v>
      </c>
      <c r="M214" s="518">
        <v>61.758927300001503</v>
      </c>
      <c r="N214" s="518">
        <v>81.216764705882269</v>
      </c>
      <c r="O214" s="518">
        <v>0</v>
      </c>
      <c r="P214" s="518">
        <v>102.66736549999713</v>
      </c>
      <c r="Q214" s="518">
        <v>200.98852941176966</v>
      </c>
      <c r="R214" s="518">
        <v>0</v>
      </c>
      <c r="S214" s="518">
        <v>74.506137999998145</v>
      </c>
      <c r="T214" s="518">
        <v>145.63029411764703</v>
      </c>
      <c r="U214" s="518">
        <v>0</v>
      </c>
      <c r="V214" s="518">
        <v>110.83397440000098</v>
      </c>
      <c r="W214" s="518">
        <v>268.38735294117663</v>
      </c>
      <c r="X214" s="517">
        <v>21.899177400000735</v>
      </c>
      <c r="Y214" s="517">
        <v>11.403175849999373</v>
      </c>
      <c r="Z214" s="517">
        <v>26.190779150000651</v>
      </c>
      <c r="AA214" s="517">
        <v>47.895971799997724</v>
      </c>
      <c r="AB214" s="517">
        <v>19.109551799999888</v>
      </c>
    </row>
    <row r="215" spans="1:28" ht="15">
      <c r="A215">
        <v>42</v>
      </c>
      <c r="B215" t="s">
        <v>675</v>
      </c>
      <c r="C215" t="s">
        <v>676</v>
      </c>
      <c r="D215" t="s">
        <v>542</v>
      </c>
      <c r="E215">
        <v>11</v>
      </c>
      <c r="F215" t="s">
        <v>527</v>
      </c>
      <c r="G215" t="s">
        <v>528</v>
      </c>
      <c r="H215" t="s">
        <v>675</v>
      </c>
      <c r="I215" s="518">
        <v>0</v>
      </c>
      <c r="J215" s="518">
        <v>73.972996699999925</v>
      </c>
      <c r="K215" s="518">
        <v>104.74588235294119</v>
      </c>
      <c r="L215" s="518">
        <v>0</v>
      </c>
      <c r="M215" s="518">
        <v>84.613365499998139</v>
      </c>
      <c r="N215" s="518">
        <v>113.17088235294084</v>
      </c>
      <c r="O215" s="518">
        <v>0</v>
      </c>
      <c r="P215" s="518">
        <v>141.22386344999649</v>
      </c>
      <c r="Q215" s="518">
        <v>280.66794117647549</v>
      </c>
      <c r="R215" s="518">
        <v>0</v>
      </c>
      <c r="S215" s="518">
        <v>102.43664634999544</v>
      </c>
      <c r="T215" s="518">
        <v>203.97058823529659</v>
      </c>
      <c r="U215" s="518">
        <v>0</v>
      </c>
      <c r="V215" s="518">
        <v>153.07786164999561</v>
      </c>
      <c r="W215" s="518">
        <v>376.5720588235294</v>
      </c>
      <c r="X215" s="517">
        <v>30.35797075000098</v>
      </c>
      <c r="Y215" s="517">
        <v>15.757514599999253</v>
      </c>
      <c r="Z215" s="517">
        <v>36.160136550000793</v>
      </c>
      <c r="AA215" s="517">
        <v>66.770836299998408</v>
      </c>
      <c r="AB215" s="517">
        <v>26.31184014999954</v>
      </c>
    </row>
    <row r="216" spans="1:28" ht="15">
      <c r="A216">
        <v>43</v>
      </c>
      <c r="B216" t="s">
        <v>678</v>
      </c>
      <c r="C216" t="s">
        <v>679</v>
      </c>
      <c r="D216" t="s">
        <v>542</v>
      </c>
      <c r="E216">
        <v>12</v>
      </c>
      <c r="F216" t="s">
        <v>673</v>
      </c>
      <c r="G216" t="s">
        <v>528</v>
      </c>
      <c r="H216" t="s">
        <v>678</v>
      </c>
      <c r="I216" s="518">
        <v>0</v>
      </c>
      <c r="J216" s="518">
        <v>20.037229849999992</v>
      </c>
      <c r="K216" s="518">
        <v>29.523235294118809</v>
      </c>
      <c r="L216" s="518">
        <v>0</v>
      </c>
      <c r="M216" s="518">
        <v>22.854438199996636</v>
      </c>
      <c r="N216" s="518">
        <v>31.95411764705857</v>
      </c>
      <c r="O216" s="518">
        <v>0</v>
      </c>
      <c r="P216" s="518">
        <v>38.556497949999354</v>
      </c>
      <c r="Q216" s="518">
        <v>79.679411764705804</v>
      </c>
      <c r="R216" s="518">
        <v>0</v>
      </c>
      <c r="S216" s="518">
        <v>27.930508349997307</v>
      </c>
      <c r="T216" s="518">
        <v>58.340294117649542</v>
      </c>
      <c r="U216" s="518">
        <v>0</v>
      </c>
      <c r="V216" s="518">
        <v>42.243887249994621</v>
      </c>
      <c r="W216" s="518">
        <v>108.18470588235286</v>
      </c>
      <c r="X216" s="517">
        <v>8.4587933500002457</v>
      </c>
      <c r="Y216" s="517">
        <v>4.3543387499998794</v>
      </c>
      <c r="Z216" s="517">
        <v>9.9693574000001419</v>
      </c>
      <c r="AA216" s="517">
        <v>18.874864500000683</v>
      </c>
      <c r="AB216" s="517">
        <v>7.2022883499996535</v>
      </c>
    </row>
    <row r="217" spans="1:28">
      <c r="A217">
        <v>44</v>
      </c>
      <c r="B217" t="s">
        <v>681</v>
      </c>
      <c r="C217" t="s">
        <v>682</v>
      </c>
      <c r="D217" t="s">
        <v>543</v>
      </c>
      <c r="E217">
        <v>10</v>
      </c>
      <c r="F217" t="s">
        <v>683</v>
      </c>
      <c r="G217" t="s">
        <v>684</v>
      </c>
      <c r="H217" t="s">
        <v>681</v>
      </c>
      <c r="I217" s="52">
        <v>0</v>
      </c>
      <c r="J217" s="52">
        <v>0</v>
      </c>
      <c r="K217" s="52">
        <v>380.51544499617989</v>
      </c>
      <c r="L217" s="52">
        <v>0</v>
      </c>
      <c r="M217" s="52">
        <v>0</v>
      </c>
      <c r="N217" s="52">
        <v>414.44639037433171</v>
      </c>
      <c r="O217" s="52">
        <v>0</v>
      </c>
      <c r="P217" s="52">
        <v>0</v>
      </c>
      <c r="Q217" s="52">
        <v>575.32379679144276</v>
      </c>
      <c r="R217" s="52">
        <v>0</v>
      </c>
      <c r="S217" s="52">
        <v>0</v>
      </c>
      <c r="T217" s="52">
        <v>421.88096447669977</v>
      </c>
      <c r="U217" s="52">
        <v>0</v>
      </c>
      <c r="V217" s="52">
        <v>0</v>
      </c>
      <c r="W217" s="52">
        <v>617.44053093964828</v>
      </c>
      <c r="X217">
        <v>0</v>
      </c>
      <c r="Y217">
        <v>0</v>
      </c>
      <c r="Z217">
        <v>0</v>
      </c>
      <c r="AA217">
        <v>0</v>
      </c>
      <c r="AB217">
        <v>0</v>
      </c>
    </row>
    <row r="218" spans="1:28">
      <c r="A218">
        <v>45</v>
      </c>
      <c r="B218" t="s">
        <v>686</v>
      </c>
      <c r="C218" t="s">
        <v>687</v>
      </c>
      <c r="D218" t="s">
        <v>543</v>
      </c>
      <c r="E218">
        <v>11</v>
      </c>
      <c r="F218" t="s">
        <v>683</v>
      </c>
      <c r="G218" t="s">
        <v>688</v>
      </c>
      <c r="H218" t="s">
        <v>686</v>
      </c>
      <c r="I218" s="52">
        <v>0</v>
      </c>
      <c r="J218" s="52">
        <v>0</v>
      </c>
      <c r="K218" s="52">
        <v>554.63191558441508</v>
      </c>
      <c r="L218" s="52">
        <v>0</v>
      </c>
      <c r="M218" s="52">
        <v>0</v>
      </c>
      <c r="N218" s="52">
        <v>605.77227272727282</v>
      </c>
      <c r="O218" s="52">
        <v>0</v>
      </c>
      <c r="P218" s="52">
        <v>0</v>
      </c>
      <c r="Q218" s="52">
        <v>842.23909090909024</v>
      </c>
      <c r="R218" s="52">
        <v>0</v>
      </c>
      <c r="S218" s="52">
        <v>0</v>
      </c>
      <c r="T218" s="52">
        <v>617.99743506493564</v>
      </c>
      <c r="U218" s="52">
        <v>0</v>
      </c>
      <c r="V218" s="52">
        <v>0</v>
      </c>
      <c r="W218" s="52">
        <v>898.48876623376418</v>
      </c>
      <c r="X218">
        <v>220.17638374821411</v>
      </c>
      <c r="Y218">
        <v>136.04157211607134</v>
      </c>
      <c r="Z218">
        <v>197.3733928392856</v>
      </c>
      <c r="AA218">
        <v>310.12227286607111</v>
      </c>
      <c r="AB218">
        <v>150.96985031785692</v>
      </c>
    </row>
    <row r="219" spans="1:28">
      <c r="A219">
        <v>46</v>
      </c>
      <c r="B219" t="s">
        <v>690</v>
      </c>
      <c r="C219" t="s">
        <v>691</v>
      </c>
      <c r="D219" t="s">
        <v>543</v>
      </c>
      <c r="E219">
        <v>12</v>
      </c>
      <c r="F219" t="s">
        <v>683</v>
      </c>
      <c r="G219" t="s">
        <v>692</v>
      </c>
      <c r="H219" t="s">
        <v>690</v>
      </c>
      <c r="I219" s="52">
        <v>0</v>
      </c>
      <c r="J219" s="52">
        <v>0</v>
      </c>
      <c r="K219" s="52">
        <v>265.8533789990488</v>
      </c>
      <c r="L219" s="52">
        <v>0</v>
      </c>
      <c r="M219" s="52">
        <v>0</v>
      </c>
      <c r="N219" s="52">
        <v>288.45129711751667</v>
      </c>
      <c r="O219" s="52">
        <v>0</v>
      </c>
      <c r="P219" s="52">
        <v>0</v>
      </c>
      <c r="Q219" s="52">
        <v>399.55031042128422</v>
      </c>
      <c r="R219" s="52">
        <v>0</v>
      </c>
      <c r="S219" s="52">
        <v>0</v>
      </c>
      <c r="T219" s="52">
        <v>292.73109360152012</v>
      </c>
      <c r="U219" s="52">
        <v>0</v>
      </c>
      <c r="V219" s="52">
        <v>0</v>
      </c>
      <c r="W219" s="52">
        <v>432.35998574595988</v>
      </c>
      <c r="X219">
        <v>0</v>
      </c>
      <c r="Y219">
        <v>0</v>
      </c>
      <c r="Z219">
        <v>0</v>
      </c>
      <c r="AA219">
        <v>0</v>
      </c>
      <c r="AB219">
        <v>0</v>
      </c>
    </row>
    <row r="220" spans="1:28">
      <c r="A220">
        <v>47</v>
      </c>
      <c r="B220" t="s">
        <v>694</v>
      </c>
      <c r="C220" t="s">
        <v>695</v>
      </c>
      <c r="D220" t="s">
        <v>544</v>
      </c>
      <c r="E220">
        <v>10</v>
      </c>
      <c r="F220" t="s">
        <v>696</v>
      </c>
      <c r="G220" t="s">
        <v>178</v>
      </c>
      <c r="H220" t="s">
        <v>694</v>
      </c>
      <c r="I220" s="52">
        <v>0</v>
      </c>
      <c r="J220" s="52">
        <v>0</v>
      </c>
      <c r="K220" s="52">
        <v>589.76044117647075</v>
      </c>
      <c r="L220" s="52">
        <v>0</v>
      </c>
      <c r="M220" s="52">
        <v>0</v>
      </c>
      <c r="N220" s="52">
        <v>653.07220588235248</v>
      </c>
      <c r="O220" s="52">
        <v>0</v>
      </c>
      <c r="P220" s="52">
        <v>0</v>
      </c>
      <c r="Q220" s="52">
        <v>2075.4410294117652</v>
      </c>
      <c r="R220" s="52">
        <v>0</v>
      </c>
      <c r="S220" s="52">
        <v>0</v>
      </c>
      <c r="T220" s="52">
        <v>1362.0705882352941</v>
      </c>
      <c r="U220" s="52">
        <v>0</v>
      </c>
      <c r="V220" s="52">
        <v>0</v>
      </c>
      <c r="W220" s="52">
        <v>2888.6685294117638</v>
      </c>
      <c r="X220">
        <v>-11.311250350000035</v>
      </c>
      <c r="Y220">
        <v>-4.9200841500000054</v>
      </c>
      <c r="Z220">
        <v>0.5602474499999861</v>
      </c>
      <c r="AA220">
        <v>-0.45251170000017282</v>
      </c>
      <c r="AB220">
        <v>-2.3431575999999579</v>
      </c>
    </row>
    <row r="223" spans="1:28" ht="46.5">
      <c r="A223" s="488" t="s">
        <v>1321</v>
      </c>
    </row>
    <row r="224" spans="1:28" ht="46.5">
      <c r="A224" s="488" t="s">
        <v>1304</v>
      </c>
    </row>
    <row r="225" spans="1:18" ht="46.5">
      <c r="A225" s="488" t="s">
        <v>1322</v>
      </c>
    </row>
    <row r="226" spans="1:18" ht="13.5" thickBot="1"/>
    <row r="227" spans="1:18" ht="13.5" thickBot="1">
      <c r="I227" s="482" t="s">
        <v>522</v>
      </c>
      <c r="J227" s="483"/>
      <c r="K227" s="483"/>
      <c r="L227" s="483"/>
      <c r="M227" s="483"/>
      <c r="N227" s="485" t="s">
        <v>523</v>
      </c>
      <c r="O227" s="486"/>
      <c r="P227" s="486"/>
      <c r="Q227" s="486"/>
      <c r="R227" s="486"/>
    </row>
    <row r="228" spans="1:18">
      <c r="I228" s="390" t="s">
        <v>1231</v>
      </c>
      <c r="J228" s="394" t="s">
        <v>1232</v>
      </c>
      <c r="K228" s="398" t="s">
        <v>1233</v>
      </c>
      <c r="L228" s="402" t="s">
        <v>1234</v>
      </c>
      <c r="M228" s="406" t="s">
        <v>1235</v>
      </c>
      <c r="N228" s="390" t="s">
        <v>1231</v>
      </c>
      <c r="O228" s="394" t="s">
        <v>1232</v>
      </c>
      <c r="P228" s="398" t="s">
        <v>1233</v>
      </c>
      <c r="Q228" s="402" t="s">
        <v>1234</v>
      </c>
      <c r="R228" s="406" t="s">
        <v>1235</v>
      </c>
    </row>
    <row r="229" spans="1:18">
      <c r="A229">
        <v>2</v>
      </c>
      <c r="B229" t="s">
        <v>525</v>
      </c>
      <c r="C229" t="s">
        <v>525</v>
      </c>
      <c r="D229" t="s">
        <v>526</v>
      </c>
      <c r="E229">
        <v>10</v>
      </c>
      <c r="F229" t="s">
        <v>527</v>
      </c>
      <c r="G229" t="s">
        <v>528</v>
      </c>
      <c r="H229" t="s">
        <v>525</v>
      </c>
      <c r="I229" s="72">
        <v>1.030083550899193</v>
      </c>
      <c r="J229" s="72">
        <v>1.1303598488280655</v>
      </c>
      <c r="K229" s="72">
        <v>1.7580113729396463</v>
      </c>
      <c r="L229" s="72">
        <v>1.3654020518347247</v>
      </c>
      <c r="M229" s="72">
        <v>2.109214600777702</v>
      </c>
      <c r="N229" s="519">
        <v>-1.6927264611203501E-3</v>
      </c>
      <c r="O229" s="519">
        <v>-3.0169910900476687E-3</v>
      </c>
      <c r="P229" s="519">
        <v>3.1769882859018403E-4</v>
      </c>
      <c r="Q229" s="519">
        <v>2.7099808427764886E-3</v>
      </c>
      <c r="R229" s="519">
        <v>-5.2164753425606352E-4</v>
      </c>
    </row>
    <row r="230" spans="1:18">
      <c r="A230">
        <v>3</v>
      </c>
      <c r="B230" s="26" t="s">
        <v>531</v>
      </c>
      <c r="C230" t="s">
        <v>532</v>
      </c>
      <c r="D230" t="s">
        <v>533</v>
      </c>
      <c r="E230">
        <v>10</v>
      </c>
      <c r="F230" t="s">
        <v>527</v>
      </c>
      <c r="G230" t="s">
        <v>528</v>
      </c>
      <c r="H230" t="s">
        <v>531</v>
      </c>
      <c r="I230" s="72">
        <v>0</v>
      </c>
      <c r="J230" s="72">
        <v>0</v>
      </c>
      <c r="K230" s="72">
        <v>0</v>
      </c>
      <c r="L230" s="72">
        <v>0</v>
      </c>
      <c r="M230" s="72">
        <v>0</v>
      </c>
      <c r="N230" s="519">
        <v>0</v>
      </c>
      <c r="O230" s="519">
        <v>0</v>
      </c>
      <c r="P230" s="519">
        <v>0</v>
      </c>
      <c r="Q230" s="519">
        <v>0</v>
      </c>
      <c r="R230" s="519">
        <v>0</v>
      </c>
    </row>
    <row r="231" spans="1:18">
      <c r="A231">
        <v>4</v>
      </c>
      <c r="B231" t="s">
        <v>535</v>
      </c>
      <c r="C231" t="s">
        <v>536</v>
      </c>
      <c r="D231" t="s">
        <v>537</v>
      </c>
      <c r="E231">
        <v>10</v>
      </c>
      <c r="F231" t="s">
        <v>527</v>
      </c>
      <c r="G231" t="s">
        <v>538</v>
      </c>
      <c r="H231" t="s">
        <v>535</v>
      </c>
      <c r="I231" s="72">
        <v>0.47504345004275828</v>
      </c>
      <c r="J231" s="72">
        <v>0.52519855893190504</v>
      </c>
      <c r="K231" s="72">
        <v>0.71201562994127054</v>
      </c>
      <c r="L231" s="72">
        <v>0.56422889206525928</v>
      </c>
      <c r="M231" s="72">
        <v>0.83339424545466378</v>
      </c>
      <c r="N231" s="519">
        <v>-9.1558307772442223E-3</v>
      </c>
      <c r="O231" s="519">
        <v>-8.5310648936204308E-3</v>
      </c>
      <c r="P231" s="519">
        <v>-8.3374695050324223E-3</v>
      </c>
      <c r="Q231" s="519">
        <v>-8.9376251563397305E-3</v>
      </c>
      <c r="R231" s="519">
        <v>-8.3178112628727579E-3</v>
      </c>
    </row>
    <row r="232" spans="1:18">
      <c r="A232">
        <v>5</v>
      </c>
      <c r="B232" t="s">
        <v>546</v>
      </c>
      <c r="C232" t="s">
        <v>547</v>
      </c>
      <c r="D232" t="s">
        <v>537</v>
      </c>
      <c r="E232">
        <v>11</v>
      </c>
      <c r="F232" t="s">
        <v>527</v>
      </c>
      <c r="G232" t="s">
        <v>548</v>
      </c>
      <c r="H232" t="s">
        <v>546</v>
      </c>
      <c r="I232" s="72">
        <v>0.5437985852307351</v>
      </c>
      <c r="J232" s="72">
        <v>0.60147450632430977</v>
      </c>
      <c r="K232" s="72">
        <v>0.81719514435167806</v>
      </c>
      <c r="L232" s="72">
        <v>0.6476392033788223</v>
      </c>
      <c r="M232" s="72">
        <v>0.95701776251211657</v>
      </c>
      <c r="N232" s="519">
        <v>-1.0603453188717624E-2</v>
      </c>
      <c r="O232" s="519">
        <v>-9.8882743643385323E-3</v>
      </c>
      <c r="P232" s="519">
        <v>-9.6752568057525828E-3</v>
      </c>
      <c r="Q232" s="519">
        <v>-1.0376724138256251E-2</v>
      </c>
      <c r="R232" s="519">
        <v>-9.6697481388045483E-3</v>
      </c>
    </row>
    <row r="233" spans="1:18">
      <c r="A233">
        <v>6</v>
      </c>
      <c r="B233" t="s">
        <v>550</v>
      </c>
      <c r="C233" t="s">
        <v>551</v>
      </c>
      <c r="D233" t="s">
        <v>537</v>
      </c>
      <c r="E233">
        <v>12</v>
      </c>
      <c r="F233" t="s">
        <v>527</v>
      </c>
      <c r="G233" t="s">
        <v>552</v>
      </c>
      <c r="H233" t="s">
        <v>550</v>
      </c>
      <c r="I233" s="72">
        <v>0.61603084364955496</v>
      </c>
      <c r="J233" s="72">
        <v>0.68156512292225513</v>
      </c>
      <c r="K233" s="72">
        <v>0.928341037422864</v>
      </c>
      <c r="L233" s="72">
        <v>0.73577691694162461</v>
      </c>
      <c r="M233" s="72">
        <v>1.0877530453343773</v>
      </c>
      <c r="N233" s="519">
        <v>-1.2161572473094105E-2</v>
      </c>
      <c r="O233" s="519">
        <v>-1.1351109246983394E-2</v>
      </c>
      <c r="P233" s="519">
        <v>-1.1118829931043198E-2</v>
      </c>
      <c r="Q233" s="519">
        <v>-1.1933749526913165E-2</v>
      </c>
      <c r="R233" s="519">
        <v>-1.1135899772149399E-2</v>
      </c>
    </row>
    <row r="234" spans="1:18">
      <c r="A234">
        <v>7</v>
      </c>
      <c r="B234" t="s">
        <v>554</v>
      </c>
      <c r="C234" t="s">
        <v>555</v>
      </c>
      <c r="D234" t="s">
        <v>537</v>
      </c>
      <c r="E234">
        <v>13</v>
      </c>
      <c r="F234" t="s">
        <v>527</v>
      </c>
      <c r="G234" t="s">
        <v>556</v>
      </c>
      <c r="H234" t="s">
        <v>554</v>
      </c>
      <c r="I234" s="72">
        <v>0.63520135683996393</v>
      </c>
      <c r="J234" s="72">
        <v>0.70282461062239154</v>
      </c>
      <c r="K234" s="72">
        <v>0.95796259769083214</v>
      </c>
      <c r="L234" s="72">
        <v>0.75923260431868944</v>
      </c>
      <c r="M234" s="72">
        <v>1.1226093869339542</v>
      </c>
      <c r="N234" s="519">
        <v>-1.258144821484603E-2</v>
      </c>
      <c r="O234" s="519">
        <v>-1.1745691256808148E-2</v>
      </c>
      <c r="P234" s="519">
        <v>-1.150940466361816E-2</v>
      </c>
      <c r="Q234" s="519">
        <v>-1.2354775595758384E-2</v>
      </c>
      <c r="R234" s="519">
        <v>-1.1532365517854224E-2</v>
      </c>
    </row>
    <row r="235" spans="1:18">
      <c r="A235">
        <v>8</v>
      </c>
      <c r="B235" t="s">
        <v>558</v>
      </c>
      <c r="C235" t="s">
        <v>559</v>
      </c>
      <c r="D235" t="s">
        <v>537</v>
      </c>
      <c r="E235">
        <v>14</v>
      </c>
      <c r="F235" t="s">
        <v>538</v>
      </c>
      <c r="G235" t="s">
        <v>548</v>
      </c>
      <c r="H235" t="s">
        <v>558</v>
      </c>
      <c r="I235" s="72">
        <v>6.8755135187976879E-2</v>
      </c>
      <c r="J235" s="72">
        <v>7.627594739240473E-2</v>
      </c>
      <c r="K235" s="72">
        <v>0.1051795144104075</v>
      </c>
      <c r="L235" s="72">
        <v>8.341031131356301E-2</v>
      </c>
      <c r="M235" s="72">
        <v>0.12362351705745264</v>
      </c>
      <c r="N235" s="519">
        <v>-1.4476224114734015E-3</v>
      </c>
      <c r="O235" s="519">
        <v>-1.3572094707181015E-3</v>
      </c>
      <c r="P235" s="519">
        <v>-1.3377873007201597E-3</v>
      </c>
      <c r="Q235" s="519">
        <v>-1.4390989819165214E-3</v>
      </c>
      <c r="R235" s="519">
        <v>-1.3519368759317917E-3</v>
      </c>
    </row>
    <row r="236" spans="1:18">
      <c r="A236">
        <v>9</v>
      </c>
      <c r="B236" t="s">
        <v>562</v>
      </c>
      <c r="C236" t="s">
        <v>563</v>
      </c>
      <c r="D236" t="s">
        <v>537</v>
      </c>
      <c r="E236">
        <v>15</v>
      </c>
      <c r="F236" t="s">
        <v>538</v>
      </c>
      <c r="G236" t="s">
        <v>552</v>
      </c>
      <c r="H236" t="s">
        <v>562</v>
      </c>
      <c r="I236" s="72">
        <v>0.14098739360679685</v>
      </c>
      <c r="J236" s="72">
        <v>0.15636656399035001</v>
      </c>
      <c r="K236" s="72">
        <v>0.21632540748159343</v>
      </c>
      <c r="L236" s="72">
        <v>0.17154802487636531</v>
      </c>
      <c r="M236" s="72">
        <v>0.25435879987971372</v>
      </c>
      <c r="N236" s="519">
        <v>-3.0057416958498831E-3</v>
      </c>
      <c r="O236" s="519">
        <v>-2.8200443533629646E-3</v>
      </c>
      <c r="P236" s="519">
        <v>-2.781360426010774E-3</v>
      </c>
      <c r="Q236" s="519">
        <v>-2.9961243705734363E-3</v>
      </c>
      <c r="R236" s="519">
        <v>-2.8180885092766411E-3</v>
      </c>
    </row>
    <row r="237" spans="1:18">
      <c r="A237">
        <v>10</v>
      </c>
      <c r="B237" t="s">
        <v>565</v>
      </c>
      <c r="C237" t="s">
        <v>566</v>
      </c>
      <c r="D237" t="s">
        <v>537</v>
      </c>
      <c r="E237">
        <v>16</v>
      </c>
      <c r="F237" t="s">
        <v>538</v>
      </c>
      <c r="G237" t="s">
        <v>556</v>
      </c>
      <c r="H237" t="s">
        <v>565</v>
      </c>
      <c r="I237" s="72">
        <v>0.16015790679720557</v>
      </c>
      <c r="J237" s="72">
        <v>0.17762605169048645</v>
      </c>
      <c r="K237" s="72">
        <v>0.24594696774956137</v>
      </c>
      <c r="L237" s="72">
        <v>0.19500371225343008</v>
      </c>
      <c r="M237" s="72">
        <v>0.28921514147929034</v>
      </c>
      <c r="N237" s="519">
        <v>-3.4256174376018065E-3</v>
      </c>
      <c r="O237" s="519">
        <v>-3.2146263631877181E-3</v>
      </c>
      <c r="P237" s="519">
        <v>-3.1719351585857368E-3</v>
      </c>
      <c r="Q237" s="519">
        <v>-3.4171504394186559E-3</v>
      </c>
      <c r="R237" s="519">
        <v>-3.214554254981467E-3</v>
      </c>
    </row>
    <row r="238" spans="1:18">
      <c r="A238">
        <v>11</v>
      </c>
      <c r="B238" t="s">
        <v>568</v>
      </c>
      <c r="C238" t="s">
        <v>569</v>
      </c>
      <c r="D238" t="s">
        <v>537</v>
      </c>
      <c r="E238">
        <v>17</v>
      </c>
      <c r="F238" t="s">
        <v>528</v>
      </c>
      <c r="G238" t="s">
        <v>552</v>
      </c>
      <c r="H238" t="s">
        <v>568</v>
      </c>
      <c r="I238" s="72">
        <v>1.3989292345008661</v>
      </c>
      <c r="J238" s="72">
        <v>1.5399587449442127</v>
      </c>
      <c r="K238" s="72">
        <v>2.0569973953255496</v>
      </c>
      <c r="L238" s="72">
        <v>1.6312967702400818</v>
      </c>
      <c r="M238" s="72">
        <v>2.3944215861466112</v>
      </c>
      <c r="N238" s="519">
        <v>-2.473112482169592E-2</v>
      </c>
      <c r="O238" s="519">
        <v>-2.2808178923636485E-2</v>
      </c>
      <c r="P238" s="519">
        <v>-2.2052940240305702E-2</v>
      </c>
      <c r="Q238" s="519">
        <v>-2.3669275620491929E-2</v>
      </c>
      <c r="R238" s="519">
        <v>-2.1637779457166946E-2</v>
      </c>
    </row>
    <row r="239" spans="1:18">
      <c r="A239">
        <v>12</v>
      </c>
      <c r="B239" t="s">
        <v>570</v>
      </c>
      <c r="C239" t="s">
        <v>571</v>
      </c>
      <c r="D239" t="s">
        <v>537</v>
      </c>
      <c r="E239">
        <v>18</v>
      </c>
      <c r="F239" t="s">
        <v>527</v>
      </c>
      <c r="G239" t="s">
        <v>538</v>
      </c>
      <c r="H239" t="s">
        <v>570</v>
      </c>
      <c r="I239" s="72">
        <v>0.47504345004275828</v>
      </c>
      <c r="J239" s="72">
        <v>0.52519855893190504</v>
      </c>
      <c r="K239" s="72">
        <v>0.71201562994127054</v>
      </c>
      <c r="L239" s="72">
        <v>0.56422889206525928</v>
      </c>
      <c r="M239" s="72">
        <v>0.83339424545466378</v>
      </c>
      <c r="N239" s="519">
        <v>-9.1558307772442223E-3</v>
      </c>
      <c r="O239" s="519">
        <v>-8.5310648936204308E-3</v>
      </c>
      <c r="P239" s="519">
        <v>-8.3374695050324223E-3</v>
      </c>
      <c r="Q239" s="519">
        <v>-8.9376251563397305E-3</v>
      </c>
      <c r="R239" s="519">
        <v>-8.3178112628727579E-3</v>
      </c>
    </row>
    <row r="240" spans="1:18">
      <c r="A240">
        <v>13</v>
      </c>
      <c r="B240" t="s">
        <v>573</v>
      </c>
      <c r="C240" t="s">
        <v>574</v>
      </c>
      <c r="D240" t="s">
        <v>540</v>
      </c>
      <c r="E240">
        <v>10</v>
      </c>
      <c r="F240" t="s">
        <v>527</v>
      </c>
      <c r="G240" t="s">
        <v>538</v>
      </c>
      <c r="H240" t="s">
        <v>573</v>
      </c>
      <c r="I240" s="72">
        <v>0.40592576885838394</v>
      </c>
      <c r="J240" s="72">
        <v>0.48256241259435056</v>
      </c>
      <c r="K240" s="72">
        <v>0.47644759871711079</v>
      </c>
      <c r="L240" s="72">
        <v>0.38827180628788893</v>
      </c>
      <c r="M240" s="72">
        <v>0.42394528705302925</v>
      </c>
      <c r="N240" s="519">
        <v>7.7527519090958615E-3</v>
      </c>
      <c r="O240" s="519">
        <v>5.0325979950838215E-3</v>
      </c>
      <c r="P240" s="519">
        <v>9.6544889886957148E-3</v>
      </c>
      <c r="Q240" s="519">
        <v>1.4984694205574477E-2</v>
      </c>
      <c r="R240" s="519">
        <v>8.6244233288951099E-3</v>
      </c>
    </row>
    <row r="241" spans="1:18">
      <c r="A241">
        <v>14</v>
      </c>
      <c r="B241" t="s">
        <v>576</v>
      </c>
      <c r="C241" t="s">
        <v>577</v>
      </c>
      <c r="D241" t="s">
        <v>540</v>
      </c>
      <c r="E241">
        <v>11</v>
      </c>
      <c r="F241" t="s">
        <v>527</v>
      </c>
      <c r="G241" t="s">
        <v>556</v>
      </c>
      <c r="H241" t="s">
        <v>576</v>
      </c>
      <c r="I241" s="72">
        <v>0.55166915781307158</v>
      </c>
      <c r="J241" s="72">
        <v>0.65610963206788875</v>
      </c>
      <c r="K241" s="72">
        <v>0.64919998362540976</v>
      </c>
      <c r="L241" s="72">
        <v>0.52889921677772833</v>
      </c>
      <c r="M241" s="72">
        <v>0.57884041306530343</v>
      </c>
      <c r="N241" s="519">
        <v>1.0602891108874288E-2</v>
      </c>
      <c r="O241" s="519">
        <v>6.8358463518919275E-3</v>
      </c>
      <c r="P241" s="519">
        <v>1.3229567976021596E-2</v>
      </c>
      <c r="Q241" s="519">
        <v>2.0558427535234413E-2</v>
      </c>
      <c r="R241" s="519">
        <v>1.1800868323444345E-2</v>
      </c>
    </row>
    <row r="242" spans="1:18">
      <c r="A242">
        <v>15</v>
      </c>
      <c r="B242" t="s">
        <v>579</v>
      </c>
      <c r="C242" t="s">
        <v>580</v>
      </c>
      <c r="D242" t="s">
        <v>540</v>
      </c>
      <c r="E242">
        <v>12</v>
      </c>
      <c r="F242" t="s">
        <v>527</v>
      </c>
      <c r="G242" t="s">
        <v>581</v>
      </c>
      <c r="H242" t="s">
        <v>579</v>
      </c>
      <c r="I242" s="72">
        <v>0.58539667322407396</v>
      </c>
      <c r="J242" s="72">
        <v>0.69617323515058294</v>
      </c>
      <c r="K242" s="72">
        <v>0.68932298535537395</v>
      </c>
      <c r="L242" s="72">
        <v>0.56146006873177545</v>
      </c>
      <c r="M242" s="72">
        <v>0.6148477955693209</v>
      </c>
      <c r="N242" s="519">
        <v>1.126775065200487E-2</v>
      </c>
      <c r="O242" s="519">
        <v>7.2540947811595858E-3</v>
      </c>
      <c r="P242" s="519">
        <v>1.4067332236763562E-2</v>
      </c>
      <c r="Q242" s="519">
        <v>2.1865658752507882E-2</v>
      </c>
      <c r="R242" s="519">
        <v>1.2544180097439118E-2</v>
      </c>
    </row>
    <row r="243" spans="1:18">
      <c r="A243">
        <v>16</v>
      </c>
      <c r="B243" t="s">
        <v>583</v>
      </c>
      <c r="C243" t="s">
        <v>584</v>
      </c>
      <c r="D243" t="s">
        <v>540</v>
      </c>
      <c r="E243">
        <v>13</v>
      </c>
      <c r="F243" t="s">
        <v>552</v>
      </c>
      <c r="G243" t="s">
        <v>556</v>
      </c>
      <c r="H243" t="s">
        <v>583</v>
      </c>
      <c r="I243" s="72">
        <v>4.0089983693246012E-2</v>
      </c>
      <c r="J243" s="72">
        <v>4.7686211199409821E-2</v>
      </c>
      <c r="K243" s="72">
        <v>4.7613288422256671E-2</v>
      </c>
      <c r="L243" s="72">
        <v>3.8656470117954242E-2</v>
      </c>
      <c r="M243" s="72">
        <v>4.2703145439583284E-2</v>
      </c>
      <c r="N243" s="519">
        <v>7.8713687756825138E-4</v>
      </c>
      <c r="O243" s="519">
        <v>4.9663809896095497E-4</v>
      </c>
      <c r="P243" s="519">
        <v>9.8985379813325931E-4</v>
      </c>
      <c r="Q243" s="519">
        <v>1.5440777051280558E-3</v>
      </c>
      <c r="R243" s="519">
        <v>8.7923454601432317E-4</v>
      </c>
    </row>
    <row r="244" spans="1:18">
      <c r="A244">
        <v>17</v>
      </c>
      <c r="B244" t="s">
        <v>586</v>
      </c>
      <c r="C244" t="s">
        <v>587</v>
      </c>
      <c r="D244" t="s">
        <v>540</v>
      </c>
      <c r="E244">
        <v>14</v>
      </c>
      <c r="F244" t="s">
        <v>552</v>
      </c>
      <c r="G244" t="s">
        <v>581</v>
      </c>
      <c r="H244" t="s">
        <v>586</v>
      </c>
      <c r="I244" s="72">
        <v>7.3817499104248355E-2</v>
      </c>
      <c r="J244" s="72">
        <v>8.7749814282104058E-2</v>
      </c>
      <c r="K244" s="72">
        <v>8.7736290152220842E-2</v>
      </c>
      <c r="L244" s="72">
        <v>7.1217322072001446E-2</v>
      </c>
      <c r="M244" s="72">
        <v>7.8710527943600742E-2</v>
      </c>
      <c r="N244" s="519">
        <v>1.451996420698832E-3</v>
      </c>
      <c r="O244" s="519">
        <v>9.1488652822861293E-4</v>
      </c>
      <c r="P244" s="519">
        <v>1.827618058875227E-3</v>
      </c>
      <c r="Q244" s="519">
        <v>2.8513089224015274E-3</v>
      </c>
      <c r="R244" s="519">
        <v>1.6225463200090953E-3</v>
      </c>
    </row>
    <row r="245" spans="1:18">
      <c r="A245">
        <v>18</v>
      </c>
      <c r="B245" t="s">
        <v>589</v>
      </c>
      <c r="C245" t="s">
        <v>590</v>
      </c>
      <c r="D245" t="s">
        <v>540</v>
      </c>
      <c r="E245">
        <v>15</v>
      </c>
      <c r="F245" t="s">
        <v>538</v>
      </c>
      <c r="G245" t="s">
        <v>552</v>
      </c>
      <c r="H245" t="s">
        <v>589</v>
      </c>
      <c r="I245" s="72">
        <v>0.10565340526144168</v>
      </c>
      <c r="J245" s="72">
        <v>0.12586100827412841</v>
      </c>
      <c r="K245" s="72">
        <v>0.12513909648604218</v>
      </c>
      <c r="L245" s="72">
        <v>0.101970940371885</v>
      </c>
      <c r="M245" s="72">
        <v>0.11219198057269081</v>
      </c>
      <c r="N245" s="519">
        <v>2.0630023222101765E-3</v>
      </c>
      <c r="O245" s="519">
        <v>1.3066102578471515E-3</v>
      </c>
      <c r="P245" s="519">
        <v>2.5852251891926217E-3</v>
      </c>
      <c r="Q245" s="519">
        <v>4.0296556245318811E-3</v>
      </c>
      <c r="R245" s="519">
        <v>2.2972104485349128E-3</v>
      </c>
    </row>
    <row r="246" spans="1:18">
      <c r="A246">
        <v>19</v>
      </c>
      <c r="B246" t="s">
        <v>592</v>
      </c>
      <c r="C246" t="s">
        <v>593</v>
      </c>
      <c r="D246" t="s">
        <v>540</v>
      </c>
      <c r="E246">
        <v>16</v>
      </c>
      <c r="F246" t="s">
        <v>538</v>
      </c>
      <c r="G246" t="s">
        <v>556</v>
      </c>
      <c r="H246" t="s">
        <v>592</v>
      </c>
      <c r="I246" s="72">
        <v>0.14574338895468769</v>
      </c>
      <c r="J246" s="72">
        <v>0.17354721947353824</v>
      </c>
      <c r="K246" s="72">
        <v>0.17275238490829886</v>
      </c>
      <c r="L246" s="72">
        <v>0.14062741048983926</v>
      </c>
      <c r="M246" s="72">
        <v>0.15489512601227415</v>
      </c>
      <c r="N246" s="519">
        <v>2.8501391997784275E-3</v>
      </c>
      <c r="O246" s="519">
        <v>1.8032483568081064E-3</v>
      </c>
      <c r="P246" s="519">
        <v>3.5750789873258814E-3</v>
      </c>
      <c r="Q246" s="519">
        <v>5.5737333296599374E-3</v>
      </c>
      <c r="R246" s="519">
        <v>3.176444994549236E-3</v>
      </c>
    </row>
    <row r="247" spans="1:18">
      <c r="A247">
        <v>20</v>
      </c>
      <c r="B247" t="s">
        <v>595</v>
      </c>
      <c r="C247" t="s">
        <v>596</v>
      </c>
      <c r="D247" t="s">
        <v>540</v>
      </c>
      <c r="E247">
        <v>17</v>
      </c>
      <c r="F247" t="s">
        <v>538</v>
      </c>
      <c r="G247" t="s">
        <v>581</v>
      </c>
      <c r="H247" t="s">
        <v>595</v>
      </c>
      <c r="I247" s="72">
        <v>0.17947090436569005</v>
      </c>
      <c r="J247" s="72">
        <v>0.21361082255623243</v>
      </c>
      <c r="K247" s="72">
        <v>0.21287538663826305</v>
      </c>
      <c r="L247" s="72">
        <v>0.17318826244388646</v>
      </c>
      <c r="M247" s="72">
        <v>0.19090250851629156</v>
      </c>
      <c r="N247" s="519">
        <v>3.5149987429090087E-3</v>
      </c>
      <c r="O247" s="519">
        <v>2.2214967860757647E-3</v>
      </c>
      <c r="P247" s="519">
        <v>4.4128432480678497E-3</v>
      </c>
      <c r="Q247" s="519">
        <v>6.880964546933409E-3</v>
      </c>
      <c r="R247" s="519">
        <v>3.9197567685440088E-3</v>
      </c>
    </row>
    <row r="248" spans="1:18">
      <c r="A248">
        <v>21</v>
      </c>
      <c r="B248" t="s">
        <v>598</v>
      </c>
      <c r="C248" t="s">
        <v>599</v>
      </c>
      <c r="D248" t="s">
        <v>540</v>
      </c>
      <c r="E248">
        <v>18</v>
      </c>
      <c r="F248" t="s">
        <v>556</v>
      </c>
      <c r="G248" t="s">
        <v>581</v>
      </c>
      <c r="H248" t="s">
        <v>598</v>
      </c>
      <c r="I248" s="72">
        <v>3.3727515411002336E-2</v>
      </c>
      <c r="J248" s="72">
        <v>4.0063603082694209E-2</v>
      </c>
      <c r="K248" s="72">
        <v>4.0123001729964178E-2</v>
      </c>
      <c r="L248" s="72">
        <v>3.2560851954047218E-2</v>
      </c>
      <c r="M248" s="72">
        <v>3.6007382504017436E-2</v>
      </c>
      <c r="N248" s="519">
        <v>6.6485954313058083E-4</v>
      </c>
      <c r="O248" s="519">
        <v>4.1824842926765801E-4</v>
      </c>
      <c r="P248" s="519">
        <v>8.3776426074196769E-4</v>
      </c>
      <c r="Q248" s="519">
        <v>1.3072312172734714E-3</v>
      </c>
      <c r="R248" s="519">
        <v>7.4331177399477233E-4</v>
      </c>
    </row>
    <row r="249" spans="1:18">
      <c r="A249">
        <v>22</v>
      </c>
      <c r="B249" t="s">
        <v>601</v>
      </c>
      <c r="C249" t="s">
        <v>602</v>
      </c>
      <c r="D249" t="s">
        <v>176</v>
      </c>
      <c r="E249">
        <v>10</v>
      </c>
      <c r="F249" t="s">
        <v>603</v>
      </c>
      <c r="G249" t="s">
        <v>604</v>
      </c>
      <c r="H249" t="s">
        <v>601</v>
      </c>
      <c r="I249" s="72">
        <v>-5.6808015810428198</v>
      </c>
      <c r="J249" s="72">
        <v>-6.2616156086991728</v>
      </c>
      <c r="K249" s="72">
        <v>-10.308733855741522</v>
      </c>
      <c r="L249" s="72">
        <v>-7.5945395262625608</v>
      </c>
      <c r="M249" s="72">
        <v>-12.84469366853873</v>
      </c>
      <c r="N249" s="519">
        <v>-0.10649810846239537</v>
      </c>
      <c r="O249" s="519">
        <v>-7.4016592252549515E-2</v>
      </c>
      <c r="P249" s="519">
        <v>-0.12342329796307241</v>
      </c>
      <c r="Q249" s="519">
        <v>-0.18216788365208036</v>
      </c>
      <c r="R249" s="519">
        <v>-9.9605109631954486E-2</v>
      </c>
    </row>
    <row r="250" spans="1:18">
      <c r="A250">
        <v>23</v>
      </c>
      <c r="B250" t="s">
        <v>606</v>
      </c>
      <c r="C250" t="s">
        <v>607</v>
      </c>
      <c r="D250" t="s">
        <v>176</v>
      </c>
      <c r="E250">
        <v>11</v>
      </c>
      <c r="F250" t="s">
        <v>603</v>
      </c>
      <c r="G250" t="s">
        <v>608</v>
      </c>
      <c r="H250" t="s">
        <v>606</v>
      </c>
      <c r="I250" s="72">
        <v>-4.6580726330390441</v>
      </c>
      <c r="J250" s="72">
        <v>-5.1348313615912984</v>
      </c>
      <c r="K250" s="72">
        <v>-8.5291531597423766</v>
      </c>
      <c r="L250" s="72">
        <v>-6.2288252385468619</v>
      </c>
      <c r="M250" s="72">
        <v>-10.68881899638205</v>
      </c>
      <c r="N250" s="519">
        <v>-0.10565420013097197</v>
      </c>
      <c r="O250" s="519">
        <v>-7.5260202740784529E-2</v>
      </c>
      <c r="P250" s="519">
        <v>-0.1202817772152016</v>
      </c>
      <c r="Q250" s="519">
        <v>-0.17537334013486372</v>
      </c>
      <c r="R250" s="519">
        <v>-9.7885242687766508E-2</v>
      </c>
    </row>
    <row r="251" spans="1:18">
      <c r="A251">
        <v>24</v>
      </c>
      <c r="B251" t="s">
        <v>610</v>
      </c>
      <c r="C251" t="s">
        <v>611</v>
      </c>
      <c r="D251" t="s">
        <v>176</v>
      </c>
      <c r="E251">
        <v>12</v>
      </c>
      <c r="F251" t="s">
        <v>603</v>
      </c>
      <c r="G251" t="s">
        <v>612</v>
      </c>
      <c r="H251" t="s">
        <v>610</v>
      </c>
      <c r="I251" s="72">
        <v>0</v>
      </c>
      <c r="J251" s="72">
        <v>0</v>
      </c>
      <c r="K251" s="72">
        <v>0</v>
      </c>
      <c r="L251" s="72">
        <v>0</v>
      </c>
      <c r="M251" s="72">
        <v>0</v>
      </c>
      <c r="N251" s="519">
        <v>0</v>
      </c>
      <c r="O251" s="519">
        <v>0</v>
      </c>
      <c r="P251" s="519">
        <v>0</v>
      </c>
      <c r="Q251" s="519">
        <v>0</v>
      </c>
      <c r="R251" s="519">
        <v>0</v>
      </c>
    </row>
    <row r="252" spans="1:18">
      <c r="A252">
        <v>25</v>
      </c>
      <c r="B252" t="s">
        <v>614</v>
      </c>
      <c r="C252" t="s">
        <v>615</v>
      </c>
      <c r="D252" t="s">
        <v>176</v>
      </c>
      <c r="E252">
        <v>13</v>
      </c>
      <c r="F252" t="s">
        <v>603</v>
      </c>
      <c r="G252" t="s">
        <v>616</v>
      </c>
      <c r="H252" t="s">
        <v>614</v>
      </c>
      <c r="I252" s="72">
        <v>-2.7680133264108746</v>
      </c>
      <c r="J252" s="72">
        <v>-3.0676393631356089</v>
      </c>
      <c r="K252" s="72">
        <v>-5.1910709386695615</v>
      </c>
      <c r="L252" s="72">
        <v>-3.6920849775604969</v>
      </c>
      <c r="M252" s="72">
        <v>-6.601373689223716</v>
      </c>
      <c r="N252" s="519">
        <v>-9.9212268212419616E-2</v>
      </c>
      <c r="O252" s="519">
        <v>-7.381608315711706E-2</v>
      </c>
      <c r="P252" s="519">
        <v>-0.10867357797025855</v>
      </c>
      <c r="Q252" s="519">
        <v>-0.15480349044685482</v>
      </c>
      <c r="R252" s="519">
        <v>-9.0019970883751563E-2</v>
      </c>
    </row>
    <row r="253" spans="1:18">
      <c r="A253">
        <v>26</v>
      </c>
      <c r="B253" t="s">
        <v>618</v>
      </c>
      <c r="C253" t="s">
        <v>619</v>
      </c>
      <c r="D253" t="s">
        <v>176</v>
      </c>
      <c r="E253">
        <v>14</v>
      </c>
      <c r="F253" t="s">
        <v>603</v>
      </c>
      <c r="G253" t="s">
        <v>620</v>
      </c>
      <c r="H253" t="s">
        <v>618</v>
      </c>
      <c r="I253" s="72">
        <v>-1.6567953632118424</v>
      </c>
      <c r="J253" s="72">
        <v>-1.8569170392706005</v>
      </c>
      <c r="K253" s="72">
        <v>-3.2019290296494161</v>
      </c>
      <c r="L253" s="72">
        <v>-2.1613654605106514</v>
      </c>
      <c r="M253" s="72">
        <v>-4.1808137349895205</v>
      </c>
      <c r="N253" s="519">
        <v>-0.10738150718815025</v>
      </c>
      <c r="O253" s="519">
        <v>-8.3243187290745577E-2</v>
      </c>
      <c r="P253" s="519">
        <v>-0.11356632622680007</v>
      </c>
      <c r="Q253" s="519">
        <v>-0.15836827563176495</v>
      </c>
      <c r="R253" s="519">
        <v>-9.6147322129645066E-2</v>
      </c>
    </row>
    <row r="254" spans="1:18">
      <c r="A254">
        <v>27</v>
      </c>
      <c r="B254" t="s">
        <v>622</v>
      </c>
      <c r="C254" t="s">
        <v>623</v>
      </c>
      <c r="D254" t="s">
        <v>176</v>
      </c>
      <c r="E254">
        <v>15</v>
      </c>
      <c r="F254" t="s">
        <v>624</v>
      </c>
      <c r="G254" t="s">
        <v>604</v>
      </c>
      <c r="H254" t="s">
        <v>622</v>
      </c>
      <c r="I254" s="72">
        <v>0.96489532699861169</v>
      </c>
      <c r="J254" s="72">
        <v>1.1257814841074827</v>
      </c>
      <c r="K254" s="72">
        <v>1.8743665562135385</v>
      </c>
      <c r="L254" s="72">
        <v>1.0859549926689871</v>
      </c>
      <c r="M254" s="72">
        <v>2.5959472051115444</v>
      </c>
      <c r="N254" s="519">
        <v>0.17186486648785082</v>
      </c>
      <c r="O254" s="519">
        <v>0.14405647298862628</v>
      </c>
      <c r="P254" s="519">
        <v>0.17995637045115176</v>
      </c>
      <c r="Q254" s="519">
        <v>0.23911281866044953</v>
      </c>
      <c r="R254" s="519">
        <v>0.15888391411008596</v>
      </c>
    </row>
    <row r="255" spans="1:18">
      <c r="A255">
        <v>28</v>
      </c>
      <c r="B255" t="s">
        <v>626</v>
      </c>
      <c r="C255" t="s">
        <v>627</v>
      </c>
      <c r="D255" t="s">
        <v>176</v>
      </c>
      <c r="E255">
        <v>16</v>
      </c>
      <c r="F255" t="s">
        <v>624</v>
      </c>
      <c r="G255" t="s">
        <v>608</v>
      </c>
      <c r="H255" t="s">
        <v>626</v>
      </c>
      <c r="I255" s="72">
        <v>1.9876242750023887</v>
      </c>
      <c r="J255" s="72">
        <v>2.2525657312153577</v>
      </c>
      <c r="K255" s="72">
        <v>3.6539472522126815</v>
      </c>
      <c r="L255" s="72">
        <v>2.4516692803846865</v>
      </c>
      <c r="M255" s="72">
        <v>4.7518218772682257</v>
      </c>
      <c r="N255" s="519">
        <v>0.17270877481927421</v>
      </c>
      <c r="O255" s="519">
        <v>0.14281286250039127</v>
      </c>
      <c r="P255" s="519">
        <v>0.18309789119902256</v>
      </c>
      <c r="Q255" s="519">
        <v>0.24590736217766618</v>
      </c>
      <c r="R255" s="519">
        <v>0.16060378105427392</v>
      </c>
    </row>
    <row r="256" spans="1:18">
      <c r="A256">
        <v>29</v>
      </c>
      <c r="B256" t="s">
        <v>629</v>
      </c>
      <c r="C256" t="s">
        <v>630</v>
      </c>
      <c r="D256" t="s">
        <v>176</v>
      </c>
      <c r="E256">
        <v>17</v>
      </c>
      <c r="F256" t="s">
        <v>624</v>
      </c>
      <c r="G256" t="s">
        <v>612</v>
      </c>
      <c r="H256" t="s">
        <v>629</v>
      </c>
      <c r="I256" s="72">
        <v>6.6456969080414323</v>
      </c>
      <c r="J256" s="72">
        <v>7.3873970928066566</v>
      </c>
      <c r="K256" s="72">
        <v>12.18310041195506</v>
      </c>
      <c r="L256" s="72">
        <v>8.6804945189315479</v>
      </c>
      <c r="M256" s="72">
        <v>15.440640873650276</v>
      </c>
      <c r="N256" s="519">
        <v>0.27836297495024614</v>
      </c>
      <c r="O256" s="519">
        <v>0.21807306524117578</v>
      </c>
      <c r="P256" s="519">
        <v>0.3033796684142242</v>
      </c>
      <c r="Q256" s="519">
        <v>0.42128070231252995</v>
      </c>
      <c r="R256" s="519">
        <v>0.25848902374204036</v>
      </c>
    </row>
    <row r="257" spans="1:18">
      <c r="A257">
        <v>30</v>
      </c>
      <c r="B257" t="s">
        <v>632</v>
      </c>
      <c r="C257" t="s">
        <v>633</v>
      </c>
      <c r="D257" t="s">
        <v>176</v>
      </c>
      <c r="E257">
        <v>18</v>
      </c>
      <c r="F257" t="s">
        <v>624</v>
      </c>
      <c r="G257" t="s">
        <v>616</v>
      </c>
      <c r="H257" t="s">
        <v>632</v>
      </c>
      <c r="I257" s="72">
        <v>3.8776835816305568</v>
      </c>
      <c r="J257" s="72">
        <v>4.3197577296710481</v>
      </c>
      <c r="K257" s="72">
        <v>6.9920294732854984</v>
      </c>
      <c r="L257" s="72">
        <v>4.9884095413710501</v>
      </c>
      <c r="M257" s="72">
        <v>8.8392671844265589</v>
      </c>
      <c r="N257" s="519">
        <v>0.17915070673782654</v>
      </c>
      <c r="O257" s="519">
        <v>0.14425698208405874</v>
      </c>
      <c r="P257" s="519">
        <v>0.19470609044396561</v>
      </c>
      <c r="Q257" s="519">
        <v>0.26647721186567502</v>
      </c>
      <c r="R257" s="519">
        <v>0.16846905285828886</v>
      </c>
    </row>
    <row r="258" spans="1:18">
      <c r="A258">
        <v>31</v>
      </c>
      <c r="B258" t="s">
        <v>635</v>
      </c>
      <c r="C258" t="s">
        <v>636</v>
      </c>
      <c r="D258" t="s">
        <v>176</v>
      </c>
      <c r="E258">
        <v>19</v>
      </c>
      <c r="F258" t="s">
        <v>604</v>
      </c>
      <c r="G258" t="s">
        <v>637</v>
      </c>
      <c r="H258" t="s">
        <v>635</v>
      </c>
      <c r="I258" s="72">
        <v>2.505109645769608</v>
      </c>
      <c r="J258" s="72">
        <v>2.750408929502933</v>
      </c>
      <c r="K258" s="72">
        <v>4.3941388856015182</v>
      </c>
      <c r="L258" s="72">
        <v>3.3527303838553264</v>
      </c>
      <c r="M258" s="72">
        <v>5.3561061901623441</v>
      </c>
      <c r="N258" s="519">
        <v>6.5355357913320878E-3</v>
      </c>
      <c r="O258" s="519">
        <v>4.6991929536767862E-4</v>
      </c>
      <c r="P258" s="519">
        <v>1.2811212411487088E-2</v>
      </c>
      <c r="Q258" s="519">
        <v>2.3672719083185887E-2</v>
      </c>
      <c r="R258" s="519">
        <v>8.4464502569675734E-3</v>
      </c>
    </row>
    <row r="259" spans="1:18">
      <c r="A259">
        <v>32</v>
      </c>
      <c r="B259" t="s">
        <v>639</v>
      </c>
      <c r="C259" t="s">
        <v>640</v>
      </c>
      <c r="D259" t="s">
        <v>176</v>
      </c>
      <c r="E259">
        <v>20</v>
      </c>
      <c r="F259" t="s">
        <v>641</v>
      </c>
      <c r="G259" t="s">
        <v>637</v>
      </c>
      <c r="H259" t="s">
        <v>639</v>
      </c>
      <c r="I259" s="72">
        <v>19.046913284005328</v>
      </c>
      <c r="J259" s="72">
        <v>20.850786410101446</v>
      </c>
      <c r="K259" s="72">
        <v>31.955475032340686</v>
      </c>
      <c r="L259" s="72">
        <v>24.93197013998245</v>
      </c>
      <c r="M259" s="72">
        <v>38.576818341319914</v>
      </c>
      <c r="N259" s="519">
        <v>0.11791910220743178</v>
      </c>
      <c r="O259" s="519">
        <v>7.4709913882832976E-2</v>
      </c>
      <c r="P259" s="519">
        <v>0.15129753859475997</v>
      </c>
      <c r="Q259" s="519">
        <v>0.23000417144752641</v>
      </c>
      <c r="R259" s="519">
        <v>0.12555634375453159</v>
      </c>
    </row>
    <row r="260" spans="1:18">
      <c r="A260">
        <v>33</v>
      </c>
      <c r="B260" t="s">
        <v>643</v>
      </c>
      <c r="C260" t="s">
        <v>644</v>
      </c>
      <c r="D260" t="s">
        <v>176</v>
      </c>
      <c r="E260">
        <v>21</v>
      </c>
      <c r="F260" t="s">
        <v>645</v>
      </c>
      <c r="G260" t="s">
        <v>637</v>
      </c>
      <c r="H260" t="s">
        <v>643</v>
      </c>
      <c r="I260" s="72">
        <v>11.061300778873173</v>
      </c>
      <c r="J260" s="72">
        <v>12.162617467350689</v>
      </c>
      <c r="K260" s="72">
        <v>19.053363141843047</v>
      </c>
      <c r="L260" s="72">
        <v>14.442287789879344</v>
      </c>
      <c r="M260" s="72">
        <v>23.285636900343906</v>
      </c>
      <c r="N260" s="519">
        <v>0.16613126117729701</v>
      </c>
      <c r="O260" s="519">
        <v>0.12309184129088753</v>
      </c>
      <c r="P260" s="519">
        <v>0.19199529113179181</v>
      </c>
      <c r="Q260" s="519">
        <v>0.27391712613728691</v>
      </c>
      <c r="R260" s="519">
        <v>0.16341779536393156</v>
      </c>
    </row>
    <row r="261" spans="1:18">
      <c r="A261">
        <v>34</v>
      </c>
      <c r="B261" t="s">
        <v>647</v>
      </c>
      <c r="C261" t="s">
        <v>648</v>
      </c>
      <c r="D261" t="s">
        <v>176</v>
      </c>
      <c r="E261">
        <v>22</v>
      </c>
      <c r="F261" t="s">
        <v>641</v>
      </c>
      <c r="G261" t="s">
        <v>608</v>
      </c>
      <c r="H261" t="s">
        <v>647</v>
      </c>
      <c r="I261" s="72">
        <v>17.564532586239494</v>
      </c>
      <c r="J261" s="72">
        <v>19.227161727706385</v>
      </c>
      <c r="K261" s="72">
        <v>29.340916842738313</v>
      </c>
      <c r="L261" s="72">
        <v>22.944954043842824</v>
      </c>
      <c r="M261" s="72">
        <v>35.376586823314248</v>
      </c>
      <c r="N261" s="519">
        <v>0.11222747474752311</v>
      </c>
      <c r="O261" s="519">
        <v>7.2996384099230302E-2</v>
      </c>
      <c r="P261" s="519">
        <v>0.14162784693114366</v>
      </c>
      <c r="Q261" s="519">
        <v>0.21312599588155712</v>
      </c>
      <c r="R261" s="519">
        <v>0.11882976044175197</v>
      </c>
    </row>
    <row r="262" spans="1:18">
      <c r="A262">
        <v>35</v>
      </c>
      <c r="B262" t="s">
        <v>650</v>
      </c>
      <c r="C262" t="s">
        <v>651</v>
      </c>
      <c r="D262" t="s">
        <v>176</v>
      </c>
      <c r="E262">
        <v>23</v>
      </c>
      <c r="F262" t="s">
        <v>645</v>
      </c>
      <c r="G262" t="s">
        <v>608</v>
      </c>
      <c r="H262" t="s">
        <v>650</v>
      </c>
      <c r="I262" s="72">
        <v>9.5789200811073414</v>
      </c>
      <c r="J262" s="72">
        <v>10.538992784955633</v>
      </c>
      <c r="K262" s="72">
        <v>16.438804952240673</v>
      </c>
      <c r="L262" s="72">
        <v>12.455271693739718</v>
      </c>
      <c r="M262" s="72">
        <v>20.085405382338244</v>
      </c>
      <c r="N262" s="519">
        <v>0.16043963371738834</v>
      </c>
      <c r="O262" s="519">
        <v>0.12137831150728483</v>
      </c>
      <c r="P262" s="519">
        <v>0.18232559946817553</v>
      </c>
      <c r="Q262" s="519">
        <v>0.25703895057131765</v>
      </c>
      <c r="R262" s="519">
        <v>0.15669121205115194</v>
      </c>
    </row>
    <row r="263" spans="1:18">
      <c r="A263">
        <v>36</v>
      </c>
      <c r="B263" t="s">
        <v>653</v>
      </c>
      <c r="C263" t="s">
        <v>654</v>
      </c>
      <c r="D263" t="s">
        <v>176</v>
      </c>
      <c r="E263">
        <v>24</v>
      </c>
      <c r="F263" t="s">
        <v>604</v>
      </c>
      <c r="G263" t="s">
        <v>608</v>
      </c>
      <c r="H263" t="s">
        <v>653</v>
      </c>
      <c r="I263" s="72">
        <v>1.0227289480037773</v>
      </c>
      <c r="J263" s="72">
        <v>1.1267842471078746</v>
      </c>
      <c r="K263" s="72">
        <v>1.7795806959991429</v>
      </c>
      <c r="L263" s="72">
        <v>1.3657142877156991</v>
      </c>
      <c r="M263" s="72">
        <v>2.1558746721566813</v>
      </c>
      <c r="N263" s="519">
        <v>8.4390833142342287E-4</v>
      </c>
      <c r="O263" s="519">
        <v>-1.2436104882350084E-3</v>
      </c>
      <c r="P263" s="519">
        <v>3.1415207478708001E-3</v>
      </c>
      <c r="Q263" s="519">
        <v>6.7945435172166186E-3</v>
      </c>
      <c r="R263" s="519">
        <v>1.7198669441879728E-3</v>
      </c>
    </row>
    <row r="264" spans="1:18">
      <c r="A264">
        <v>37</v>
      </c>
      <c r="B264" t="s">
        <v>655</v>
      </c>
      <c r="C264" t="s">
        <v>656</v>
      </c>
      <c r="D264" t="s">
        <v>58</v>
      </c>
      <c r="E264">
        <v>10</v>
      </c>
      <c r="F264" t="s">
        <v>657</v>
      </c>
      <c r="G264" t="s">
        <v>179</v>
      </c>
      <c r="H264" t="s">
        <v>655</v>
      </c>
      <c r="I264" s="72">
        <v>0</v>
      </c>
      <c r="J264" s="72">
        <v>0</v>
      </c>
      <c r="K264" s="72">
        <v>0</v>
      </c>
      <c r="L264" s="72">
        <v>0</v>
      </c>
      <c r="M264" s="72">
        <v>0</v>
      </c>
      <c r="N264" s="519">
        <v>0</v>
      </c>
      <c r="O264" s="519">
        <v>0</v>
      </c>
      <c r="P264" s="519">
        <v>0</v>
      </c>
      <c r="Q264" s="519">
        <v>0</v>
      </c>
      <c r="R264" s="519">
        <v>0</v>
      </c>
    </row>
    <row r="265" spans="1:18">
      <c r="A265">
        <v>38</v>
      </c>
      <c r="B265" t="s">
        <v>659</v>
      </c>
      <c r="C265" t="s">
        <v>660</v>
      </c>
      <c r="D265" t="s">
        <v>58</v>
      </c>
      <c r="E265">
        <v>11</v>
      </c>
      <c r="F265" t="s">
        <v>657</v>
      </c>
      <c r="G265" t="s">
        <v>661</v>
      </c>
      <c r="H265" t="s">
        <v>659</v>
      </c>
      <c r="I265" s="72">
        <v>0</v>
      </c>
      <c r="J265" s="72">
        <v>0</v>
      </c>
      <c r="K265" s="72">
        <v>0</v>
      </c>
      <c r="L265" s="72">
        <v>0</v>
      </c>
      <c r="M265" s="72">
        <v>0</v>
      </c>
      <c r="N265" s="519">
        <v>0</v>
      </c>
      <c r="O265" s="519">
        <v>0</v>
      </c>
      <c r="P265" s="519">
        <v>0</v>
      </c>
      <c r="Q265" s="519">
        <v>0</v>
      </c>
      <c r="R265" s="519">
        <v>0</v>
      </c>
    </row>
    <row r="266" spans="1:18">
      <c r="A266">
        <v>39</v>
      </c>
      <c r="B266" t="s">
        <v>663</v>
      </c>
      <c r="C266" t="s">
        <v>664</v>
      </c>
      <c r="D266" t="s">
        <v>58</v>
      </c>
      <c r="E266">
        <v>12</v>
      </c>
      <c r="F266" t="s">
        <v>179</v>
      </c>
      <c r="G266" t="s">
        <v>661</v>
      </c>
      <c r="H266" t="s">
        <v>663</v>
      </c>
      <c r="I266" s="72">
        <v>0</v>
      </c>
      <c r="J266" s="72">
        <v>0</v>
      </c>
      <c r="K266" s="72">
        <v>0</v>
      </c>
      <c r="L266" s="72">
        <v>0</v>
      </c>
      <c r="M266" s="72">
        <v>0</v>
      </c>
      <c r="N266" s="519">
        <v>0</v>
      </c>
      <c r="O266" s="519">
        <v>0</v>
      </c>
      <c r="P266" s="519">
        <v>0</v>
      </c>
      <c r="Q266" s="519">
        <v>0</v>
      </c>
      <c r="R266" s="519">
        <v>0</v>
      </c>
    </row>
    <row r="267" spans="1:18" ht="15">
      <c r="A267" s="66">
        <v>40</v>
      </c>
      <c r="B267" s="66" t="s">
        <v>666</v>
      </c>
      <c r="C267" s="66" t="s">
        <v>667</v>
      </c>
      <c r="D267" s="66" t="s">
        <v>541</v>
      </c>
      <c r="E267" s="66">
        <v>10</v>
      </c>
      <c r="F267" s="66" t="s">
        <v>668</v>
      </c>
      <c r="G267" s="66" t="s">
        <v>669</v>
      </c>
      <c r="H267" s="66" t="s">
        <v>666</v>
      </c>
      <c r="I267" s="480">
        <v>447.84083236214275</v>
      </c>
      <c r="J267" s="480">
        <v>505.02888016158522</v>
      </c>
      <c r="K267" s="480">
        <v>1652.728350763862</v>
      </c>
      <c r="L267" s="480">
        <v>1106.6998719700716</v>
      </c>
      <c r="M267" s="480">
        <v>2396.7324222991565</v>
      </c>
      <c r="N267" s="520">
        <v>33.065472141600104</v>
      </c>
      <c r="O267" s="520">
        <v>15.602977854574737</v>
      </c>
      <c r="P267" s="520">
        <v>39.106396569855043</v>
      </c>
      <c r="Q267" s="520">
        <v>81.290523996399244</v>
      </c>
      <c r="R267" s="520">
        <v>27.116178359727392</v>
      </c>
    </row>
    <row r="268" spans="1:18" ht="15">
      <c r="A268" s="66">
        <v>41</v>
      </c>
      <c r="B268" s="66" t="s">
        <v>671</v>
      </c>
      <c r="C268" s="66" t="s">
        <v>672</v>
      </c>
      <c r="D268" s="66" t="s">
        <v>542</v>
      </c>
      <c r="E268" s="66">
        <v>10</v>
      </c>
      <c r="F268" s="66" t="s">
        <v>527</v>
      </c>
      <c r="G268" s="66" t="s">
        <v>673</v>
      </c>
      <c r="H268" s="66" t="s">
        <v>671</v>
      </c>
      <c r="I268" s="480">
        <v>61.445912326141745</v>
      </c>
      <c r="J268" s="480">
        <v>68.623774949621549</v>
      </c>
      <c r="K268" s="480">
        <v>137.35569169516026</v>
      </c>
      <c r="L268" s="480">
        <v>99.599188464480108</v>
      </c>
      <c r="M268" s="480">
        <v>166.41979916597415</v>
      </c>
      <c r="N268" s="520">
        <v>2.1826716305457987</v>
      </c>
      <c r="O268" s="520">
        <v>1.1365444450857671</v>
      </c>
      <c r="P268" s="520">
        <v>2.6104117788732517</v>
      </c>
      <c r="Q268" s="520">
        <v>4.7737491210639318</v>
      </c>
      <c r="R268" s="520">
        <v>1.9046321158302395</v>
      </c>
    </row>
    <row r="269" spans="1:18" ht="15">
      <c r="A269" s="66">
        <v>42</v>
      </c>
      <c r="B269" s="66" t="s">
        <v>675</v>
      </c>
      <c r="C269" s="66" t="s">
        <v>676</v>
      </c>
      <c r="D269" s="66" t="s">
        <v>542</v>
      </c>
      <c r="E269" s="66">
        <v>11</v>
      </c>
      <c r="F269" s="66" t="s">
        <v>527</v>
      </c>
      <c r="G269" s="66" t="s">
        <v>528</v>
      </c>
      <c r="H269" s="66" t="s">
        <v>675</v>
      </c>
      <c r="I269" s="480">
        <v>84.829864672530817</v>
      </c>
      <c r="J269" s="480">
        <v>94.688637399826945</v>
      </c>
      <c r="K269" s="480">
        <v>190.42061277347162</v>
      </c>
      <c r="L269" s="480">
        <v>138.25846085941816</v>
      </c>
      <c r="M269" s="480">
        <v>231.92802275303535</v>
      </c>
      <c r="N269" s="520">
        <v>3.0257520776540257</v>
      </c>
      <c r="O269" s="520">
        <v>1.5705375346805694</v>
      </c>
      <c r="P269" s="520">
        <v>3.6040488079861079</v>
      </c>
      <c r="Q269" s="520">
        <v>6.6549901614030142</v>
      </c>
      <c r="R269" s="520">
        <v>2.6224778216033804</v>
      </c>
    </row>
    <row r="270" spans="1:18" ht="15">
      <c r="A270" s="66">
        <v>43</v>
      </c>
      <c r="B270" s="66" t="s">
        <v>678</v>
      </c>
      <c r="C270" s="66" t="s">
        <v>679</v>
      </c>
      <c r="D270" s="66" t="s">
        <v>542</v>
      </c>
      <c r="E270" s="66">
        <v>12</v>
      </c>
      <c r="F270" s="66" t="s">
        <v>673</v>
      </c>
      <c r="G270" s="66" t="s">
        <v>528</v>
      </c>
      <c r="H270" s="66" t="s">
        <v>678</v>
      </c>
      <c r="I270" s="480">
        <v>23.383952346389066</v>
      </c>
      <c r="J270" s="480">
        <v>26.064862450205407</v>
      </c>
      <c r="K270" s="480">
        <v>53.064921078311372</v>
      </c>
      <c r="L270" s="480">
        <v>38.659272394938043</v>
      </c>
      <c r="M270" s="480">
        <v>65.508223587061224</v>
      </c>
      <c r="N270" s="520">
        <v>0.84308044710822683</v>
      </c>
      <c r="O270" s="520">
        <v>0.43399308959480243</v>
      </c>
      <c r="P270" s="520">
        <v>0.99363702911285634</v>
      </c>
      <c r="Q270" s="520">
        <v>1.8812410403390825</v>
      </c>
      <c r="R270" s="520">
        <v>0.71784570577314133</v>
      </c>
    </row>
    <row r="271" spans="1:18" ht="15">
      <c r="A271" s="521">
        <v>44</v>
      </c>
      <c r="B271" s="521" t="s">
        <v>681</v>
      </c>
      <c r="C271" s="521" t="s">
        <v>682</v>
      </c>
      <c r="D271" s="521" t="s">
        <v>543</v>
      </c>
      <c r="E271" s="521">
        <v>10</v>
      </c>
      <c r="F271" s="521" t="s">
        <v>683</v>
      </c>
      <c r="G271" s="521" t="s">
        <v>684</v>
      </c>
      <c r="H271" s="521" t="s">
        <v>681</v>
      </c>
      <c r="I271" s="522">
        <v>380.51544499617989</v>
      </c>
      <c r="J271" s="522">
        <v>414.44639037433171</v>
      </c>
      <c r="K271" s="522">
        <v>575.32379679144276</v>
      </c>
      <c r="L271" s="522">
        <v>421.88096447669977</v>
      </c>
      <c r="M271" s="522">
        <v>617.44053093964828</v>
      </c>
      <c r="N271" s="523">
        <v>0</v>
      </c>
      <c r="O271" s="523">
        <v>0</v>
      </c>
      <c r="P271" s="523">
        <v>0</v>
      </c>
      <c r="Q271" s="523">
        <v>0</v>
      </c>
      <c r="R271" s="523">
        <v>0</v>
      </c>
    </row>
    <row r="272" spans="1:18" ht="15">
      <c r="A272" s="521">
        <v>45</v>
      </c>
      <c r="B272" s="521" t="s">
        <v>686</v>
      </c>
      <c r="C272" s="521" t="s">
        <v>687</v>
      </c>
      <c r="D272" s="521" t="s">
        <v>543</v>
      </c>
      <c r="E272" s="521">
        <v>11</v>
      </c>
      <c r="F272" s="521" t="s">
        <v>683</v>
      </c>
      <c r="G272" s="521" t="s">
        <v>688</v>
      </c>
      <c r="H272" s="521" t="s">
        <v>686</v>
      </c>
      <c r="I272" s="522">
        <v>554.63191558441508</v>
      </c>
      <c r="J272" s="522">
        <v>605.77227272727282</v>
      </c>
      <c r="K272" s="522">
        <v>842.23909090909024</v>
      </c>
      <c r="L272" s="522">
        <v>617.99743506493564</v>
      </c>
      <c r="M272" s="522">
        <v>898.48876623376418</v>
      </c>
      <c r="N272" s="523">
        <v>220.17638374821411</v>
      </c>
      <c r="O272" s="523">
        <v>136.04157211607134</v>
      </c>
      <c r="P272" s="523">
        <v>197.3733928392856</v>
      </c>
      <c r="Q272" s="523">
        <v>310.12227286607111</v>
      </c>
      <c r="R272" s="523">
        <v>150.96985031785692</v>
      </c>
    </row>
    <row r="273" spans="1:18" ht="15">
      <c r="A273" s="521">
        <v>46</v>
      </c>
      <c r="B273" s="521" t="s">
        <v>690</v>
      </c>
      <c r="C273" s="521" t="s">
        <v>691</v>
      </c>
      <c r="D273" s="521" t="s">
        <v>543</v>
      </c>
      <c r="E273" s="521">
        <v>12</v>
      </c>
      <c r="F273" s="521" t="s">
        <v>683</v>
      </c>
      <c r="G273" s="521" t="s">
        <v>692</v>
      </c>
      <c r="H273" s="521" t="s">
        <v>690</v>
      </c>
      <c r="I273" s="522">
        <v>265.8533789990488</v>
      </c>
      <c r="J273" s="522">
        <v>288.45129711751667</v>
      </c>
      <c r="K273" s="522">
        <v>399.55031042128422</v>
      </c>
      <c r="L273" s="522">
        <v>292.73109360152012</v>
      </c>
      <c r="M273" s="522">
        <v>432.35998574595988</v>
      </c>
      <c r="N273" s="523">
        <v>0</v>
      </c>
      <c r="O273" s="523">
        <v>0</v>
      </c>
      <c r="P273" s="523">
        <v>0</v>
      </c>
      <c r="Q273" s="523">
        <v>0</v>
      </c>
      <c r="R273" s="523">
        <v>0</v>
      </c>
    </row>
    <row r="274" spans="1:18" ht="15">
      <c r="A274" s="521">
        <v>47</v>
      </c>
      <c r="B274" s="521" t="s">
        <v>694</v>
      </c>
      <c r="C274" s="521" t="s">
        <v>695</v>
      </c>
      <c r="D274" s="521" t="s">
        <v>544</v>
      </c>
      <c r="E274" s="521">
        <v>10</v>
      </c>
      <c r="F274" s="521" t="s">
        <v>696</v>
      </c>
      <c r="G274" s="521" t="s">
        <v>178</v>
      </c>
      <c r="H274" s="521" t="s">
        <v>694</v>
      </c>
      <c r="I274" s="522">
        <v>589.76044117647075</v>
      </c>
      <c r="J274" s="522">
        <v>653.07220588235248</v>
      </c>
      <c r="K274" s="522">
        <v>2075.4410294117652</v>
      </c>
      <c r="L274" s="522">
        <v>1362.0705882352941</v>
      </c>
      <c r="M274" s="522">
        <v>2888.6685294117638</v>
      </c>
      <c r="N274" s="432">
        <v>-11.311250350000035</v>
      </c>
      <c r="O274" s="432">
        <v>-4.9200841500000054</v>
      </c>
      <c r="P274" s="432">
        <v>0.5602474499999861</v>
      </c>
      <c r="Q274" s="432">
        <v>-0.45251170000017282</v>
      </c>
      <c r="R274" s="432">
        <v>-2.3431575999999579</v>
      </c>
    </row>
  </sheetData>
  <mergeCells count="1">
    <mergeCell ref="B4:G4"/>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sheetPr>
    <tabColor theme="5" tint="0.79998168889431442"/>
  </sheetPr>
  <dimension ref="A1:H42"/>
  <sheetViews>
    <sheetView workbookViewId="0">
      <selection activeCell="B14" sqref="B14"/>
    </sheetView>
  </sheetViews>
  <sheetFormatPr defaultRowHeight="12.75"/>
  <cols>
    <col min="1" max="1" width="20.28515625" customWidth="1"/>
    <col min="2" max="2" width="12.28515625" customWidth="1"/>
    <col min="3" max="3" width="11.85546875" customWidth="1"/>
    <col min="4" max="4" width="20.85546875" bestFit="1" customWidth="1"/>
    <col min="5" max="5" width="10.7109375" bestFit="1" customWidth="1"/>
    <col min="6" max="6" width="8.85546875" bestFit="1" customWidth="1"/>
    <col min="7" max="7" width="11" bestFit="1" customWidth="1"/>
  </cols>
  <sheetData>
    <row r="1" spans="1:8">
      <c r="A1" s="658" t="s">
        <v>188</v>
      </c>
      <c r="B1" s="659"/>
      <c r="C1" s="357" t="s">
        <v>185</v>
      </c>
      <c r="D1" s="357" t="s">
        <v>1203</v>
      </c>
      <c r="E1" s="357" t="s">
        <v>1204</v>
      </c>
      <c r="F1" s="357" t="s">
        <v>78</v>
      </c>
      <c r="G1" s="357" t="s">
        <v>537</v>
      </c>
    </row>
    <row r="2" spans="1:8">
      <c r="A2" s="358">
        <v>1500</v>
      </c>
      <c r="B2" s="358" t="s">
        <v>187</v>
      </c>
      <c r="C2" s="359">
        <v>0.15</v>
      </c>
      <c r="D2" s="360">
        <f>C2</f>
        <v>0.15</v>
      </c>
      <c r="E2" s="360">
        <v>0</v>
      </c>
      <c r="F2" s="361">
        <v>0.45</v>
      </c>
      <c r="G2" s="361">
        <f>C2/SUM($C$2,$C$4)</f>
        <v>0.17647058823529413</v>
      </c>
      <c r="H2" t="s">
        <v>187</v>
      </c>
    </row>
    <row r="3" spans="1:8">
      <c r="A3" s="358">
        <v>1500</v>
      </c>
      <c r="B3" s="358" t="s">
        <v>186</v>
      </c>
      <c r="C3" s="359">
        <v>0.15</v>
      </c>
      <c r="D3" s="360">
        <f>C3</f>
        <v>0.15</v>
      </c>
      <c r="E3" s="360">
        <v>0</v>
      </c>
      <c r="F3" s="361">
        <v>0.45</v>
      </c>
      <c r="G3" s="266"/>
      <c r="H3" t="s">
        <v>186</v>
      </c>
    </row>
    <row r="4" spans="1:8">
      <c r="A4" s="358">
        <v>1000</v>
      </c>
      <c r="B4" s="358" t="s">
        <v>187</v>
      </c>
      <c r="C4" s="359">
        <v>0.7</v>
      </c>
      <c r="D4" s="360">
        <f>C4</f>
        <v>0.7</v>
      </c>
      <c r="E4" s="360">
        <v>1</v>
      </c>
      <c r="F4" s="361">
        <v>0.1</v>
      </c>
      <c r="G4" s="361">
        <f>C4/SUM($C$2,$C$4)</f>
        <v>0.82352941176470584</v>
      </c>
      <c r="H4" t="s">
        <v>187</v>
      </c>
    </row>
    <row r="5" spans="1:8">
      <c r="B5" s="362" t="s">
        <v>560</v>
      </c>
      <c r="C5" s="363">
        <f>SUMPRODUCT(C2:C4,A2:A4)</f>
        <v>1150</v>
      </c>
      <c r="D5" s="363">
        <f>C5</f>
        <v>1150</v>
      </c>
      <c r="E5" s="219"/>
      <c r="F5" s="31">
        <f>SUMPRODUCT(F2:F4,A2:A4)</f>
        <v>1450</v>
      </c>
    </row>
    <row r="7" spans="1:8">
      <c r="A7" s="364" t="s">
        <v>323</v>
      </c>
      <c r="B7" s="364" t="s">
        <v>185</v>
      </c>
      <c r="C7" s="364" t="s">
        <v>1203</v>
      </c>
      <c r="D7" s="364" t="s">
        <v>1205</v>
      </c>
    </row>
    <row r="8" spans="1:8">
      <c r="A8" s="266" t="s">
        <v>183</v>
      </c>
      <c r="B8" s="365">
        <f>[3]SATS!$D$35/SUM([3]SATS!$D$35,[3]SATS!$D$17,[3]SATS!$D$28)</f>
        <v>0.96394779301768729</v>
      </c>
      <c r="C8" s="361">
        <v>0</v>
      </c>
      <c r="D8" s="361">
        <v>0</v>
      </c>
    </row>
    <row r="9" spans="1:8">
      <c r="A9" s="266" t="s">
        <v>181</v>
      </c>
      <c r="B9" s="365">
        <f>[3]SATS!$D$17/SUM([3]SATS!$D$35,[3]SATS!$D$17,[3]SATS!$D$28)</f>
        <v>2.333276117733632E-2</v>
      </c>
      <c r="C9" s="361">
        <f>B9/SUM($B$9:$B$10)</f>
        <v>0.64719369853788244</v>
      </c>
      <c r="D9" s="361">
        <v>0</v>
      </c>
    </row>
    <row r="10" spans="1:8">
      <c r="A10" s="266" t="s">
        <v>78</v>
      </c>
      <c r="B10" s="365">
        <f>[3]SATS!$D$28/SUM([3]SATS!$D$35,[3]SATS!$D$17,[3]SATS!$D$28)</f>
        <v>1.2719445804976529E-2</v>
      </c>
      <c r="C10" s="361">
        <f>B10/SUM($B$9:$B$10)</f>
        <v>0.35280630146211767</v>
      </c>
      <c r="D10" s="361">
        <v>1</v>
      </c>
    </row>
    <row r="12" spans="1:8">
      <c r="A12" s="366" t="s">
        <v>1206</v>
      </c>
      <c r="B12" s="367"/>
    </row>
    <row r="13" spans="1:8">
      <c r="A13" s="266" t="s">
        <v>1207</v>
      </c>
      <c r="B13" s="365">
        <f>[4]MF!$L$42+[4]MF!$L$45</f>
        <v>9.6445615336814089E-2</v>
      </c>
    </row>
    <row r="14" spans="1:8">
      <c r="A14" s="266" t="s">
        <v>1208</v>
      </c>
      <c r="B14" s="365">
        <f>1-B13</f>
        <v>0.90355438466318594</v>
      </c>
    </row>
    <row r="17" spans="1:8" ht="13.5" thickBot="1"/>
    <row r="18" spans="1:8">
      <c r="A18" s="368" t="s">
        <v>1209</v>
      </c>
      <c r="B18" s="369" t="s">
        <v>1210</v>
      </c>
      <c r="C18" s="369" t="s">
        <v>1211</v>
      </c>
      <c r="D18" s="369" t="s">
        <v>1212</v>
      </c>
      <c r="E18" s="369" t="s">
        <v>1213</v>
      </c>
      <c r="F18" s="369" t="s">
        <v>1214</v>
      </c>
      <c r="G18" s="370" t="s">
        <v>217</v>
      </c>
    </row>
    <row r="19" spans="1:8">
      <c r="A19" s="371" t="s">
        <v>1215</v>
      </c>
      <c r="B19" s="372"/>
      <c r="C19" s="372"/>
      <c r="D19" s="372"/>
      <c r="E19" s="372"/>
      <c r="F19" s="372"/>
      <c r="G19" s="373"/>
    </row>
    <row r="20" spans="1:8">
      <c r="A20" s="374" t="s">
        <v>324</v>
      </c>
      <c r="B20" s="375">
        <v>0.2</v>
      </c>
      <c r="C20" s="375">
        <v>0.5</v>
      </c>
      <c r="D20" s="375">
        <v>0.15</v>
      </c>
      <c r="E20" s="375">
        <v>0.15</v>
      </c>
      <c r="F20" s="375">
        <v>0</v>
      </c>
      <c r="G20" s="376">
        <f t="shared" ref="G20:G28" si="0">SUM(B20:F20)</f>
        <v>1</v>
      </c>
      <c r="H20">
        <f>SUMPRODUCT($B$29:$F$29,B20:F20)</f>
        <v>4974.7</v>
      </c>
    </row>
    <row r="21" spans="1:8">
      <c r="A21" s="374" t="s">
        <v>325</v>
      </c>
      <c r="B21" s="375">
        <v>0</v>
      </c>
      <c r="C21" s="375">
        <v>0</v>
      </c>
      <c r="D21" s="375">
        <v>0.85</v>
      </c>
      <c r="E21" s="375">
        <v>0.1</v>
      </c>
      <c r="F21" s="375">
        <v>0.05</v>
      </c>
      <c r="G21" s="376">
        <f t="shared" si="0"/>
        <v>1</v>
      </c>
      <c r="H21">
        <f t="shared" ref="H21:H22" si="1">SUMPRODUCT($B$29:$F$29,B21:F21)</f>
        <v>6639.5999999999995</v>
      </c>
    </row>
    <row r="22" spans="1:8">
      <c r="A22" s="374" t="s">
        <v>326</v>
      </c>
      <c r="B22" s="375">
        <v>0</v>
      </c>
      <c r="C22" s="375">
        <v>0</v>
      </c>
      <c r="D22" s="375">
        <v>0</v>
      </c>
      <c r="E22" s="375">
        <v>0</v>
      </c>
      <c r="F22" s="375">
        <v>1</v>
      </c>
      <c r="G22" s="376">
        <f t="shared" si="0"/>
        <v>1</v>
      </c>
      <c r="H22">
        <f t="shared" si="1"/>
        <v>7828</v>
      </c>
    </row>
    <row r="23" spans="1:8">
      <c r="A23" s="377" t="s">
        <v>1216</v>
      </c>
      <c r="B23" s="375">
        <v>0.2</v>
      </c>
      <c r="C23" s="375">
        <v>0.4</v>
      </c>
      <c r="D23" s="375">
        <v>0.15</v>
      </c>
      <c r="E23" s="375">
        <v>0.2</v>
      </c>
      <c r="F23" s="375">
        <v>0.05</v>
      </c>
      <c r="G23" s="376">
        <f t="shared" si="0"/>
        <v>1.0000000000000002</v>
      </c>
    </row>
    <row r="24" spans="1:8">
      <c r="A24" s="377" t="s">
        <v>1210</v>
      </c>
      <c r="B24" s="375">
        <v>1</v>
      </c>
      <c r="C24" s="375">
        <v>0</v>
      </c>
      <c r="D24" s="375">
        <v>0</v>
      </c>
      <c r="E24" s="375">
        <v>0</v>
      </c>
      <c r="F24" s="375">
        <v>0</v>
      </c>
      <c r="G24" s="376">
        <f t="shared" si="0"/>
        <v>1</v>
      </c>
    </row>
    <row r="25" spans="1:8">
      <c r="A25" s="377" t="s">
        <v>1211</v>
      </c>
      <c r="B25" s="375">
        <v>0</v>
      </c>
      <c r="C25" s="375">
        <v>1</v>
      </c>
      <c r="D25" s="375">
        <v>0</v>
      </c>
      <c r="E25" s="375">
        <v>0</v>
      </c>
      <c r="F25" s="375">
        <v>0</v>
      </c>
      <c r="G25" s="376">
        <f t="shared" si="0"/>
        <v>1</v>
      </c>
    </row>
    <row r="26" spans="1:8">
      <c r="A26" s="377" t="s">
        <v>1213</v>
      </c>
      <c r="B26" s="375">
        <v>0</v>
      </c>
      <c r="C26" s="375">
        <v>0</v>
      </c>
      <c r="D26" s="375">
        <v>0</v>
      </c>
      <c r="E26" s="375">
        <v>1</v>
      </c>
      <c r="F26" s="375">
        <v>0</v>
      </c>
      <c r="G26" s="376">
        <f t="shared" si="0"/>
        <v>1</v>
      </c>
    </row>
    <row r="27" spans="1:8">
      <c r="A27" s="377" t="s">
        <v>1217</v>
      </c>
      <c r="B27" s="375">
        <v>0</v>
      </c>
      <c r="C27" s="375">
        <v>0</v>
      </c>
      <c r="D27" s="375">
        <v>1</v>
      </c>
      <c r="E27" s="375">
        <v>0</v>
      </c>
      <c r="F27" s="375">
        <v>0</v>
      </c>
      <c r="G27" s="376">
        <f t="shared" si="0"/>
        <v>1</v>
      </c>
    </row>
    <row r="28" spans="1:8" ht="13.5" thickBot="1">
      <c r="A28" s="378" t="s">
        <v>1214</v>
      </c>
      <c r="B28" s="379">
        <v>0</v>
      </c>
      <c r="C28" s="379">
        <v>0</v>
      </c>
      <c r="D28" s="379">
        <v>0</v>
      </c>
      <c r="E28" s="379">
        <v>0</v>
      </c>
      <c r="F28" s="379">
        <v>1</v>
      </c>
      <c r="G28" s="380">
        <f t="shared" si="0"/>
        <v>1</v>
      </c>
    </row>
    <row r="29" spans="1:8" ht="13.5" thickBot="1">
      <c r="A29" s="381" t="s">
        <v>1218</v>
      </c>
      <c r="B29" s="382">
        <v>4187</v>
      </c>
      <c r="C29" s="382">
        <v>4641</v>
      </c>
      <c r="D29" s="383">
        <v>6716</v>
      </c>
      <c r="E29" s="383">
        <v>5396</v>
      </c>
      <c r="F29" s="383">
        <v>7828</v>
      </c>
      <c r="G29" s="384" t="e">
        <f>SUMPRODUCT(#REF!,B29:F29)</f>
        <v>#REF!</v>
      </c>
    </row>
    <row r="30" spans="1:8" ht="15" thickBot="1">
      <c r="A30" s="27"/>
      <c r="B30" s="27"/>
      <c r="C30" s="27"/>
      <c r="D30" s="27"/>
      <c r="E30" s="27"/>
      <c r="F30" s="27"/>
      <c r="G30" s="385"/>
    </row>
    <row r="31" spans="1:8">
      <c r="A31" s="368" t="s">
        <v>1209</v>
      </c>
      <c r="B31" s="369" t="s">
        <v>1210</v>
      </c>
      <c r="C31" s="369" t="s">
        <v>1211</v>
      </c>
      <c r="D31" s="369" t="s">
        <v>1217</v>
      </c>
      <c r="E31" s="369" t="s">
        <v>1213</v>
      </c>
      <c r="F31" s="369" t="s">
        <v>1214</v>
      </c>
      <c r="G31" s="386" t="s">
        <v>217</v>
      </c>
    </row>
    <row r="32" spans="1:8">
      <c r="A32" s="371" t="s">
        <v>1219</v>
      </c>
      <c r="B32" s="372"/>
      <c r="C32" s="372"/>
      <c r="D32" s="372"/>
      <c r="E32" s="372"/>
      <c r="F32" s="372"/>
      <c r="G32" s="373"/>
    </row>
    <row r="33" spans="1:8">
      <c r="A33" s="374" t="s">
        <v>1220</v>
      </c>
      <c r="B33" s="375">
        <v>0.05</v>
      </c>
      <c r="C33" s="375">
        <v>0.8</v>
      </c>
      <c r="D33" s="375">
        <v>0</v>
      </c>
      <c r="E33" s="375">
        <v>0</v>
      </c>
      <c r="F33" s="375">
        <v>0.15</v>
      </c>
      <c r="G33" s="376">
        <f t="shared" ref="G33:G41" si="2">SUM(B33:F33)</f>
        <v>1</v>
      </c>
      <c r="H33">
        <f>SUMPRODUCT($B$42:$F$42,B33:F33)</f>
        <v>139.80000000000001</v>
      </c>
    </row>
    <row r="34" spans="1:8">
      <c r="A34" s="374" t="s">
        <v>1221</v>
      </c>
      <c r="B34" s="375">
        <v>0.35</v>
      </c>
      <c r="C34" s="375">
        <v>0</v>
      </c>
      <c r="D34" s="375">
        <v>0.55000000000000004</v>
      </c>
      <c r="E34" s="375">
        <v>0.1</v>
      </c>
      <c r="F34" s="375">
        <v>0</v>
      </c>
      <c r="G34" s="376">
        <f t="shared" si="2"/>
        <v>1</v>
      </c>
      <c r="H34">
        <f t="shared" ref="H34:H35" si="3">SUMPRODUCT($B$42:$F$42,B34:F34)</f>
        <v>391.6</v>
      </c>
    </row>
    <row r="35" spans="1:8">
      <c r="A35" s="374" t="s">
        <v>1222</v>
      </c>
      <c r="B35" s="375">
        <v>0</v>
      </c>
      <c r="C35" s="375">
        <v>0</v>
      </c>
      <c r="D35" s="375">
        <v>0</v>
      </c>
      <c r="E35" s="375">
        <v>1</v>
      </c>
      <c r="F35" s="375">
        <v>0</v>
      </c>
      <c r="G35" s="376">
        <f t="shared" si="2"/>
        <v>1</v>
      </c>
      <c r="H35">
        <f t="shared" si="3"/>
        <v>756</v>
      </c>
    </row>
    <row r="36" spans="1:8">
      <c r="A36" s="377" t="s">
        <v>1216</v>
      </c>
      <c r="B36" s="375">
        <v>0.35</v>
      </c>
      <c r="C36" s="375">
        <v>0.25</v>
      </c>
      <c r="D36" s="375">
        <v>0.2</v>
      </c>
      <c r="E36" s="375">
        <v>0.15</v>
      </c>
      <c r="F36" s="375">
        <v>0.05</v>
      </c>
      <c r="G36" s="376">
        <f t="shared" si="2"/>
        <v>1</v>
      </c>
    </row>
    <row r="37" spans="1:8">
      <c r="A37" s="377" t="s">
        <v>1210</v>
      </c>
      <c r="B37" s="375">
        <v>1</v>
      </c>
      <c r="C37" s="375"/>
      <c r="D37" s="375"/>
      <c r="E37" s="375"/>
      <c r="F37" s="375"/>
      <c r="G37" s="376">
        <f t="shared" si="2"/>
        <v>1</v>
      </c>
    </row>
    <row r="38" spans="1:8">
      <c r="A38" s="377" t="s">
        <v>1211</v>
      </c>
      <c r="B38" s="375"/>
      <c r="C38" s="375">
        <v>1</v>
      </c>
      <c r="D38" s="375"/>
      <c r="E38" s="375"/>
      <c r="F38" s="375"/>
      <c r="G38" s="376">
        <f t="shared" si="2"/>
        <v>1</v>
      </c>
    </row>
    <row r="39" spans="1:8">
      <c r="A39" s="377" t="s">
        <v>1213</v>
      </c>
      <c r="B39" s="375"/>
      <c r="C39" s="375"/>
      <c r="D39" s="375"/>
      <c r="E39" s="375">
        <v>1</v>
      </c>
      <c r="F39" s="375"/>
      <c r="G39" s="376">
        <f t="shared" si="2"/>
        <v>1</v>
      </c>
    </row>
    <row r="40" spans="1:8">
      <c r="A40" s="377" t="s">
        <v>1217</v>
      </c>
      <c r="B40" s="375"/>
      <c r="C40" s="375"/>
      <c r="D40" s="375">
        <v>1</v>
      </c>
      <c r="E40" s="375"/>
      <c r="F40" s="375"/>
      <c r="G40" s="376">
        <f t="shared" si="2"/>
        <v>1</v>
      </c>
    </row>
    <row r="41" spans="1:8" ht="13.5" thickBot="1">
      <c r="A41" s="378" t="s">
        <v>1214</v>
      </c>
      <c r="B41" s="379"/>
      <c r="C41" s="379"/>
      <c r="D41" s="379"/>
      <c r="E41" s="379"/>
      <c r="F41" s="379">
        <v>1</v>
      </c>
      <c r="G41" s="376">
        <f t="shared" si="2"/>
        <v>1</v>
      </c>
    </row>
    <row r="42" spans="1:8" ht="13.5" thickBot="1">
      <c r="A42" s="387" t="s">
        <v>1223</v>
      </c>
      <c r="B42" s="382">
        <v>367</v>
      </c>
      <c r="C42" s="382">
        <v>128</v>
      </c>
      <c r="D42" s="383">
        <v>341</v>
      </c>
      <c r="E42" s="383">
        <v>756</v>
      </c>
      <c r="F42" s="383">
        <v>127</v>
      </c>
      <c r="G42" s="384">
        <f>SUMPRODUCT(B$63:F$63,B42:F42)</f>
        <v>0</v>
      </c>
    </row>
  </sheetData>
  <mergeCells count="1">
    <mergeCell ref="A1: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5" tint="0.79998168889431442"/>
  </sheetPr>
  <dimension ref="A1:E24"/>
  <sheetViews>
    <sheetView workbookViewId="0">
      <selection activeCell="B20" sqref="B20"/>
    </sheetView>
  </sheetViews>
  <sheetFormatPr defaultRowHeight="12.75"/>
  <cols>
    <col min="1" max="1" width="51.5703125" bestFit="1" customWidth="1"/>
  </cols>
  <sheetData>
    <row r="1" spans="1:5">
      <c r="A1" s="27"/>
      <c r="B1" s="27"/>
      <c r="C1" s="27"/>
      <c r="D1" s="27"/>
      <c r="E1" s="27"/>
    </row>
    <row r="2" spans="1:5">
      <c r="A2" s="196" t="s">
        <v>491</v>
      </c>
      <c r="B2" s="197">
        <f>WallCost*(C2-D2)*Deflator</f>
        <v>0.85033582942530117</v>
      </c>
      <c r="C2" s="198">
        <v>11</v>
      </c>
      <c r="D2" s="199">
        <v>0</v>
      </c>
      <c r="E2" s="27"/>
    </row>
    <row r="3" spans="1:5">
      <c r="A3" s="200" t="s">
        <v>492</v>
      </c>
      <c r="B3" s="201">
        <f>FloorCost*(C3-D3)*Deflator</f>
        <v>1.1190178820234826</v>
      </c>
      <c r="C3" s="202">
        <v>19</v>
      </c>
      <c r="D3" s="203">
        <v>0</v>
      </c>
      <c r="E3" s="27"/>
    </row>
    <row r="4" spans="1:5">
      <c r="A4" s="204" t="s">
        <v>493</v>
      </c>
      <c r="B4" s="205">
        <f>FloorCost*(C4-D4)*Deflator</f>
        <v>1.766870340037078</v>
      </c>
      <c r="C4" s="206">
        <v>30</v>
      </c>
      <c r="D4" s="207">
        <v>0</v>
      </c>
      <c r="E4" s="27"/>
    </row>
    <row r="5" spans="1:5">
      <c r="A5" s="208" t="s">
        <v>494</v>
      </c>
      <c r="B5" s="209">
        <f>FloorCost*(C5-D5)*Deflator</f>
        <v>0.64785245801359526</v>
      </c>
      <c r="C5" s="210">
        <v>30</v>
      </c>
      <c r="D5" s="211">
        <v>19</v>
      </c>
      <c r="E5" s="27"/>
    </row>
    <row r="6" spans="1:5">
      <c r="A6" s="200" t="s">
        <v>495</v>
      </c>
      <c r="B6" s="201">
        <f t="shared" ref="B6:B14" si="0">AtticCost*(C6-D6)*Deflator</f>
        <v>0.58749066649983317</v>
      </c>
      <c r="C6" s="202">
        <v>19</v>
      </c>
      <c r="D6" s="203">
        <v>0</v>
      </c>
      <c r="E6" s="27"/>
    </row>
    <row r="7" spans="1:5">
      <c r="A7" s="204" t="s">
        <v>496</v>
      </c>
      <c r="B7" s="205">
        <f t="shared" si="0"/>
        <v>1.1749813329996663</v>
      </c>
      <c r="C7" s="206">
        <v>38</v>
      </c>
      <c r="D7" s="207">
        <v>0</v>
      </c>
      <c r="E7" s="27"/>
    </row>
    <row r="8" spans="1:5">
      <c r="A8" s="204" t="s">
        <v>497</v>
      </c>
      <c r="B8" s="205">
        <f t="shared" si="0"/>
        <v>1.515107508341675</v>
      </c>
      <c r="C8" s="206">
        <v>49</v>
      </c>
      <c r="D8" s="207">
        <v>0</v>
      </c>
      <c r="E8" s="27"/>
    </row>
    <row r="9" spans="1:5">
      <c r="A9" s="204" t="s">
        <v>498</v>
      </c>
      <c r="B9" s="205">
        <f t="shared" si="0"/>
        <v>0.2473644911578245</v>
      </c>
      <c r="C9" s="206">
        <v>38</v>
      </c>
      <c r="D9" s="207">
        <v>30</v>
      </c>
      <c r="E9" s="27"/>
    </row>
    <row r="10" spans="1:5">
      <c r="A10" s="204" t="s">
        <v>499</v>
      </c>
      <c r="B10" s="205">
        <f t="shared" si="0"/>
        <v>0.58749066649983317</v>
      </c>
      <c r="C10" s="206">
        <v>49</v>
      </c>
      <c r="D10" s="207">
        <v>30</v>
      </c>
      <c r="E10" s="27"/>
    </row>
    <row r="11" spans="1:5">
      <c r="A11" s="204" t="s">
        <v>500</v>
      </c>
      <c r="B11" s="205">
        <f t="shared" si="0"/>
        <v>0.34012617534200867</v>
      </c>
      <c r="C11" s="206">
        <v>49</v>
      </c>
      <c r="D11" s="207">
        <v>38</v>
      </c>
      <c r="E11" s="27"/>
    </row>
    <row r="12" spans="1:5">
      <c r="A12" s="204" t="s">
        <v>501</v>
      </c>
      <c r="B12" s="205">
        <f t="shared" si="0"/>
        <v>0.34012617534200867</v>
      </c>
      <c r="C12" s="212">
        <v>30</v>
      </c>
      <c r="D12" s="207">
        <v>19</v>
      </c>
      <c r="E12" s="27"/>
    </row>
    <row r="13" spans="1:5">
      <c r="A13" s="204" t="s">
        <v>502</v>
      </c>
      <c r="B13" s="205">
        <f t="shared" si="0"/>
        <v>0.58749066649983317</v>
      </c>
      <c r="C13" s="206">
        <v>38</v>
      </c>
      <c r="D13" s="207">
        <v>19</v>
      </c>
      <c r="E13" s="27"/>
    </row>
    <row r="14" spans="1:5">
      <c r="A14" s="208" t="s">
        <v>503</v>
      </c>
      <c r="B14" s="209">
        <f t="shared" si="0"/>
        <v>0.9276168418418419</v>
      </c>
      <c r="C14" s="210">
        <v>49</v>
      </c>
      <c r="D14" s="211">
        <v>19</v>
      </c>
      <c r="E14" s="27"/>
    </row>
    <row r="15" spans="1:5">
      <c r="A15" s="200" t="s">
        <v>504</v>
      </c>
      <c r="B15" s="213">
        <f>B17+1.36</f>
        <v>23.573200327964955</v>
      </c>
      <c r="C15" s="27"/>
      <c r="D15" s="27"/>
      <c r="E15" s="27"/>
    </row>
    <row r="16" spans="1:5">
      <c r="A16" s="204" t="s">
        <v>505</v>
      </c>
      <c r="B16" s="214">
        <f>B15</f>
        <v>23.573200327964955</v>
      </c>
      <c r="C16" s="27"/>
      <c r="D16" s="27"/>
      <c r="E16" s="27"/>
    </row>
    <row r="17" spans="1:5">
      <c r="A17" s="204" t="s">
        <v>506</v>
      </c>
      <c r="B17" s="214">
        <f>('ETO MF Window Cost'!K123+'ETO MF Window Cost'!L133)*Deflator</f>
        <v>22.213200327964955</v>
      </c>
      <c r="C17" s="27"/>
      <c r="D17" s="27"/>
      <c r="E17" s="27"/>
    </row>
    <row r="18" spans="1:5">
      <c r="A18" s="204" t="s">
        <v>507</v>
      </c>
      <c r="B18" s="214">
        <f>B17</f>
        <v>22.213200327964955</v>
      </c>
      <c r="C18" s="27"/>
      <c r="D18" s="27"/>
      <c r="E18" s="27"/>
    </row>
    <row r="19" spans="1:5">
      <c r="A19" s="204" t="s">
        <v>508</v>
      </c>
      <c r="B19" s="214">
        <f>'ETO MF Window Cost'!L133*Deflator</f>
        <v>0.9632509724857734</v>
      </c>
      <c r="C19" s="27"/>
      <c r="D19" s="27"/>
      <c r="E19" s="27"/>
    </row>
    <row r="20" spans="1:5">
      <c r="A20" s="208" t="s">
        <v>509</v>
      </c>
      <c r="B20" s="215">
        <f>B19+1.36</f>
        <v>2.3232509724857735</v>
      </c>
      <c r="C20" s="27"/>
      <c r="D20" s="27"/>
      <c r="E20" s="27"/>
    </row>
    <row r="21" spans="1:5">
      <c r="A21" s="27"/>
      <c r="B21" s="27"/>
      <c r="C21" s="27"/>
      <c r="D21" s="27"/>
      <c r="E21" s="27"/>
    </row>
    <row r="22" spans="1:5">
      <c r="A22" s="27"/>
      <c r="B22" s="27"/>
      <c r="C22" s="27"/>
      <c r="D22" s="27"/>
      <c r="E22" s="27"/>
    </row>
    <row r="23" spans="1:5">
      <c r="A23" s="27"/>
      <c r="B23" s="27"/>
      <c r="C23" s="27"/>
      <c r="D23" s="27"/>
      <c r="E23" s="27"/>
    </row>
    <row r="24" spans="1:5">
      <c r="A24" s="27"/>
      <c r="B24" s="27"/>
      <c r="C24" s="27"/>
      <c r="D24" s="27"/>
      <c r="E24" s="27"/>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dimension ref="A1:BD42"/>
  <sheetViews>
    <sheetView tabSelected="1" topLeftCell="AK19" workbookViewId="0">
      <selection activeCell="BE19" sqref="BE1:BE1048576"/>
    </sheetView>
  </sheetViews>
  <sheetFormatPr defaultRowHeight="12.75"/>
  <cols>
    <col min="1" max="2" width="21.85546875" style="626" customWidth="1"/>
    <col min="3" max="3" width="40.28515625" style="626" bestFit="1" customWidth="1"/>
    <col min="4" max="4" width="12.28515625" style="626" bestFit="1" customWidth="1"/>
    <col min="5" max="5" width="30.5703125" style="626" bestFit="1" customWidth="1"/>
    <col min="6" max="16384" width="9.140625" style="626"/>
  </cols>
  <sheetData>
    <row r="1" spans="1:56" ht="15.75" thickBot="1">
      <c r="A1" s="618" t="s">
        <v>2185</v>
      </c>
      <c r="B1" s="618" t="s">
        <v>2186</v>
      </c>
      <c r="C1" s="618" t="s">
        <v>2187</v>
      </c>
      <c r="D1" s="618" t="s">
        <v>307</v>
      </c>
      <c r="E1" s="618" t="s">
        <v>2188</v>
      </c>
      <c r="F1" s="618" t="s">
        <v>2189</v>
      </c>
      <c r="G1" s="618" t="s">
        <v>2190</v>
      </c>
      <c r="H1" s="618" t="s">
        <v>2191</v>
      </c>
      <c r="I1" s="618" t="s">
        <v>98</v>
      </c>
      <c r="J1" s="618" t="s">
        <v>99</v>
      </c>
      <c r="K1" s="619">
        <v>2016</v>
      </c>
      <c r="L1" s="620">
        <v>2017</v>
      </c>
      <c r="M1" s="620">
        <v>2018</v>
      </c>
      <c r="N1" s="620">
        <v>2019</v>
      </c>
      <c r="O1" s="620">
        <v>2020</v>
      </c>
      <c r="P1" s="620">
        <v>2021</v>
      </c>
      <c r="Q1" s="620">
        <v>2022</v>
      </c>
      <c r="R1" s="620">
        <v>2023</v>
      </c>
      <c r="S1" s="620">
        <v>2024</v>
      </c>
      <c r="T1" s="620">
        <v>2025</v>
      </c>
      <c r="U1" s="620">
        <v>2026</v>
      </c>
      <c r="V1" s="620">
        <v>2027</v>
      </c>
      <c r="W1" s="620">
        <v>2028</v>
      </c>
      <c r="X1" s="620">
        <v>2029</v>
      </c>
      <c r="Y1" s="620">
        <v>2030</v>
      </c>
      <c r="Z1" s="620">
        <v>2031</v>
      </c>
      <c r="AA1" s="620">
        <v>2032</v>
      </c>
      <c r="AB1" s="620">
        <v>2033</v>
      </c>
      <c r="AC1" s="620">
        <v>2034</v>
      </c>
      <c r="AD1" s="620">
        <v>2035</v>
      </c>
      <c r="AE1" s="621" t="s">
        <v>2132</v>
      </c>
      <c r="AF1" s="622" t="s">
        <v>2169</v>
      </c>
      <c r="AG1" s="623"/>
      <c r="AH1" s="623"/>
      <c r="AI1" s="623"/>
      <c r="AJ1" s="623"/>
      <c r="AK1" s="623"/>
      <c r="AL1" s="623"/>
      <c r="AM1" s="623"/>
      <c r="AN1" s="623"/>
      <c r="AO1" s="623"/>
      <c r="AP1" s="623"/>
      <c r="AQ1" s="624"/>
      <c r="AR1" s="625"/>
      <c r="AS1" s="622" t="s">
        <v>2170</v>
      </c>
      <c r="AT1" s="623"/>
      <c r="AU1" s="623"/>
      <c r="AV1" s="623"/>
      <c r="AW1" s="623"/>
      <c r="AX1" s="623"/>
      <c r="AY1" s="623"/>
      <c r="AZ1" s="623"/>
      <c r="BA1" s="623"/>
      <c r="BB1" s="623"/>
      <c r="BC1" s="623"/>
      <c r="BD1" s="624"/>
    </row>
    <row r="2" spans="1:56" ht="15">
      <c r="A2" s="618"/>
      <c r="B2" s="618"/>
      <c r="C2" s="618"/>
      <c r="D2" s="618"/>
      <c r="E2" s="618"/>
      <c r="F2" s="618" t="s">
        <v>2171</v>
      </c>
      <c r="G2" s="618" t="s">
        <v>33</v>
      </c>
      <c r="H2" s="618" t="s">
        <v>97</v>
      </c>
      <c r="I2" s="618">
        <v>1</v>
      </c>
      <c r="J2" s="618"/>
      <c r="K2" s="627" t="str">
        <f t="shared" ref="K2:AD2" si="0">CONCATENATE("aMW_",K$1)</f>
        <v>aMW_2016</v>
      </c>
      <c r="L2" s="628" t="str">
        <f t="shared" si="0"/>
        <v>aMW_2017</v>
      </c>
      <c r="M2" s="628" t="str">
        <f t="shared" si="0"/>
        <v>aMW_2018</v>
      </c>
      <c r="N2" s="628" t="str">
        <f t="shared" si="0"/>
        <v>aMW_2019</v>
      </c>
      <c r="O2" s="628" t="str">
        <f t="shared" si="0"/>
        <v>aMW_2020</v>
      </c>
      <c r="P2" s="628" t="str">
        <f t="shared" si="0"/>
        <v>aMW_2021</v>
      </c>
      <c r="Q2" s="628" t="str">
        <f t="shared" si="0"/>
        <v>aMW_2022</v>
      </c>
      <c r="R2" s="628" t="str">
        <f t="shared" si="0"/>
        <v>aMW_2023</v>
      </c>
      <c r="S2" s="628" t="str">
        <f t="shared" si="0"/>
        <v>aMW_2024</v>
      </c>
      <c r="T2" s="628" t="str">
        <f t="shared" si="0"/>
        <v>aMW_2025</v>
      </c>
      <c r="U2" s="628" t="str">
        <f t="shared" si="0"/>
        <v>aMW_2026</v>
      </c>
      <c r="V2" s="628" t="str">
        <f t="shared" si="0"/>
        <v>aMW_2027</v>
      </c>
      <c r="W2" s="628" t="str">
        <f t="shared" si="0"/>
        <v>aMW_2028</v>
      </c>
      <c r="X2" s="628" t="str">
        <f t="shared" si="0"/>
        <v>aMW_2029</v>
      </c>
      <c r="Y2" s="628" t="str">
        <f t="shared" si="0"/>
        <v>aMW_2030</v>
      </c>
      <c r="Z2" s="628" t="str">
        <f t="shared" si="0"/>
        <v>aMW_2031</v>
      </c>
      <c r="AA2" s="628" t="str">
        <f t="shared" si="0"/>
        <v>aMW_2032</v>
      </c>
      <c r="AB2" s="628" t="str">
        <f t="shared" si="0"/>
        <v>aMW_2033</v>
      </c>
      <c r="AC2" s="628" t="str">
        <f t="shared" si="0"/>
        <v>aMW_2034</v>
      </c>
      <c r="AD2" s="628" t="str">
        <f t="shared" si="0"/>
        <v>aMW_2035</v>
      </c>
      <c r="AE2" s="629" t="s">
        <v>2132</v>
      </c>
      <c r="AF2" s="630" t="s">
        <v>44</v>
      </c>
      <c r="AG2" s="630" t="s">
        <v>45</v>
      </c>
      <c r="AH2" s="630" t="s">
        <v>46</v>
      </c>
      <c r="AI2" s="630" t="s">
        <v>47</v>
      </c>
      <c r="AJ2" s="630" t="s">
        <v>48</v>
      </c>
      <c r="AK2" s="630" t="s">
        <v>49</v>
      </c>
      <c r="AL2" s="630" t="s">
        <v>50</v>
      </c>
      <c r="AM2" s="630" t="s">
        <v>51</v>
      </c>
      <c r="AN2" s="630" t="s">
        <v>52</v>
      </c>
      <c r="AO2" s="630" t="s">
        <v>53</v>
      </c>
      <c r="AP2" s="630" t="s">
        <v>54</v>
      </c>
      <c r="AQ2" s="630" t="s">
        <v>55</v>
      </c>
      <c r="AR2" s="630"/>
      <c r="AS2" s="630" t="s">
        <v>44</v>
      </c>
      <c r="AT2" s="630" t="s">
        <v>45</v>
      </c>
      <c r="AU2" s="630" t="s">
        <v>46</v>
      </c>
      <c r="AV2" s="630" t="s">
        <v>47</v>
      </c>
      <c r="AW2" s="630" t="s">
        <v>48</v>
      </c>
      <c r="AX2" s="630" t="s">
        <v>49</v>
      </c>
      <c r="AY2" s="630" t="s">
        <v>50</v>
      </c>
      <c r="AZ2" s="630" t="s">
        <v>51</v>
      </c>
      <c r="BA2" s="630" t="s">
        <v>52</v>
      </c>
      <c r="BB2" s="630" t="s">
        <v>53</v>
      </c>
      <c r="BC2" s="630" t="s">
        <v>54</v>
      </c>
      <c r="BD2" s="630" t="s">
        <v>55</v>
      </c>
    </row>
    <row r="3" spans="1:56" ht="15">
      <c r="A3" s="631" t="str">
        <f>VLOOKUP(CONCATENATE($C3," - ",$B3),[3]ACHIEV!$B$12:$C$100,2,FALSE)</f>
        <v>Retro12Med</v>
      </c>
      <c r="B3" s="631" t="str">
        <f>'SC-Retro'!$C$7</f>
        <v>Retro</v>
      </c>
      <c r="C3" s="631" t="str">
        <f>'SC-Retro'!$C$8</f>
        <v>ResWx</v>
      </c>
      <c r="D3" s="631" t="s">
        <v>314</v>
      </c>
      <c r="E3" s="631" t="s">
        <v>215</v>
      </c>
      <c r="F3" s="632">
        <f t="shared" ref="F3:F41" si="1">VLOOKUP($J3,MeasureOutput,14,FALSE)</f>
        <v>0.42014353020344541</v>
      </c>
      <c r="G3" s="633">
        <f>'SC-Retro'!A136</f>
        <v>805.93621817691815</v>
      </c>
      <c r="H3" s="633">
        <f>'SC-Retro'!B136</f>
        <v>-2.8709608555309631</v>
      </c>
      <c r="I3" s="634" t="str">
        <f>'SC-Retro'!C136</f>
        <v>Multifamily - Low Rise</v>
      </c>
      <c r="J3" s="637" t="str">
        <f>'SC-Retro'!D136</f>
        <v>WALL R0 - R11_Electric Zonal</v>
      </c>
      <c r="K3" s="635">
        <f>'SC-Retro'!E136</f>
        <v>3.6548770970360765E-2</v>
      </c>
      <c r="L3" s="635">
        <f>'SC-Retro'!F136</f>
        <v>4.167532629048281E-2</v>
      </c>
      <c r="M3" s="635">
        <f>'SC-Retro'!G136</f>
        <v>4.5478710297604426E-2</v>
      </c>
      <c r="N3" s="635">
        <f>'SC-Retro'!H136</f>
        <v>4.7460289502468375E-2</v>
      </c>
      <c r="O3" s="635">
        <f>'SC-Retro'!I136</f>
        <v>4.5474505998575179E-2</v>
      </c>
      <c r="P3" s="635">
        <f>'SC-Retro'!J136</f>
        <v>3.780936806701387E-2</v>
      </c>
      <c r="Q3" s="635">
        <f>'SC-Retro'!K136</f>
        <v>2.8292632410444399E-2</v>
      </c>
      <c r="R3" s="635">
        <f>'SC-Retro'!L136</f>
        <v>1.9246626134217612E-2</v>
      </c>
      <c r="S3" s="635">
        <f>'SC-Retro'!M136</f>
        <v>1.2001825345496517E-2</v>
      </c>
      <c r="T3" s="635">
        <f>'SC-Retro'!N136</f>
        <v>6.9084065692730096E-3</v>
      </c>
      <c r="U3" s="635">
        <f>'SC-Retro'!O136</f>
        <v>3.6925279481739518E-3</v>
      </c>
      <c r="V3" s="635">
        <f>'SC-Retro'!P136</f>
        <v>1.8420714449712138E-3</v>
      </c>
      <c r="W3" s="635">
        <f>'SC-Retro'!Q136</f>
        <v>8.6151020452739774E-4</v>
      </c>
      <c r="X3" s="635">
        <f>'SC-Retro'!R136</f>
        <v>3.7921494344596014E-4</v>
      </c>
      <c r="Y3" s="635">
        <f>'SC-Retro'!S136</f>
        <v>1.5764742308260125E-4</v>
      </c>
      <c r="Z3" s="635">
        <f>'SC-Retro'!T136</f>
        <v>6.2087934673610702E-5</v>
      </c>
      <c r="AA3" s="635">
        <f>'SC-Retro'!U136</f>
        <v>2.3230104107135513E-5</v>
      </c>
      <c r="AB3" s="635">
        <f>'SC-Retro'!V136</f>
        <v>8.2776259903534361E-6</v>
      </c>
      <c r="AC3" s="635">
        <f>'SC-Retro'!W136</f>
        <v>2.8155098897287327E-6</v>
      </c>
      <c r="AD3" s="635">
        <f>'SC-Retro'!X136</f>
        <v>9.1601621078673705E-7</v>
      </c>
      <c r="AE3" s="635">
        <f>'SC-Retro'!Y136</f>
        <v>0.32003475497640338</v>
      </c>
      <c r="AF3" s="636">
        <f t="shared" ref="AF3:AF41" si="2">VLOOKUP($J3,MeasureOutput,15,FALSE)</f>
        <v>90.679387083154523</v>
      </c>
      <c r="AG3" s="636">
        <f t="shared" ref="AG3:AG41" si="3">VLOOKUP($J3,MeasureOutput,16,FALSE)</f>
        <v>65.807086241440828</v>
      </c>
      <c r="AH3" s="636">
        <f t="shared" ref="AH3:AH41" si="4">VLOOKUP($J3,MeasureOutput,17,FALSE)</f>
        <v>59.262016373439991</v>
      </c>
      <c r="AI3" s="636">
        <f t="shared" ref="AI3:AI41" si="5">VLOOKUP($J3,MeasureOutput,18,FALSE)</f>
        <v>47.321215320498339</v>
      </c>
      <c r="AJ3" s="636">
        <f t="shared" ref="AJ3:AJ41" si="6">VLOOKUP($J3,MeasureOutput,19,FALSE)</f>
        <v>19.495665636639032</v>
      </c>
      <c r="AK3" s="636">
        <f t="shared" ref="AK3:AK41" si="7">VLOOKUP($J3,MeasureOutput,20,FALSE)</f>
        <v>5.4484319555103946</v>
      </c>
      <c r="AL3" s="636">
        <f t="shared" ref="AL3:AL41" si="8">VLOOKUP($J3,MeasureOutput,21,FALSE)</f>
        <v>1.331666286141262</v>
      </c>
      <c r="AM3" s="636">
        <f t="shared" ref="AM3:AM41" si="9">VLOOKUP($J3,MeasureOutput,22,FALSE)</f>
        <v>1.116830876332584</v>
      </c>
      <c r="AN3" s="636">
        <f t="shared" ref="AN3:AN41" si="10">VLOOKUP($J3,MeasureOutput,23,FALSE)</f>
        <v>10.578867601902028</v>
      </c>
      <c r="AO3" s="636">
        <f t="shared" ref="AO3:AO41" si="11">VLOOKUP($J3,MeasureOutput,24,FALSE)</f>
        <v>36.300964717358632</v>
      </c>
      <c r="AP3" s="636">
        <f t="shared" ref="AP3:AP41" si="12">VLOOKUP($J3,MeasureOutput,25,FALSE)</f>
        <v>57.80826080230122</v>
      </c>
      <c r="AQ3" s="636">
        <f t="shared" ref="AQ3:AQ41" si="13">VLOOKUP($J3,MeasureOutput,26,FALSE)</f>
        <v>105.40532773947049</v>
      </c>
      <c r="AR3" s="636"/>
      <c r="AS3" s="636">
        <f t="shared" ref="AS3:AS41" si="14">VLOOKUP($J3,MeasureOutput,28,FALSE)</f>
        <v>57.104185229436112</v>
      </c>
      <c r="AT3" s="636">
        <f t="shared" ref="AT3:AT41" si="15">VLOOKUP($J3,MeasureOutput,29,FALSE)</f>
        <v>42.665893515490062</v>
      </c>
      <c r="AU3" s="636">
        <f t="shared" ref="AU3:AU41" si="16">VLOOKUP($J3,MeasureOutput,30,FALSE)</f>
        <v>32.944227095662484</v>
      </c>
      <c r="AV3" s="636">
        <f t="shared" ref="AV3:AV41" si="17">VLOOKUP($J3,MeasureOutput,31,FALSE)</f>
        <v>28.112785657867768</v>
      </c>
      <c r="AW3" s="636">
        <f t="shared" ref="AW3:AW41" si="18">VLOOKUP($J3,MeasureOutput,32,FALSE)</f>
        <v>11.042598647966319</v>
      </c>
      <c r="AX3" s="636">
        <f t="shared" ref="AX3:AX41" si="19">VLOOKUP($J3,MeasureOutput,33,FALSE)</f>
        <v>2.7405166510626096</v>
      </c>
      <c r="AY3" s="636">
        <f t="shared" ref="AY3:AY41" si="20">VLOOKUP($J3,MeasureOutput,34,FALSE)</f>
        <v>0.73899329346903786</v>
      </c>
      <c r="AZ3" s="636">
        <f t="shared" ref="AZ3:AZ41" si="21">VLOOKUP($J3,MeasureOutput,35,FALSE)</f>
        <v>0.49457206405308923</v>
      </c>
      <c r="BA3" s="636">
        <f t="shared" ref="BA3:BA41" si="22">VLOOKUP($J3,MeasureOutput,36,FALSE)</f>
        <v>6.0310426685914953</v>
      </c>
      <c r="BB3" s="636">
        <f t="shared" ref="BB3:BB41" si="23">VLOOKUP($J3,MeasureOutput,37,FALSE)</f>
        <v>18.653022793343407</v>
      </c>
      <c r="BC3" s="636">
        <f t="shared" ref="BC3:BC41" si="24">VLOOKUP($J3,MeasureOutput,38,FALSE)</f>
        <v>37.656710263271847</v>
      </c>
      <c r="BD3" s="636">
        <f t="shared" ref="BD3:BD41" si="25">VLOOKUP($J3,MeasureOutput,39,FALSE)</f>
        <v>67.195949662514664</v>
      </c>
    </row>
    <row r="4" spans="1:56" ht="15">
      <c r="A4" s="631" t="str">
        <f>VLOOKUP(CONCATENATE($C4," - ",$B4),[3]ACHIEV!$B$12:$C$100,2,FALSE)</f>
        <v>Retro12Med</v>
      </c>
      <c r="B4" s="631" t="str">
        <f>'SC-Retro'!$C$7</f>
        <v>Retro</v>
      </c>
      <c r="C4" s="631" t="str">
        <f>'SC-Retro'!$C$8</f>
        <v>ResWx</v>
      </c>
      <c r="D4" s="631" t="s">
        <v>314</v>
      </c>
      <c r="E4" s="631" t="s">
        <v>215</v>
      </c>
      <c r="F4" s="632">
        <f t="shared" si="1"/>
        <v>0.1430870364752716</v>
      </c>
      <c r="G4" s="633">
        <f>'SC-Retro'!A137</f>
        <v>274.47530845276236</v>
      </c>
      <c r="H4" s="633">
        <f>'SC-Retro'!B137</f>
        <v>65.788668575046941</v>
      </c>
      <c r="I4" s="634" t="str">
        <f>'SC-Retro'!C137</f>
        <v>Multifamily - Low Rise</v>
      </c>
      <c r="J4" s="637" t="str">
        <f>'SC-Retro'!D137</f>
        <v>FLOOR R0 - R19_Electric Zonal</v>
      </c>
      <c r="K4" s="635">
        <f>'SC-Retro'!E137</f>
        <v>3.0696437099460051E-3</v>
      </c>
      <c r="L4" s="635">
        <f>'SC-Retro'!F137</f>
        <v>3.500210809038464E-3</v>
      </c>
      <c r="M4" s="635">
        <f>'SC-Retro'!G137</f>
        <v>3.8196479196170373E-3</v>
      </c>
      <c r="N4" s="635">
        <f>'SC-Retro'!H137</f>
        <v>3.9860760095493421E-3</v>
      </c>
      <c r="O4" s="635">
        <f>'SC-Retro'!I137</f>
        <v>3.8192948106142671E-3</v>
      </c>
      <c r="P4" s="635">
        <f>'SC-Retro'!J137</f>
        <v>3.1755182399447151E-3</v>
      </c>
      <c r="Q4" s="635">
        <f>'SC-Retro'!K137</f>
        <v>2.3762304124252164E-3</v>
      </c>
      <c r="R4" s="635">
        <f>'SC-Retro'!L137</f>
        <v>1.6164780177832698E-3</v>
      </c>
      <c r="S4" s="635">
        <f>'SC-Retro'!M137</f>
        <v>1.0080045566935865E-3</v>
      </c>
      <c r="T4" s="635">
        <f>'SC-Retro'!N137</f>
        <v>5.8022051653435489E-4</v>
      </c>
      <c r="U4" s="635">
        <f>'SC-Retro'!O137</f>
        <v>3.1012657577744317E-4</v>
      </c>
      <c r="V4" s="635">
        <f>'SC-Retro'!P137</f>
        <v>1.5471116741278541E-4</v>
      </c>
      <c r="W4" s="635">
        <f>'SC-Retro'!Q137</f>
        <v>7.2356178064822093E-5</v>
      </c>
      <c r="X4" s="635">
        <f>'SC-Retro'!R137</f>
        <v>3.1849354573657544E-5</v>
      </c>
      <c r="Y4" s="635">
        <f>'SC-Retro'!S137</f>
        <v>1.3240429371678185E-5</v>
      </c>
      <c r="Z4" s="635">
        <f>'SC-Retro'!T137</f>
        <v>5.2146168824375764E-6</v>
      </c>
      <c r="AA4" s="635">
        <f>'SC-Retro'!U137</f>
        <v>1.9510407890784281E-6</v>
      </c>
      <c r="AB4" s="635">
        <f>'SC-Retro'!V137</f>
        <v>6.9521797532343107E-7</v>
      </c>
      <c r="AC4" s="635">
        <f>'SC-Retro'!W137</f>
        <v>2.364679302159108E-7</v>
      </c>
      <c r="AD4" s="635">
        <f>'SC-Retro'!X137</f>
        <v>7.6934006944593224E-8</v>
      </c>
      <c r="AE4" s="635">
        <f>'SC-Retro'!Y137</f>
        <v>2.687895232849552E-2</v>
      </c>
      <c r="AF4" s="636">
        <f t="shared" si="2"/>
        <v>30.882410020308349</v>
      </c>
      <c r="AG4" s="636">
        <f t="shared" si="3"/>
        <v>22.41172426194645</v>
      </c>
      <c r="AH4" s="636">
        <f t="shared" si="4"/>
        <v>20.182689221272732</v>
      </c>
      <c r="AI4" s="636">
        <f t="shared" si="5"/>
        <v>16.116046007752619</v>
      </c>
      <c r="AJ4" s="636">
        <f t="shared" si="6"/>
        <v>6.6395810467643663</v>
      </c>
      <c r="AK4" s="636">
        <f t="shared" si="7"/>
        <v>1.855556318036474</v>
      </c>
      <c r="AL4" s="636">
        <f t="shared" si="8"/>
        <v>0.45352163905919812</v>
      </c>
      <c r="AM4" s="636">
        <f t="shared" si="9"/>
        <v>0.38035578046656671</v>
      </c>
      <c r="AN4" s="636">
        <f t="shared" si="10"/>
        <v>3.6028135758450182</v>
      </c>
      <c r="AO4" s="636">
        <f t="shared" si="11"/>
        <v>12.362911931751192</v>
      </c>
      <c r="AP4" s="636">
        <f t="shared" si="12"/>
        <v>19.68758799638195</v>
      </c>
      <c r="AQ4" s="636">
        <f t="shared" si="13"/>
        <v>35.897579971402571</v>
      </c>
      <c r="AR4" s="636"/>
      <c r="AS4" s="636">
        <f t="shared" si="14"/>
        <v>19.447803065915178</v>
      </c>
      <c r="AT4" s="636">
        <f t="shared" si="15"/>
        <v>14.530596862326544</v>
      </c>
      <c r="AU4" s="636">
        <f t="shared" si="16"/>
        <v>11.219717751702827</v>
      </c>
      <c r="AV4" s="636">
        <f t="shared" si="17"/>
        <v>9.574288065083314</v>
      </c>
      <c r="AW4" s="636">
        <f t="shared" si="18"/>
        <v>3.7607450833724259</v>
      </c>
      <c r="AX4" s="636">
        <f t="shared" si="19"/>
        <v>0.93332963099968058</v>
      </c>
      <c r="AY4" s="636">
        <f t="shared" si="20"/>
        <v>0.25167675505173875</v>
      </c>
      <c r="AZ4" s="636">
        <f t="shared" si="21"/>
        <v>0.16843494158900277</v>
      </c>
      <c r="BA4" s="636">
        <f t="shared" si="22"/>
        <v>2.0539743213153829</v>
      </c>
      <c r="BB4" s="636">
        <f t="shared" si="23"/>
        <v>6.3526046718196341</v>
      </c>
      <c r="BC4" s="636">
        <f t="shared" si="24"/>
        <v>12.824634172922766</v>
      </c>
      <c r="BD4" s="636">
        <f t="shared" si="25"/>
        <v>22.884725359676391</v>
      </c>
    </row>
    <row r="5" spans="1:56" ht="15">
      <c r="A5" s="631" t="str">
        <f>VLOOKUP(CONCATENATE($C5," - ",$B5),[3]ACHIEV!$B$12:$C$100,2,FALSE)</f>
        <v>Retro12Med</v>
      </c>
      <c r="B5" s="631" t="str">
        <f>'SC-Retro'!$C$7</f>
        <v>Retro</v>
      </c>
      <c r="C5" s="631" t="str">
        <f>'SC-Retro'!$C$8</f>
        <v>ResWx</v>
      </c>
      <c r="D5" s="631" t="s">
        <v>314</v>
      </c>
      <c r="E5" s="631" t="s">
        <v>215</v>
      </c>
      <c r="F5" s="632">
        <f t="shared" si="1"/>
        <v>0.1862460907158881</v>
      </c>
      <c r="G5" s="633">
        <f>'SC-Retro'!A138</f>
        <v>357.26474219206523</v>
      </c>
      <c r="H5" s="633">
        <f>'SC-Retro'!B138</f>
        <v>87.401423781946448</v>
      </c>
      <c r="I5" s="634" t="str">
        <f>'SC-Retro'!C138</f>
        <v>Multifamily - Low Rise</v>
      </c>
      <c r="J5" s="637" t="str">
        <f>'SC-Retro'!D138</f>
        <v>FLOOR R0 - R30_Electric Zonal</v>
      </c>
      <c r="K5" s="635">
        <f>'SC-Retro'!E138</f>
        <v>4.4237299190058206E-2</v>
      </c>
      <c r="L5" s="635">
        <f>'SC-Retro'!F138</f>
        <v>5.0442294747762038E-2</v>
      </c>
      <c r="M5" s="635">
        <f>'SC-Retro'!G138</f>
        <v>5.5045772013636862E-2</v>
      </c>
      <c r="N5" s="635">
        <f>'SC-Retro'!H138</f>
        <v>5.7444203200979704E-2</v>
      </c>
      <c r="O5" s="635">
        <f>'SC-Retro'!I138</f>
        <v>5.5040683283452428E-2</v>
      </c>
      <c r="P5" s="635">
        <f>'SC-Retro'!J138</f>
        <v>4.5763079932945171E-2</v>
      </c>
      <c r="Q5" s="635">
        <f>'SC-Retro'!K138</f>
        <v>3.4244370236967567E-2</v>
      </c>
      <c r="R5" s="635">
        <f>'SC-Retro'!L138</f>
        <v>2.3295414212123191E-2</v>
      </c>
      <c r="S5" s="635">
        <f>'SC-Retro'!M138</f>
        <v>1.452657160663787E-2</v>
      </c>
      <c r="T5" s="635">
        <f>'SC-Retro'!N138</f>
        <v>8.3616833129444377E-3</v>
      </c>
      <c r="U5" s="635">
        <f>'SC-Retro'!O138</f>
        <v>4.4693011358299716E-3</v>
      </c>
      <c r="V5" s="635">
        <f>'SC-Retro'!P138</f>
        <v>2.2295760836044901E-3</v>
      </c>
      <c r="W5" s="635">
        <f>'SC-Retro'!Q138</f>
        <v>1.0427405261827483E-3</v>
      </c>
      <c r="X5" s="635">
        <f>'SC-Retro'!R138</f>
        <v>4.5898793489291309E-4</v>
      </c>
      <c r="Y5" s="635">
        <f>'SC-Retro'!S138</f>
        <v>1.9081069038141393E-4</v>
      </c>
      <c r="Z5" s="635">
        <f>'SC-Retro'!T138</f>
        <v>7.5148971342337692E-5</v>
      </c>
      <c r="AA5" s="635">
        <f>'SC-Retro'!U138</f>
        <v>2.8116870644895737E-5</v>
      </c>
      <c r="AB5" s="635">
        <f>'SC-Retro'!V138</f>
        <v>1.0018936555092932E-5</v>
      </c>
      <c r="AC5" s="635">
        <f>'SC-Retro'!W138</f>
        <v>3.4077904689463301E-6</v>
      </c>
      <c r="AD5" s="635">
        <f>'SC-Retro'!X138</f>
        <v>1.1087126079390658E-6</v>
      </c>
      <c r="AE5" s="635">
        <f>'SC-Retro'!Y138</f>
        <v>0.38735839348986961</v>
      </c>
      <c r="AF5" s="636">
        <f t="shared" si="2"/>
        <v>40.19740907249566</v>
      </c>
      <c r="AG5" s="636">
        <f t="shared" si="3"/>
        <v>29.171727452132387</v>
      </c>
      <c r="AH5" s="636">
        <f t="shared" si="4"/>
        <v>26.270353067556623</v>
      </c>
      <c r="AI5" s="636">
        <f t="shared" si="5"/>
        <v>20.977096462963299</v>
      </c>
      <c r="AJ5" s="636">
        <f t="shared" si="6"/>
        <v>8.6422644874951828</v>
      </c>
      <c r="AK5" s="636">
        <f t="shared" si="7"/>
        <v>2.4152440280443264</v>
      </c>
      <c r="AL5" s="636">
        <f t="shared" si="8"/>
        <v>0.5903164564068335</v>
      </c>
      <c r="AM5" s="636">
        <f t="shared" si="9"/>
        <v>0.49508172744447876</v>
      </c>
      <c r="AN5" s="636">
        <f t="shared" si="10"/>
        <v>4.6895229687367861</v>
      </c>
      <c r="AO5" s="636">
        <f t="shared" si="11"/>
        <v>16.091912124767468</v>
      </c>
      <c r="AP5" s="636">
        <f t="shared" si="12"/>
        <v>25.625915458699644</v>
      </c>
      <c r="AQ5" s="636">
        <f t="shared" si="13"/>
        <v>46.725294621572047</v>
      </c>
      <c r="AR5" s="636"/>
      <c r="AS5" s="636">
        <f t="shared" si="14"/>
        <v>25.313804683243507</v>
      </c>
      <c r="AT5" s="636">
        <f t="shared" si="15"/>
        <v>18.913431489264003</v>
      </c>
      <c r="AU5" s="636">
        <f t="shared" si="16"/>
        <v>14.603898589733081</v>
      </c>
      <c r="AV5" s="636">
        <f t="shared" si="17"/>
        <v>12.462161265166191</v>
      </c>
      <c r="AW5" s="636">
        <f t="shared" si="18"/>
        <v>4.8950910383706123</v>
      </c>
      <c r="AX5" s="636">
        <f t="shared" si="19"/>
        <v>1.2148479653014137</v>
      </c>
      <c r="AY5" s="636">
        <f t="shared" si="20"/>
        <v>0.32758950710777524</v>
      </c>
      <c r="AZ5" s="636">
        <f t="shared" si="21"/>
        <v>0.21923963332857319</v>
      </c>
      <c r="BA5" s="636">
        <f t="shared" si="22"/>
        <v>2.6735104534918586</v>
      </c>
      <c r="BB5" s="636">
        <f t="shared" si="23"/>
        <v>8.2687280073367564</v>
      </c>
      <c r="BC5" s="636">
        <f t="shared" si="24"/>
        <v>16.692902714363232</v>
      </c>
      <c r="BD5" s="636">
        <f t="shared" si="25"/>
        <v>29.787398917043536</v>
      </c>
    </row>
    <row r="6" spans="1:56" ht="15">
      <c r="A6" s="631" t="str">
        <f>VLOOKUP(CONCATENATE($C6," - ",$B6),[3]ACHIEV!$B$12:$C$100,2,FALSE)</f>
        <v>Retro12Med</v>
      </c>
      <c r="B6" s="631" t="str">
        <f>'SC-Retro'!$C$7</f>
        <v>Retro</v>
      </c>
      <c r="C6" s="631" t="str">
        <f>'SC-Retro'!$C$8</f>
        <v>ResWx</v>
      </c>
      <c r="D6" s="631" t="s">
        <v>314</v>
      </c>
      <c r="E6" s="631" t="s">
        <v>215</v>
      </c>
      <c r="F6" s="632">
        <f t="shared" si="1"/>
        <v>0.11171169875347886</v>
      </c>
      <c r="G6" s="633">
        <f>'SC-Retro'!A139</f>
        <v>214.28987369126358</v>
      </c>
      <c r="H6" s="633">
        <f>'SC-Retro'!B139</f>
        <v>35.535787271970072</v>
      </c>
      <c r="I6" s="634" t="str">
        <f>'SC-Retro'!C139</f>
        <v>Multifamily - Low Rise</v>
      </c>
      <c r="J6" s="637" t="str">
        <f>'SC-Retro'!D139</f>
        <v>ATTIC R0 - R19_Electric Zonal</v>
      </c>
      <c r="K6" s="635">
        <f>'SC-Retro'!E139</f>
        <v>6.0470479046047442E-3</v>
      </c>
      <c r="L6" s="635">
        <f>'SC-Retro'!F139</f>
        <v>6.8952440212819424E-3</v>
      </c>
      <c r="M6" s="635">
        <f>'SC-Retro'!G139</f>
        <v>7.5245194984060078E-3</v>
      </c>
      <c r="N6" s="635">
        <f>'SC-Retro'!H139</f>
        <v>7.8523746919034378E-3</v>
      </c>
      <c r="O6" s="635">
        <f>'SC-Retro'!I139</f>
        <v>7.5238238909489004E-3</v>
      </c>
      <c r="P6" s="635">
        <f>'SC-Retro'!J139</f>
        <v>6.2556155480433936E-3</v>
      </c>
      <c r="Q6" s="635">
        <f>'SC-Retro'!K139</f>
        <v>4.6810576386295726E-3</v>
      </c>
      <c r="R6" s="635">
        <f>'SC-Retro'!L139</f>
        <v>3.1843825974343762E-3</v>
      </c>
      <c r="S6" s="635">
        <f>'SC-Retro'!M139</f>
        <v>1.9857196529473467E-3</v>
      </c>
      <c r="T6" s="635">
        <f>'SC-Retro'!N139</f>
        <v>1.1430060261877978E-3</v>
      </c>
      <c r="U6" s="635">
        <f>'SC-Retro'!O139</f>
        <v>6.1093417914948132E-4</v>
      </c>
      <c r="V6" s="635">
        <f>'SC-Retro'!P139</f>
        <v>3.0477342946712662E-4</v>
      </c>
      <c r="W6" s="635">
        <f>'SC-Retro'!Q139</f>
        <v>1.4253813025088391E-4</v>
      </c>
      <c r="X6" s="635">
        <f>'SC-Retro'!R139</f>
        <v>6.2741670055589967E-5</v>
      </c>
      <c r="Y6" s="635">
        <f>'SC-Retro'!S139</f>
        <v>2.6082997980727214E-5</v>
      </c>
      <c r="Z6" s="635">
        <f>'SC-Retro'!T139</f>
        <v>1.0272540096458074E-5</v>
      </c>
      <c r="AA6" s="635">
        <f>'SC-Retro'!U139</f>
        <v>3.8434548860403803E-6</v>
      </c>
      <c r="AB6" s="635">
        <f>'SC-Retro'!V139</f>
        <v>1.3695453929397736E-6</v>
      </c>
      <c r="AC6" s="635">
        <f>'SC-Retro'!W139</f>
        <v>4.6583025166249548E-7</v>
      </c>
      <c r="AD6" s="635">
        <f>'SC-Retro'!X139</f>
        <v>1.515562291414375E-7</v>
      </c>
      <c r="AE6" s="635">
        <f>'SC-Retro'!Y139</f>
        <v>5.2950220844639538E-2</v>
      </c>
      <c r="AF6" s="636">
        <f t="shared" si="2"/>
        <v>24.110685146283828</v>
      </c>
      <c r="AG6" s="636">
        <f t="shared" si="3"/>
        <v>17.497404733302151</v>
      </c>
      <c r="AH6" s="636">
        <f t="shared" si="4"/>
        <v>15.757140226407254</v>
      </c>
      <c r="AI6" s="636">
        <f t="shared" si="5"/>
        <v>12.582208151514859</v>
      </c>
      <c r="AJ6" s="636">
        <f t="shared" si="6"/>
        <v>5.1836902630493231</v>
      </c>
      <c r="AK6" s="636">
        <f t="shared" si="7"/>
        <v>1.4486801427076068</v>
      </c>
      <c r="AL6" s="636">
        <f t="shared" si="8"/>
        <v>0.35407591050025583</v>
      </c>
      <c r="AM6" s="636">
        <f t="shared" si="9"/>
        <v>0.29695345863123401</v>
      </c>
      <c r="AN6" s="636">
        <f t="shared" si="10"/>
        <v>2.8128084469713572</v>
      </c>
      <c r="AO6" s="636">
        <f t="shared" si="11"/>
        <v>9.6520406562075802</v>
      </c>
      <c r="AP6" s="636">
        <f t="shared" si="12"/>
        <v>15.370602072777693</v>
      </c>
      <c r="AQ6" s="636">
        <f t="shared" si="13"/>
        <v>28.026156236992737</v>
      </c>
      <c r="AR6" s="636"/>
      <c r="AS6" s="636">
        <f t="shared" si="14"/>
        <v>15.183395861944209</v>
      </c>
      <c r="AT6" s="636">
        <f t="shared" si="15"/>
        <v>11.344407567438838</v>
      </c>
      <c r="AU6" s="636">
        <f t="shared" si="16"/>
        <v>8.759519803136703</v>
      </c>
      <c r="AV6" s="636">
        <f t="shared" si="17"/>
        <v>7.4748908807714196</v>
      </c>
      <c r="AW6" s="636">
        <f t="shared" si="18"/>
        <v>2.9361096028774938</v>
      </c>
      <c r="AX6" s="636">
        <f t="shared" si="19"/>
        <v>0.72867424711777329</v>
      </c>
      <c r="AY6" s="636">
        <f t="shared" si="20"/>
        <v>0.1964904615831625</v>
      </c>
      <c r="AZ6" s="636">
        <f t="shared" si="21"/>
        <v>0.13150145476387937</v>
      </c>
      <c r="BA6" s="636">
        <f t="shared" si="22"/>
        <v>1.6035901384387079</v>
      </c>
      <c r="BB6" s="636">
        <f t="shared" si="23"/>
        <v>4.9596404879131128</v>
      </c>
      <c r="BC6" s="636">
        <f t="shared" si="24"/>
        <v>10.012518985930022</v>
      </c>
      <c r="BD6" s="636">
        <f t="shared" si="25"/>
        <v>17.866688754002407</v>
      </c>
    </row>
    <row r="7" spans="1:56" ht="15">
      <c r="A7" s="631" t="str">
        <f>VLOOKUP(CONCATENATE($C7," - ",$B7),[3]ACHIEV!$B$12:$C$100,2,FALSE)</f>
        <v>Retro12Med</v>
      </c>
      <c r="B7" s="631" t="str">
        <f>'SC-Retro'!$C$7</f>
        <v>Retro</v>
      </c>
      <c r="C7" s="631" t="str">
        <f>'SC-Retro'!$C$8</f>
        <v>ResWx</v>
      </c>
      <c r="D7" s="631" t="s">
        <v>314</v>
      </c>
      <c r="E7" s="631" t="s">
        <v>215</v>
      </c>
      <c r="F7" s="632">
        <f t="shared" si="1"/>
        <v>0.15207010025710255</v>
      </c>
      <c r="G7" s="633">
        <f>'SC-Retro'!A140</f>
        <v>291.70698270576145</v>
      </c>
      <c r="H7" s="633">
        <f>'SC-Retro'!B140</f>
        <v>68.938549102223377</v>
      </c>
      <c r="I7" s="634" t="str">
        <f>'SC-Retro'!C140</f>
        <v>Multifamily - Low Rise</v>
      </c>
      <c r="J7" s="637" t="str">
        <f>'SC-Retro'!D140</f>
        <v>ATTIC R0 - R38_Electric Zonal</v>
      </c>
      <c r="K7" s="635">
        <f>'SC-Retro'!E140</f>
        <v>1.6352198252365027E-3</v>
      </c>
      <c r="L7" s="635">
        <f>'SC-Retro'!F140</f>
        <v>1.8645858113440375E-3</v>
      </c>
      <c r="M7" s="635">
        <f>'SC-Retro'!G140</f>
        <v>2.0347521060322046E-3</v>
      </c>
      <c r="N7" s="635">
        <f>'SC-Retro'!H140</f>
        <v>2.1234094675532701E-3</v>
      </c>
      <c r="O7" s="635">
        <f>'SC-Retro'!I140</f>
        <v>2.034564002494348E-3</v>
      </c>
      <c r="P7" s="635">
        <f>'SC-Retro'!J140</f>
        <v>1.6916198986002388E-3</v>
      </c>
      <c r="Q7" s="635">
        <f>'SC-Retro'!K140</f>
        <v>1.2658339035040564E-3</v>
      </c>
      <c r="R7" s="635">
        <f>'SC-Retro'!L140</f>
        <v>8.6110869908895802E-4</v>
      </c>
      <c r="S7" s="635">
        <f>'SC-Retro'!M140</f>
        <v>5.3697079882377579E-4</v>
      </c>
      <c r="T7" s="635">
        <f>'SC-Retro'!N140</f>
        <v>3.0908736690572796E-4</v>
      </c>
      <c r="U7" s="635">
        <f>'SC-Retro'!O140</f>
        <v>1.6520651025421636E-4</v>
      </c>
      <c r="V7" s="635">
        <f>'SC-Retro'!P140</f>
        <v>8.2415678184136971E-5</v>
      </c>
      <c r="W7" s="635">
        <f>'SC-Retro'!Q140</f>
        <v>3.854462212229212E-5</v>
      </c>
      <c r="X7" s="635">
        <f>'SC-Retro'!R140</f>
        <v>1.6966365135824764E-5</v>
      </c>
      <c r="Y7" s="635">
        <f>'SC-Retro'!S140</f>
        <v>7.0532656715370709E-6</v>
      </c>
      <c r="Z7" s="635">
        <f>'SC-Retro'!T140</f>
        <v>2.7778614435109393E-6</v>
      </c>
      <c r="AA7" s="635">
        <f>'SC-Retro'!U140</f>
        <v>1.0393325348505132E-6</v>
      </c>
      <c r="AB7" s="635">
        <f>'SC-Retro'!V140</f>
        <v>3.7034728572119951E-7</v>
      </c>
      <c r="AC7" s="635">
        <f>'SC-Retro'!W140</f>
        <v>1.2596805494683968E-7</v>
      </c>
      <c r="AD7" s="635">
        <f>'SC-Retro'!X140</f>
        <v>4.0983262319031308E-8</v>
      </c>
      <c r="AE7" s="635">
        <f>'SC-Retro'!Y140</f>
        <v>1.4318598470151397E-2</v>
      </c>
      <c r="AF7" s="636">
        <f t="shared" si="2"/>
        <v>32.821220591712056</v>
      </c>
      <c r="AG7" s="636">
        <f t="shared" si="3"/>
        <v>23.818741651258762</v>
      </c>
      <c r="AH7" s="636">
        <f t="shared" si="4"/>
        <v>21.449766861775107</v>
      </c>
      <c r="AI7" s="636">
        <f t="shared" si="5"/>
        <v>17.127818092525533</v>
      </c>
      <c r="AJ7" s="636">
        <f t="shared" si="6"/>
        <v>7.0564167119437746</v>
      </c>
      <c r="AK7" s="636">
        <f t="shared" si="7"/>
        <v>1.972048916990969</v>
      </c>
      <c r="AL7" s="636">
        <f t="shared" si="8"/>
        <v>0.48199391656571672</v>
      </c>
      <c r="AM7" s="636">
        <f t="shared" si="9"/>
        <v>0.40423467487856846</v>
      </c>
      <c r="AN7" s="636">
        <f t="shared" si="10"/>
        <v>3.8289997136189693</v>
      </c>
      <c r="AO7" s="636">
        <f t="shared" si="11"/>
        <v>13.139060695103856</v>
      </c>
      <c r="AP7" s="636">
        <f t="shared" si="12"/>
        <v>20.923582975650895</v>
      </c>
      <c r="AQ7" s="636">
        <f t="shared" si="13"/>
        <v>38.151245002421753</v>
      </c>
      <c r="AR7" s="636"/>
      <c r="AS7" s="636">
        <f t="shared" si="14"/>
        <v>20.668744247318394</v>
      </c>
      <c r="AT7" s="636">
        <f t="shared" si="15"/>
        <v>15.442833789009345</v>
      </c>
      <c r="AU7" s="636">
        <f t="shared" si="16"/>
        <v>11.924096308002756</v>
      </c>
      <c r="AV7" s="636">
        <f t="shared" si="17"/>
        <v>10.175365859919953</v>
      </c>
      <c r="AW7" s="636">
        <f t="shared" si="18"/>
        <v>3.9968462270073348</v>
      </c>
      <c r="AX7" s="636">
        <f t="shared" si="19"/>
        <v>0.99192445420151421</v>
      </c>
      <c r="AY7" s="636">
        <f t="shared" si="20"/>
        <v>0.26747712662086215</v>
      </c>
      <c r="AZ7" s="636">
        <f t="shared" si="21"/>
        <v>0.17900935741768245</v>
      </c>
      <c r="BA7" s="636">
        <f t="shared" si="22"/>
        <v>2.1829236852069727</v>
      </c>
      <c r="BB7" s="636">
        <f t="shared" si="23"/>
        <v>6.7514238405818237</v>
      </c>
      <c r="BC7" s="636">
        <f t="shared" si="24"/>
        <v>13.629770051000186</v>
      </c>
      <c r="BD7" s="636">
        <f t="shared" si="25"/>
        <v>24.321437955028692</v>
      </c>
    </row>
    <row r="8" spans="1:56" ht="15">
      <c r="A8" s="631" t="str">
        <f>VLOOKUP(CONCATENATE($C8," - ",$B8),[3]ACHIEV!$B$12:$C$100,2,FALSE)</f>
        <v>Retro12Med</v>
      </c>
      <c r="B8" s="631" t="str">
        <f>'SC-Retro'!$C$7</f>
        <v>Retro</v>
      </c>
      <c r="C8" s="631" t="str">
        <f>'SC-Retro'!$C$8</f>
        <v>ResWx</v>
      </c>
      <c r="D8" s="631" t="s">
        <v>314</v>
      </c>
      <c r="E8" s="631" t="s">
        <v>215</v>
      </c>
      <c r="F8" s="632">
        <f t="shared" si="1"/>
        <v>0.16141953440112555</v>
      </c>
      <c r="G8" s="633">
        <f>'SC-Retro'!A141</f>
        <v>309.64144332325418</v>
      </c>
      <c r="H8" s="633">
        <f>'SC-Retro'!B141</f>
        <v>91.403500392971353</v>
      </c>
      <c r="I8" s="634" t="str">
        <f>'SC-Retro'!C141</f>
        <v>Multifamily - Low Rise</v>
      </c>
      <c r="J8" s="637" t="str">
        <f>'SC-Retro'!D141</f>
        <v>ATTIC R0 - R49_Electric Zonal</v>
      </c>
      <c r="K8" s="635">
        <f>'SC-Retro'!E141</f>
        <v>1.0353714452087695E-2</v>
      </c>
      <c r="L8" s="635">
        <f>'SC-Retro'!F141</f>
        <v>1.1805990096333546E-2</v>
      </c>
      <c r="M8" s="635">
        <f>'SC-Retro'!G141</f>
        <v>1.2883431304775513E-2</v>
      </c>
      <c r="N8" s="635">
        <f>'SC-Retro'!H141</f>
        <v>1.3444782745785509E-2</v>
      </c>
      <c r="O8" s="635">
        <f>'SC-Retro'!I141</f>
        <v>1.2882240290400358E-2</v>
      </c>
      <c r="P8" s="635">
        <f>'SC-Retro'!J141</f>
        <v>1.0710822558088345E-2</v>
      </c>
      <c r="Q8" s="635">
        <f>'SC-Retro'!K141</f>
        <v>8.014875173591408E-3</v>
      </c>
      <c r="R8" s="635">
        <f>'SC-Retro'!L141</f>
        <v>5.4522783083835822E-3</v>
      </c>
      <c r="S8" s="635">
        <f>'SC-Retro'!M141</f>
        <v>3.3999357360572041E-3</v>
      </c>
      <c r="T8" s="635">
        <f>'SC-Retro'!N141</f>
        <v>1.9570471739031913E-3</v>
      </c>
      <c r="U8" s="635">
        <f>'SC-Retro'!O141</f>
        <v>1.0460373623165089E-3</v>
      </c>
      <c r="V8" s="635">
        <f>'SC-Retro'!P141</f>
        <v>5.2183100102170849E-4</v>
      </c>
      <c r="W8" s="635">
        <f>'SC-Retro'!Q141</f>
        <v>2.4405282088609445E-4</v>
      </c>
      <c r="X8" s="635">
        <f>'SC-Retro'!R141</f>
        <v>1.0742586237956061E-4</v>
      </c>
      <c r="Y8" s="635">
        <f>'SC-Retro'!S141</f>
        <v>4.4659132424134708E-5</v>
      </c>
      <c r="Z8" s="635">
        <f>'SC-Retro'!T141</f>
        <v>1.7588573554272224E-5</v>
      </c>
      <c r="AA8" s="635">
        <f>'SC-Retro'!U141</f>
        <v>6.5807374155645003E-6</v>
      </c>
      <c r="AB8" s="635">
        <f>'SC-Retro'!V141</f>
        <v>2.3449263427982547E-6</v>
      </c>
      <c r="AC8" s="635">
        <f>'SC-Retro'!W141</f>
        <v>7.9759140078664228E-7</v>
      </c>
      <c r="AD8" s="635">
        <f>'SC-Retro'!X141</f>
        <v>2.5949354870675228E-7</v>
      </c>
      <c r="AE8" s="635">
        <f>'SC-Retro'!Y141</f>
        <v>9.0661009379950294E-2</v>
      </c>
      <c r="AF8" s="636">
        <f t="shared" si="2"/>
        <v>34.839104711797859</v>
      </c>
      <c r="AG8" s="636">
        <f t="shared" si="3"/>
        <v>25.283143634853435</v>
      </c>
      <c r="AH8" s="636">
        <f t="shared" si="4"/>
        <v>22.768521714568379</v>
      </c>
      <c r="AI8" s="636">
        <f t="shared" si="5"/>
        <v>18.180854863173639</v>
      </c>
      <c r="AJ8" s="636">
        <f t="shared" si="6"/>
        <v>7.4902528390296474</v>
      </c>
      <c r="AK8" s="636">
        <f t="shared" si="7"/>
        <v>2.0932926160943883</v>
      </c>
      <c r="AL8" s="636">
        <f t="shared" si="8"/>
        <v>0.51162742356763247</v>
      </c>
      <c r="AM8" s="636">
        <f t="shared" si="9"/>
        <v>0.42908745964768491</v>
      </c>
      <c r="AN8" s="636">
        <f t="shared" si="10"/>
        <v>4.0644107549705479</v>
      </c>
      <c r="AO8" s="636">
        <f t="shared" si="11"/>
        <v>13.946864349310081</v>
      </c>
      <c r="AP8" s="636">
        <f t="shared" si="12"/>
        <v>22.209987474346637</v>
      </c>
      <c r="AQ8" s="636">
        <f t="shared" si="13"/>
        <v>40.496824784769331</v>
      </c>
      <c r="AR8" s="636"/>
      <c r="AS8" s="636">
        <f t="shared" si="14"/>
        <v>21.93948098552826</v>
      </c>
      <c r="AT8" s="636">
        <f t="shared" si="15"/>
        <v>16.392275903293037</v>
      </c>
      <c r="AU8" s="636">
        <f t="shared" si="16"/>
        <v>12.657202638373922</v>
      </c>
      <c r="AV8" s="636">
        <f t="shared" si="17"/>
        <v>10.800958352052334</v>
      </c>
      <c r="AW8" s="636">
        <f t="shared" si="18"/>
        <v>4.2425766534357647</v>
      </c>
      <c r="AX8" s="636">
        <f t="shared" si="19"/>
        <v>1.0529090418668325</v>
      </c>
      <c r="AY8" s="636">
        <f t="shared" si="20"/>
        <v>0.28392190949498575</v>
      </c>
      <c r="AZ8" s="636">
        <f t="shared" si="21"/>
        <v>0.19001504621193527</v>
      </c>
      <c r="BA8" s="636">
        <f t="shared" si="22"/>
        <v>2.3171321930054498</v>
      </c>
      <c r="BB8" s="636">
        <f t="shared" si="23"/>
        <v>7.166508676254236</v>
      </c>
      <c r="BC8" s="636">
        <f t="shared" si="24"/>
        <v>14.467743046839331</v>
      </c>
      <c r="BD8" s="636">
        <f t="shared" si="25"/>
        <v>25.816746250768844</v>
      </c>
    </row>
    <row r="9" spans="1:56" ht="15">
      <c r="A9" s="631" t="str">
        <f>VLOOKUP(CONCATENATE($C9," - ",$B9),[3]ACHIEV!$B$12:$C$100,2,FALSE)</f>
        <v>Retro12Med</v>
      </c>
      <c r="B9" s="631" t="str">
        <f>'SC-Retro'!$C$7</f>
        <v>Retro</v>
      </c>
      <c r="C9" s="631" t="str">
        <f>'SC-Retro'!$C$8</f>
        <v>ResWx</v>
      </c>
      <c r="D9" s="631" t="s">
        <v>314</v>
      </c>
      <c r="E9" s="631" t="s">
        <v>215</v>
      </c>
      <c r="F9" s="632">
        <f t="shared" si="1"/>
        <v>2.925159897731467E-2</v>
      </c>
      <c r="G9" s="633">
        <f>'SC-Retro'!A142</f>
        <v>56.111593683209037</v>
      </c>
      <c r="H9" s="633">
        <f>'SC-Retro'!B142</f>
        <v>121.74529912188139</v>
      </c>
      <c r="I9" s="634" t="str">
        <f>'SC-Retro'!C142</f>
        <v>Multifamily - Low Rise</v>
      </c>
      <c r="J9" s="637" t="str">
        <f>'SC-Retro'!D142</f>
        <v>ATTIC R19 - R30_Electric Zonal</v>
      </c>
      <c r="K9" s="635">
        <f>'SC-Retro'!E142</f>
        <v>1.0847275201622581E-3</v>
      </c>
      <c r="L9" s="635">
        <f>'SC-Retro'!F142</f>
        <v>1.2368780711036356E-3</v>
      </c>
      <c r="M9" s="635">
        <f>'SC-Retro'!G142</f>
        <v>1.3497583456719793E-3</v>
      </c>
      <c r="N9" s="635">
        <f>'SC-Retro'!H142</f>
        <v>1.4085694476551427E-3</v>
      </c>
      <c r="O9" s="635">
        <f>'SC-Retro'!I142</f>
        <v>1.3496335666783514E-3</v>
      </c>
      <c r="P9" s="635">
        <f>'SC-Retro'!J142</f>
        <v>1.1221406622809128E-3</v>
      </c>
      <c r="Q9" s="635">
        <f>'SC-Retro'!K142</f>
        <v>8.3969436395909386E-4</v>
      </c>
      <c r="R9" s="635">
        <f>'SC-Retro'!L142</f>
        <v>5.7121879843758543E-4</v>
      </c>
      <c r="S9" s="635">
        <f>'SC-Retro'!M142</f>
        <v>3.5620104038514732E-4</v>
      </c>
      <c r="T9" s="635">
        <f>'SC-Retro'!N142</f>
        <v>2.0503394579908619E-4</v>
      </c>
      <c r="U9" s="635">
        <f>'SC-Retro'!O142</f>
        <v>1.0959018806954498E-4</v>
      </c>
      <c r="V9" s="635">
        <f>'SC-Retro'!P142</f>
        <v>5.4670664359294835E-5</v>
      </c>
      <c r="W9" s="635">
        <f>'SC-Retro'!Q142</f>
        <v>2.5568679956689115E-5</v>
      </c>
      <c r="X9" s="635">
        <f>'SC-Retro'!R142</f>
        <v>1.1254684474785417E-5</v>
      </c>
      <c r="Y9" s="635">
        <f>'SC-Retro'!S142</f>
        <v>4.6788029736769128E-6</v>
      </c>
      <c r="Z9" s="635">
        <f>'SC-Retro'!T142</f>
        <v>1.8427019465338053E-6</v>
      </c>
      <c r="AA9" s="635">
        <f>'SC-Retro'!U142</f>
        <v>6.8944406479984769E-7</v>
      </c>
      <c r="AB9" s="635">
        <f>'SC-Retro'!V142</f>
        <v>2.45670879620774E-7</v>
      </c>
      <c r="AC9" s="635">
        <f>'SC-Retro'!W142</f>
        <v>8.3561251981754808E-8</v>
      </c>
      <c r="AD9" s="635">
        <f>'SC-Retro'!X142</f>
        <v>2.7186358566226713E-8</v>
      </c>
      <c r="AE9" s="635">
        <f>'SC-Retro'!Y142</f>
        <v>9.4982812530908841E-3</v>
      </c>
      <c r="AF9" s="636">
        <f t="shared" si="2"/>
        <v>6.3133593064748617</v>
      </c>
      <c r="AG9" s="636">
        <f t="shared" si="3"/>
        <v>4.5816783032885624</v>
      </c>
      <c r="AH9" s="636">
        <f t="shared" si="4"/>
        <v>4.1259917454958988</v>
      </c>
      <c r="AI9" s="636">
        <f t="shared" si="5"/>
        <v>3.29463888924839</v>
      </c>
      <c r="AJ9" s="636">
        <f t="shared" si="6"/>
        <v>1.3573442216821323</v>
      </c>
      <c r="AK9" s="636">
        <f t="shared" si="7"/>
        <v>0.37933547742744572</v>
      </c>
      <c r="AL9" s="636">
        <f t="shared" si="8"/>
        <v>9.2714430601732331E-2</v>
      </c>
      <c r="AM9" s="636">
        <f t="shared" si="9"/>
        <v>7.7756972490197265E-2</v>
      </c>
      <c r="AN9" s="636">
        <f t="shared" si="10"/>
        <v>0.73653113871609732</v>
      </c>
      <c r="AO9" s="636">
        <f t="shared" si="11"/>
        <v>2.5273773985943335</v>
      </c>
      <c r="AP9" s="636">
        <f t="shared" si="12"/>
        <v>4.0247771083041837</v>
      </c>
      <c r="AQ9" s="636">
        <f t="shared" si="13"/>
        <v>7.3386215791884357</v>
      </c>
      <c r="AR9" s="636"/>
      <c r="AS9" s="636">
        <f t="shared" si="14"/>
        <v>3.9757573452313104</v>
      </c>
      <c r="AT9" s="636">
        <f t="shared" si="15"/>
        <v>2.9705220178437277</v>
      </c>
      <c r="AU9" s="636">
        <f t="shared" si="16"/>
        <v>2.2936716868001419</v>
      </c>
      <c r="AV9" s="636">
        <f t="shared" si="17"/>
        <v>1.9572928608491227</v>
      </c>
      <c r="AW9" s="636">
        <f t="shared" si="18"/>
        <v>0.76881742570529543</v>
      </c>
      <c r="AX9" s="636">
        <f t="shared" si="19"/>
        <v>0.19080263839530967</v>
      </c>
      <c r="AY9" s="636">
        <f t="shared" si="20"/>
        <v>5.1450835044428447E-2</v>
      </c>
      <c r="AZ9" s="636">
        <f t="shared" si="21"/>
        <v>3.4433527218801649E-2</v>
      </c>
      <c r="BA9" s="636">
        <f t="shared" si="22"/>
        <v>0.41989850818668023</v>
      </c>
      <c r="BB9" s="636">
        <f t="shared" si="23"/>
        <v>1.2986770073583698</v>
      </c>
      <c r="BC9" s="636">
        <f t="shared" si="24"/>
        <v>2.6217682964028293</v>
      </c>
      <c r="BD9" s="636">
        <f t="shared" si="25"/>
        <v>4.6783749626607563</v>
      </c>
    </row>
    <row r="10" spans="1:56" ht="15">
      <c r="A10" s="631" t="str">
        <f>VLOOKUP(CONCATENATE($C10," - ",$B10),[3]ACHIEV!$B$12:$C$100,2,FALSE)</f>
        <v>Retro12Med</v>
      </c>
      <c r="B10" s="631" t="str">
        <f>'SC-Retro'!$C$7</f>
        <v>Retro</v>
      </c>
      <c r="C10" s="631" t="str">
        <f>'SC-Retro'!$C$8</f>
        <v>ResWx</v>
      </c>
      <c r="D10" s="631" t="s">
        <v>314</v>
      </c>
      <c r="E10" s="631" t="s">
        <v>215</v>
      </c>
      <c r="F10" s="632">
        <f t="shared" si="1"/>
        <v>4.035840150362368E-2</v>
      </c>
      <c r="G10" s="633">
        <f>'SC-Retro'!A143</f>
        <v>77.417109014497882</v>
      </c>
      <c r="H10" s="633">
        <f>'SC-Retro'!B143</f>
        <v>161.39709870014082</v>
      </c>
      <c r="I10" s="634" t="str">
        <f>'SC-Retro'!C143</f>
        <v>Multifamily - Low Rise</v>
      </c>
      <c r="J10" s="637" t="str">
        <f>'SC-Retro'!D143</f>
        <v>ATTIC R19 - R38_Electric Zonal</v>
      </c>
      <c r="K10" s="635">
        <f>'SC-Retro'!E143</f>
        <v>4.0568647372284751E-4</v>
      </c>
      <c r="L10" s="635">
        <f>'SC-Retro'!F143</f>
        <v>4.6259055270958033E-4</v>
      </c>
      <c r="M10" s="635">
        <f>'SC-Retro'!G143</f>
        <v>5.0480760693869041E-4</v>
      </c>
      <c r="N10" s="635">
        <f>'SC-Retro'!H143</f>
        <v>5.2680287131230501E-4</v>
      </c>
      <c r="O10" s="635">
        <f>'SC-Retro'!I143</f>
        <v>5.0476093978129048E-4</v>
      </c>
      <c r="P10" s="635">
        <f>'SC-Retro'!J143</f>
        <v>4.1967893304086911E-4</v>
      </c>
      <c r="Q10" s="635">
        <f>'SC-Retro'!K143</f>
        <v>3.1404443898367935E-4</v>
      </c>
      <c r="R10" s="635">
        <f>'SC-Retro'!L143</f>
        <v>2.136349781442643E-4</v>
      </c>
      <c r="S10" s="635">
        <f>'SC-Retro'!M143</f>
        <v>1.3321865751930419E-4</v>
      </c>
      <c r="T10" s="635">
        <f>'SC-Retro'!N143</f>
        <v>7.6682389741776242E-5</v>
      </c>
      <c r="U10" s="635">
        <f>'SC-Retro'!O143</f>
        <v>4.0986566788594957E-5</v>
      </c>
      <c r="V10" s="635">
        <f>'SC-Retro'!P143</f>
        <v>2.0446746881364302E-5</v>
      </c>
      <c r="W10" s="635">
        <f>'SC-Retro'!Q143</f>
        <v>9.5626481457994528E-6</v>
      </c>
      <c r="X10" s="635">
        <f>'SC-Retro'!R143</f>
        <v>4.2092351973848612E-6</v>
      </c>
      <c r="Y10" s="635">
        <f>'SC-Retro'!S143</f>
        <v>1.7498653296369117E-6</v>
      </c>
      <c r="Z10" s="635">
        <f>'SC-Retro'!T143</f>
        <v>6.8916777800539572E-7</v>
      </c>
      <c r="AA10" s="635">
        <f>'SC-Retro'!U143</f>
        <v>2.5785105132757961E-7</v>
      </c>
      <c r="AB10" s="635">
        <f>'SC-Retro'!V143</f>
        <v>9.1880542345633138E-8</v>
      </c>
      <c r="AC10" s="635">
        <f>'SC-Retro'!W143</f>
        <v>3.1251783536637427E-8</v>
      </c>
      <c r="AD10" s="635">
        <f>'SC-Retro'!X143</f>
        <v>1.0167657531586972E-8</v>
      </c>
      <c r="AE10" s="635">
        <f>'SC-Retro'!Y143</f>
        <v>3.5523430136794854E-3</v>
      </c>
      <c r="AF10" s="636">
        <f t="shared" si="2"/>
        <v>8.7105354454282313</v>
      </c>
      <c r="AG10" s="636">
        <f t="shared" si="3"/>
        <v>6.3213369179566126</v>
      </c>
      <c r="AH10" s="636">
        <f t="shared" si="4"/>
        <v>5.6926266353678541</v>
      </c>
      <c r="AI10" s="636">
        <f t="shared" si="5"/>
        <v>4.5456099410106754</v>
      </c>
      <c r="AJ10" s="636">
        <f t="shared" si="6"/>
        <v>1.8727264488944519</v>
      </c>
      <c r="AK10" s="636">
        <f t="shared" si="7"/>
        <v>0.52336877428336226</v>
      </c>
      <c r="AL10" s="636">
        <f t="shared" si="8"/>
        <v>0.12791800606546089</v>
      </c>
      <c r="AM10" s="636">
        <f t="shared" si="9"/>
        <v>0.10728121624733444</v>
      </c>
      <c r="AN10" s="636">
        <f t="shared" si="10"/>
        <v>1.0161912666476125</v>
      </c>
      <c r="AO10" s="636">
        <f t="shared" si="11"/>
        <v>3.4870200388962758</v>
      </c>
      <c r="AP10" s="636">
        <f t="shared" si="12"/>
        <v>5.5529809028732044</v>
      </c>
      <c r="AQ10" s="636">
        <f t="shared" si="13"/>
        <v>10.12508876542902</v>
      </c>
      <c r="AR10" s="636"/>
      <c r="AS10" s="636">
        <f t="shared" si="14"/>
        <v>5.4853483853741851</v>
      </c>
      <c r="AT10" s="636">
        <f t="shared" si="15"/>
        <v>4.0984262215705094</v>
      </c>
      <c r="AU10" s="636">
        <f t="shared" si="16"/>
        <v>3.1645765048660546</v>
      </c>
      <c r="AV10" s="636">
        <f t="shared" si="17"/>
        <v>2.7004749791485345</v>
      </c>
      <c r="AW10" s="636">
        <f t="shared" si="18"/>
        <v>1.0607366241298413</v>
      </c>
      <c r="AX10" s="636">
        <f t="shared" si="19"/>
        <v>0.26325020708374092</v>
      </c>
      <c r="AY10" s="636">
        <f t="shared" si="20"/>
        <v>7.0986665037699681E-2</v>
      </c>
      <c r="AZ10" s="636">
        <f t="shared" si="21"/>
        <v>4.7507902653803093E-2</v>
      </c>
      <c r="BA10" s="636">
        <f t="shared" si="22"/>
        <v>0.57933354676826476</v>
      </c>
      <c r="BB10" s="636">
        <f t="shared" si="23"/>
        <v>1.7917833526687112</v>
      </c>
      <c r="BC10" s="636">
        <f t="shared" si="24"/>
        <v>3.6172510650701653</v>
      </c>
      <c r="BD10" s="636">
        <f t="shared" si="25"/>
        <v>6.4547492010262868</v>
      </c>
    </row>
    <row r="11" spans="1:56" ht="15">
      <c r="A11" s="631" t="str">
        <f>VLOOKUP(CONCATENATE($C11," - ",$B11),[3]ACHIEV!$B$12:$C$100,2,FALSE)</f>
        <v>Retro12Med</v>
      </c>
      <c r="B11" s="631" t="str">
        <f>'SC-Retro'!$C$7</f>
        <v>Retro</v>
      </c>
      <c r="C11" s="631" t="str">
        <f>'SC-Retro'!$C$8</f>
        <v>ResWx</v>
      </c>
      <c r="D11" s="631" t="s">
        <v>314</v>
      </c>
      <c r="E11" s="631" t="s">
        <v>215</v>
      </c>
      <c r="F11" s="632">
        <f t="shared" si="1"/>
        <v>4.9707835647646678E-2</v>
      </c>
      <c r="G11" s="633">
        <f>'SC-Retro'!A144</f>
        <v>95.351569631990586</v>
      </c>
      <c r="H11" s="633">
        <f>'SC-Retro'!B144</f>
        <v>216.95869821849863</v>
      </c>
      <c r="I11" s="634" t="str">
        <f>'SC-Retro'!C144</f>
        <v>Multifamily - Low Rise</v>
      </c>
      <c r="J11" s="637" t="str">
        <f>'SC-Retro'!D144</f>
        <v>ATTIC R19 - R49_Electric Zonal</v>
      </c>
      <c r="K11" s="635">
        <f>'SC-Retro'!E144</f>
        <v>7.3394083239179423E-3</v>
      </c>
      <c r="L11" s="635">
        <f>'SC-Retro'!F144</f>
        <v>8.3688788585097144E-3</v>
      </c>
      <c r="M11" s="635">
        <f>'SC-Retro'!G144</f>
        <v>9.1326415651561861E-3</v>
      </c>
      <c r="N11" s="635">
        <f>'SC-Retro'!H144</f>
        <v>9.5305651758427184E-3</v>
      </c>
      <c r="O11" s="635">
        <f>'SC-Retro'!I144</f>
        <v>9.1317972941595896E-3</v>
      </c>
      <c r="P11" s="635">
        <f>'SC-Retro'!J144</f>
        <v>7.5925505385162247E-3</v>
      </c>
      <c r="Q11" s="635">
        <f>'SC-Retro'!K144</f>
        <v>5.6814819296430201E-3</v>
      </c>
      <c r="R11" s="635">
        <f>'SC-Retro'!L144</f>
        <v>3.8649411267855545E-3</v>
      </c>
      <c r="S11" s="635">
        <f>'SC-Retro'!M144</f>
        <v>2.4101028435232494E-3</v>
      </c>
      <c r="T11" s="635">
        <f>'SC-Retro'!N144</f>
        <v>1.3872865033040323E-3</v>
      </c>
      <c r="U11" s="635">
        <f>'SC-Retro'!O144</f>
        <v>7.4150155093053816E-4</v>
      </c>
      <c r="V11" s="635">
        <f>'SC-Retro'!P144</f>
        <v>3.6990886800098127E-4</v>
      </c>
      <c r="W11" s="635">
        <f>'SC-Retro'!Q144</f>
        <v>1.7300103391646875E-4</v>
      </c>
      <c r="X11" s="635">
        <f>'SC-Retro'!R144</f>
        <v>7.6150667685608294E-5</v>
      </c>
      <c r="Y11" s="635">
        <f>'SC-Retro'!S144</f>
        <v>3.1657393080466579E-5</v>
      </c>
      <c r="Z11" s="635">
        <f>'SC-Retro'!T144</f>
        <v>1.2467962463851726E-5</v>
      </c>
      <c r="AA11" s="635">
        <f>'SC-Retro'!U144</f>
        <v>4.6648687472323998E-6</v>
      </c>
      <c r="AB11" s="635">
        <f>'SC-Retro'!V144</f>
        <v>1.6622413143562901E-6</v>
      </c>
      <c r="AC11" s="635">
        <f>'SC-Retro'!W144</f>
        <v>5.6538636381250576E-7</v>
      </c>
      <c r="AD11" s="635">
        <f>'SC-Retro'!X144</f>
        <v>1.8394645904082468E-7</v>
      </c>
      <c r="AE11" s="635">
        <f>'SC-Retro'!Y144</f>
        <v>6.4266613685085822E-2</v>
      </c>
      <c r="AF11" s="636">
        <f t="shared" si="2"/>
        <v>10.728419565514034</v>
      </c>
      <c r="AG11" s="636">
        <f t="shared" si="3"/>
        <v>7.7857389015512828</v>
      </c>
      <c r="AH11" s="636">
        <f t="shared" si="4"/>
        <v>7.0113814881611249</v>
      </c>
      <c r="AI11" s="636">
        <f t="shared" si="5"/>
        <v>5.5986467116587812</v>
      </c>
      <c r="AJ11" s="636">
        <f t="shared" si="6"/>
        <v>2.3065625759803239</v>
      </c>
      <c r="AK11" s="636">
        <f t="shared" si="7"/>
        <v>0.64461247338678151</v>
      </c>
      <c r="AL11" s="636">
        <f t="shared" si="8"/>
        <v>0.15755151306737666</v>
      </c>
      <c r="AM11" s="636">
        <f t="shared" si="9"/>
        <v>0.13213400101645084</v>
      </c>
      <c r="AN11" s="636">
        <f t="shared" si="10"/>
        <v>1.2516023079991911</v>
      </c>
      <c r="AO11" s="636">
        <f t="shared" si="11"/>
        <v>4.2948236931025008</v>
      </c>
      <c r="AP11" s="636">
        <f t="shared" si="12"/>
        <v>6.8393854015689435</v>
      </c>
      <c r="AQ11" s="636">
        <f t="shared" si="13"/>
        <v>12.470668547776596</v>
      </c>
      <c r="AR11" s="636"/>
      <c r="AS11" s="636">
        <f t="shared" si="14"/>
        <v>6.7560851235840493</v>
      </c>
      <c r="AT11" s="636">
        <f t="shared" si="15"/>
        <v>5.0478683358541989</v>
      </c>
      <c r="AU11" s="636">
        <f t="shared" si="16"/>
        <v>3.897682835237219</v>
      </c>
      <c r="AV11" s="636">
        <f t="shared" si="17"/>
        <v>3.3260674712809135</v>
      </c>
      <c r="AW11" s="636">
        <f t="shared" si="18"/>
        <v>1.3064670505582709</v>
      </c>
      <c r="AX11" s="636">
        <f t="shared" si="19"/>
        <v>0.32423479474905925</v>
      </c>
      <c r="AY11" s="636">
        <f t="shared" si="20"/>
        <v>8.7431447911823224E-2</v>
      </c>
      <c r="AZ11" s="636">
        <f t="shared" si="21"/>
        <v>5.8513591448055916E-2</v>
      </c>
      <c r="BA11" s="636">
        <f t="shared" si="22"/>
        <v>0.71354205456674213</v>
      </c>
      <c r="BB11" s="636">
        <f t="shared" si="23"/>
        <v>2.2068681883411232</v>
      </c>
      <c r="BC11" s="636">
        <f t="shared" si="24"/>
        <v>4.455224060909309</v>
      </c>
      <c r="BD11" s="636">
        <f t="shared" si="25"/>
        <v>7.9500574967664397</v>
      </c>
    </row>
    <row r="12" spans="1:56" ht="15">
      <c r="A12" s="631" t="str">
        <f>VLOOKUP(CONCATENATE($C12," - ",$B12),[3]ACHIEV!$B$12:$C$100,2,FALSE)</f>
        <v>Retro12Med</v>
      </c>
      <c r="B12" s="631" t="str">
        <f>'SC-Retro'!$C$7</f>
        <v>Retro</v>
      </c>
      <c r="C12" s="631" t="str">
        <f>'SC-Retro'!$C$8</f>
        <v>ResWx</v>
      </c>
      <c r="D12" s="631" t="s">
        <v>314</v>
      </c>
      <c r="E12" s="631" t="s">
        <v>215</v>
      </c>
      <c r="F12" s="632">
        <f t="shared" si="1"/>
        <v>2.7434166679159997</v>
      </c>
      <c r="G12" s="633">
        <f>'SC-Retro'!A145</f>
        <v>5262.5321950170346</v>
      </c>
      <c r="H12" s="633">
        <f>'SC-Retro'!B145</f>
        <v>14.073815422337896</v>
      </c>
      <c r="I12" s="634" t="str">
        <f>'SC-Retro'!C145</f>
        <v>Multifamily - Low Rise</v>
      </c>
      <c r="J12" s="637" t="str">
        <f>'SC-Retro'!D145</f>
        <v>WINDOW CL22 Prime Window Replacement of Single Pane Base_Electric Zonal</v>
      </c>
      <c r="K12" s="635">
        <f>'SC-Retro'!E145</f>
        <v>8.7494844392523086E-2</v>
      </c>
      <c r="L12" s="635">
        <f>'SC-Retro'!F145</f>
        <v>9.9767409190050477E-2</v>
      </c>
      <c r="M12" s="635">
        <f>'SC-Retro'!G145</f>
        <v>0.1088724073345293</v>
      </c>
      <c r="N12" s="635">
        <f>'SC-Retro'!H145</f>
        <v>0.11361614999886216</v>
      </c>
      <c r="O12" s="635">
        <f>'SC-Retro'!I145</f>
        <v>0.10886234257777891</v>
      </c>
      <c r="P12" s="635">
        <f>'SC-Retro'!J145</f>
        <v>9.0512613359440608E-2</v>
      </c>
      <c r="Q12" s="635">
        <f>'SC-Retro'!K145</f>
        <v>6.7730306778692032E-2</v>
      </c>
      <c r="R12" s="635">
        <f>'SC-Retro'!L145</f>
        <v>4.6074888812542077E-2</v>
      </c>
      <c r="S12" s="635">
        <f>'SC-Retro'!M145</f>
        <v>2.8731413208997771E-2</v>
      </c>
      <c r="T12" s="635">
        <f>'SC-Retro'!N145</f>
        <v>1.6538174656242341E-2</v>
      </c>
      <c r="U12" s="635">
        <f>'SC-Retro'!O145</f>
        <v>8.8396175757188122E-3</v>
      </c>
      <c r="V12" s="635">
        <f>'SC-Retro'!P145</f>
        <v>4.4097722073436823E-3</v>
      </c>
      <c r="W12" s="635">
        <f>'SC-Retro'!Q145</f>
        <v>2.0623867584719331E-3</v>
      </c>
      <c r="X12" s="635">
        <f>'SC-Retro'!R145</f>
        <v>9.0781034730362141E-4</v>
      </c>
      <c r="Y12" s="635">
        <f>'SC-Retro'!S145</f>
        <v>3.7739536474920479E-4</v>
      </c>
      <c r="Z12" s="635">
        <f>'SC-Retro'!T145</f>
        <v>1.4863356656578394E-4</v>
      </c>
      <c r="AA12" s="635">
        <f>'SC-Retro'!U145</f>
        <v>5.5611017555807875E-5</v>
      </c>
      <c r="AB12" s="635">
        <f>'SC-Retro'!V145</f>
        <v>1.9815976809529634E-5</v>
      </c>
      <c r="AC12" s="635">
        <f>'SC-Retro'!W145</f>
        <v>6.7401062511020395E-6</v>
      </c>
      <c r="AD12" s="635">
        <f>'SC-Retro'!X145</f>
        <v>2.1928697927711222E-6</v>
      </c>
      <c r="AE12" s="635">
        <f>'SC-Retro'!Y145</f>
        <v>0.76613769337325766</v>
      </c>
      <c r="AF12" s="636">
        <f t="shared" si="2"/>
        <v>592.1103719956626</v>
      </c>
      <c r="AG12" s="636">
        <f t="shared" si="3"/>
        <v>429.70138603427654</v>
      </c>
      <c r="AH12" s="636">
        <f t="shared" si="4"/>
        <v>386.96395827987669</v>
      </c>
      <c r="AI12" s="636">
        <f t="shared" si="5"/>
        <v>308.99395450272368</v>
      </c>
      <c r="AJ12" s="636">
        <f t="shared" si="6"/>
        <v>127.30110120647078</v>
      </c>
      <c r="AK12" s="636">
        <f t="shared" si="7"/>
        <v>35.576696929060091</v>
      </c>
      <c r="AL12" s="636">
        <f t="shared" si="8"/>
        <v>8.6953986503914447</v>
      </c>
      <c r="AM12" s="636">
        <f t="shared" si="9"/>
        <v>7.2925850836984241</v>
      </c>
      <c r="AN12" s="636">
        <f t="shared" si="10"/>
        <v>69.076969226876329</v>
      </c>
      <c r="AO12" s="636">
        <f t="shared" si="11"/>
        <v>237.03488095796368</v>
      </c>
      <c r="AP12" s="636">
        <f t="shared" si="12"/>
        <v>377.47135163898281</v>
      </c>
      <c r="AQ12" s="636">
        <f t="shared" si="13"/>
        <v>688.26653802710564</v>
      </c>
      <c r="AR12" s="636"/>
      <c r="AS12" s="636">
        <f t="shared" si="14"/>
        <v>372.87394022309041</v>
      </c>
      <c r="AT12" s="636">
        <f t="shared" si="15"/>
        <v>278.59603922794082</v>
      </c>
      <c r="AU12" s="636">
        <f t="shared" si="16"/>
        <v>215.11634769690716</v>
      </c>
      <c r="AV12" s="636">
        <f t="shared" si="17"/>
        <v>183.56842176767105</v>
      </c>
      <c r="AW12" s="636">
        <f t="shared" si="18"/>
        <v>72.104999863422989</v>
      </c>
      <c r="AX12" s="636">
        <f t="shared" si="19"/>
        <v>17.894787182813186</v>
      </c>
      <c r="AY12" s="636">
        <f t="shared" si="20"/>
        <v>4.8254141097909811</v>
      </c>
      <c r="AZ12" s="636">
        <f t="shared" si="21"/>
        <v>3.2294136324123692</v>
      </c>
      <c r="BA12" s="636">
        <f t="shared" si="22"/>
        <v>39.380977671879471</v>
      </c>
      <c r="BB12" s="636">
        <f t="shared" si="23"/>
        <v>121.79888528450253</v>
      </c>
      <c r="BC12" s="636">
        <f t="shared" si="24"/>
        <v>245.88751026373967</v>
      </c>
      <c r="BD12" s="636">
        <f t="shared" si="25"/>
        <v>438.77026555977534</v>
      </c>
    </row>
    <row r="13" spans="1:56" ht="15">
      <c r="A13" s="631" t="str">
        <f>VLOOKUP(CONCATENATE($C13," - ",$B13),[3]ACHIEV!$B$12:$C$100,2,FALSE)</f>
        <v>Retro12Med</v>
      </c>
      <c r="B13" s="631" t="str">
        <f>'SC-Retro'!$C$7</f>
        <v>Retro</v>
      </c>
      <c r="C13" s="631" t="str">
        <f>'SC-Retro'!$C$8</f>
        <v>ResWx</v>
      </c>
      <c r="D13" s="631" t="s">
        <v>314</v>
      </c>
      <c r="E13" s="631" t="s">
        <v>215</v>
      </c>
      <c r="F13" s="632">
        <f t="shared" si="1"/>
        <v>1.618601258378261</v>
      </c>
      <c r="G13" s="633">
        <f>'SC-Retro'!A146</f>
        <v>3104.8660353810656</v>
      </c>
      <c r="H13" s="633">
        <f>'SC-Retro'!B146</f>
        <v>48.630561661519231</v>
      </c>
      <c r="I13" s="634" t="str">
        <f>'SC-Retro'!C146</f>
        <v>Multifamily - Low Rise</v>
      </c>
      <c r="J13" s="637" t="str">
        <f>'SC-Retro'!D146</f>
        <v>WINDOW CL22 Prime Window Replacement of Double Pane Base_Electric Zonal</v>
      </c>
      <c r="K13" s="635">
        <f>'SC-Retro'!E146</f>
        <v>0.26824032793112934</v>
      </c>
      <c r="L13" s="635">
        <f>'SC-Retro'!F146</f>
        <v>0.30586536548278298</v>
      </c>
      <c r="M13" s="635">
        <f>'SC-Retro'!G146</f>
        <v>0.33377932664294518</v>
      </c>
      <c r="N13" s="635">
        <f>'SC-Retro'!H146</f>
        <v>0.34832261884188848</v>
      </c>
      <c r="O13" s="635">
        <f>'SC-Retro'!I146</f>
        <v>0.33374847026883514</v>
      </c>
      <c r="P13" s="635">
        <f>'SC-Retro'!J146</f>
        <v>0.27749215691518669</v>
      </c>
      <c r="Q13" s="635">
        <f>'SC-Retro'!K146</f>
        <v>0.20764651708718154</v>
      </c>
      <c r="R13" s="635">
        <f>'SC-Retro'!L146</f>
        <v>0.14125567478033899</v>
      </c>
      <c r="S13" s="635">
        <f>'SC-Retro'!M146</f>
        <v>8.8084318048857996E-2</v>
      </c>
      <c r="T13" s="635">
        <f>'SC-Retro'!N146</f>
        <v>5.0702477659950389E-2</v>
      </c>
      <c r="U13" s="635">
        <f>'SC-Retro'!O146</f>
        <v>2.7100361555694306E-2</v>
      </c>
      <c r="V13" s="635">
        <f>'SC-Retro'!P146</f>
        <v>1.3519410785997499E-2</v>
      </c>
      <c r="W13" s="635">
        <f>'SC-Retro'!Q146</f>
        <v>6.3228331252464668E-3</v>
      </c>
      <c r="X13" s="635">
        <f>'SC-Retro'!R146</f>
        <v>2.783150789634471E-3</v>
      </c>
      <c r="Y13" s="635">
        <f>'SC-Retro'!S146</f>
        <v>1.1570128171879545E-3</v>
      </c>
      <c r="Z13" s="635">
        <f>'SC-Retro'!T146</f>
        <v>4.5567846784565837E-4</v>
      </c>
      <c r="AA13" s="635">
        <f>'SC-Retro'!U146</f>
        <v>1.7049138939926434E-4</v>
      </c>
      <c r="AB13" s="635">
        <f>'SC-Retro'!V146</f>
        <v>6.0751512327029367E-5</v>
      </c>
      <c r="AC13" s="635">
        <f>'SC-Retro'!W146</f>
        <v>2.0663712515165824E-5</v>
      </c>
      <c r="AD13" s="635">
        <f>'SC-Retro'!X146</f>
        <v>6.7228659746431818E-6</v>
      </c>
      <c r="AE13" s="635">
        <f>'SC-Retro'!Y146</f>
        <v>2.3488129790696952</v>
      </c>
      <c r="AF13" s="636">
        <f t="shared" si="2"/>
        <v>349.34197361242559</v>
      </c>
      <c r="AG13" s="636">
        <f t="shared" si="3"/>
        <v>253.52153476938005</v>
      </c>
      <c r="AH13" s="636">
        <f t="shared" si="4"/>
        <v>228.30667945698255</v>
      </c>
      <c r="AI13" s="636">
        <f t="shared" si="5"/>
        <v>182.30479148080227</v>
      </c>
      <c r="AJ13" s="636">
        <f t="shared" si="6"/>
        <v>75.106973364806038</v>
      </c>
      <c r="AK13" s="636">
        <f t="shared" si="7"/>
        <v>20.990062170199604</v>
      </c>
      <c r="AL13" s="636">
        <f t="shared" si="8"/>
        <v>5.1302390053333173</v>
      </c>
      <c r="AM13" s="636">
        <f t="shared" si="9"/>
        <v>4.3025864540917134</v>
      </c>
      <c r="AN13" s="636">
        <f t="shared" si="10"/>
        <v>40.755044839948411</v>
      </c>
      <c r="AO13" s="636">
        <f t="shared" si="11"/>
        <v>139.84932040583806</v>
      </c>
      <c r="AP13" s="636">
        <f t="shared" si="12"/>
        <v>222.70609197279543</v>
      </c>
      <c r="AQ13" s="636">
        <f t="shared" si="13"/>
        <v>406.07360069609103</v>
      </c>
      <c r="AR13" s="636"/>
      <c r="AS13" s="636">
        <f t="shared" si="14"/>
        <v>219.99364366333072</v>
      </c>
      <c r="AT13" s="636">
        <f t="shared" si="15"/>
        <v>164.37018297191139</v>
      </c>
      <c r="AU13" s="636">
        <f t="shared" si="16"/>
        <v>126.91750223433814</v>
      </c>
      <c r="AV13" s="636">
        <f t="shared" si="17"/>
        <v>108.30439354929271</v>
      </c>
      <c r="AW13" s="636">
        <f t="shared" si="18"/>
        <v>42.541566827673108</v>
      </c>
      <c r="AX13" s="636">
        <f t="shared" si="19"/>
        <v>10.557829363381071</v>
      </c>
      <c r="AY13" s="636">
        <f t="shared" si="20"/>
        <v>2.8469686874932423</v>
      </c>
      <c r="AZ13" s="636">
        <f t="shared" si="21"/>
        <v>1.9053368853435209</v>
      </c>
      <c r="BA13" s="636">
        <f t="shared" si="22"/>
        <v>23.234567596431187</v>
      </c>
      <c r="BB13" s="636">
        <f t="shared" si="23"/>
        <v>71.860695203956368</v>
      </c>
      <c r="BC13" s="636">
        <f t="shared" si="24"/>
        <v>145.07232466248641</v>
      </c>
      <c r="BD13" s="636">
        <f t="shared" si="25"/>
        <v>258.87212550673377</v>
      </c>
    </row>
    <row r="14" spans="1:56" ht="15">
      <c r="A14" s="631" t="str">
        <f>VLOOKUP(CONCATENATE($C14," - ",$B14),[3]ACHIEV!$B$12:$C$100,2,FALSE)</f>
        <v>Retro12Med</v>
      </c>
      <c r="B14" s="631" t="str">
        <f>'SC-Retro'!$C$7</f>
        <v>Retro</v>
      </c>
      <c r="C14" s="631" t="str">
        <f>'SC-Retro'!$C$8</f>
        <v>ResWx</v>
      </c>
      <c r="D14" s="631" t="s">
        <v>314</v>
      </c>
      <c r="E14" s="631" t="s">
        <v>215</v>
      </c>
      <c r="F14" s="632">
        <f t="shared" si="1"/>
        <v>2.5230146509280265</v>
      </c>
      <c r="G14" s="633">
        <f>'SC-Retro'!A147</f>
        <v>4839.7481812685928</v>
      </c>
      <c r="H14" s="633">
        <f>'SC-Retro'!B147</f>
        <v>15.298298162320789</v>
      </c>
      <c r="I14" s="634" t="str">
        <f>'SC-Retro'!C147</f>
        <v>Multifamily - Low Rise</v>
      </c>
      <c r="J14" s="637" t="str">
        <f>'SC-Retro'!D147</f>
        <v>WINDOW CL30 Prime Window Replacement of Single Pane Base_Electric Zonal</v>
      </c>
      <c r="K14" s="635">
        <f>'SC-Retro'!E147</f>
        <v>0.32186255462345648</v>
      </c>
      <c r="L14" s="635">
        <f>'SC-Retro'!F147</f>
        <v>0.36700897536332378</v>
      </c>
      <c r="M14" s="635">
        <f>'SC-Retro'!G147</f>
        <v>0.40050303987616059</v>
      </c>
      <c r="N14" s="635">
        <f>'SC-Retro'!H147</f>
        <v>0.41795358959733858</v>
      </c>
      <c r="O14" s="635">
        <f>'SC-Retro'!I147</f>
        <v>0.40046601519954295</v>
      </c>
      <c r="P14" s="635">
        <f>'SC-Retro'!J147</f>
        <v>0.33296385819967572</v>
      </c>
      <c r="Q14" s="635">
        <f>'SC-Retro'!K147</f>
        <v>0.24915581845509446</v>
      </c>
      <c r="R14" s="635">
        <f>'SC-Retro'!L147</f>
        <v>0.16949320294423878</v>
      </c>
      <c r="S14" s="635">
        <f>'SC-Retro'!M147</f>
        <v>0.10569269672511583</v>
      </c>
      <c r="T14" s="635">
        <f>'SC-Retro'!N147</f>
        <v>6.0838089153993004E-2</v>
      </c>
      <c r="U14" s="635">
        <f>'SC-Retro'!O147</f>
        <v>3.2517823359411502E-2</v>
      </c>
      <c r="V14" s="635">
        <f>'SC-Retro'!P147</f>
        <v>1.6221990653479536E-2</v>
      </c>
      <c r="W14" s="635">
        <f>'SC-Retro'!Q147</f>
        <v>7.586790688207585E-3</v>
      </c>
      <c r="X14" s="635">
        <f>'SC-Retro'!R147</f>
        <v>3.339512853876452E-3</v>
      </c>
      <c r="Y14" s="635">
        <f>'SC-Retro'!S147</f>
        <v>1.388303928586796E-3</v>
      </c>
      <c r="Z14" s="635">
        <f>'SC-Retro'!T147</f>
        <v>5.4677026709183956E-4</v>
      </c>
      <c r="AA14" s="635">
        <f>'SC-Retro'!U147</f>
        <v>2.0457324428651462E-4</v>
      </c>
      <c r="AB14" s="635">
        <f>'SC-Retro'!V147</f>
        <v>7.2895962757085791E-5</v>
      </c>
      <c r="AC14" s="635">
        <f>'SC-Retro'!W147</f>
        <v>2.4794464536456922E-5</v>
      </c>
      <c r="AD14" s="635">
        <f>'SC-Retro'!X147</f>
        <v>8.0667915733585493E-6</v>
      </c>
      <c r="AE14" s="635">
        <f>'SC-Retro'!Y147</f>
        <v>2.8183493198315994</v>
      </c>
      <c r="AF14" s="636">
        <f t="shared" si="2"/>
        <v>544.54110488667561</v>
      </c>
      <c r="AG14" s="636">
        <f t="shared" si="3"/>
        <v>395.17981543507727</v>
      </c>
      <c r="AH14" s="636">
        <f t="shared" si="4"/>
        <v>355.8758490969131</v>
      </c>
      <c r="AI14" s="636">
        <f t="shared" si="5"/>
        <v>284.16983952013749</v>
      </c>
      <c r="AJ14" s="636">
        <f t="shared" si="6"/>
        <v>117.07391996972129</v>
      </c>
      <c r="AK14" s="636">
        <f t="shared" si="7"/>
        <v>32.718517982844411</v>
      </c>
      <c r="AL14" s="636">
        <f t="shared" si="8"/>
        <v>7.9968232486036408</v>
      </c>
      <c r="AM14" s="636">
        <f t="shared" si="9"/>
        <v>6.7067096385643437</v>
      </c>
      <c r="AN14" s="636">
        <f t="shared" si="10"/>
        <v>63.527428202696086</v>
      </c>
      <c r="AO14" s="636">
        <f t="shared" si="11"/>
        <v>217.99185097618368</v>
      </c>
      <c r="AP14" s="636">
        <f t="shared" si="12"/>
        <v>347.14586436270747</v>
      </c>
      <c r="AQ14" s="636">
        <f t="shared" si="13"/>
        <v>632.97222747611772</v>
      </c>
      <c r="AR14" s="636"/>
      <c r="AS14" s="636">
        <f t="shared" si="14"/>
        <v>342.91780214587635</v>
      </c>
      <c r="AT14" s="636">
        <f t="shared" si="15"/>
        <v>256.21404757176896</v>
      </c>
      <c r="AU14" s="636">
        <f t="shared" si="16"/>
        <v>197.83422009523281</v>
      </c>
      <c r="AV14" s="636">
        <f t="shared" si="17"/>
        <v>168.82080763888919</v>
      </c>
      <c r="AW14" s="636">
        <f t="shared" si="18"/>
        <v>66.31219135909609</v>
      </c>
      <c r="AX14" s="636">
        <f t="shared" si="19"/>
        <v>16.457146581300549</v>
      </c>
      <c r="AY14" s="636">
        <f t="shared" si="20"/>
        <v>4.4377475132298194</v>
      </c>
      <c r="AZ14" s="636">
        <f t="shared" si="21"/>
        <v>2.969967341735412</v>
      </c>
      <c r="BA14" s="636">
        <f t="shared" si="22"/>
        <v>36.217168465881628</v>
      </c>
      <c r="BB14" s="636">
        <f t="shared" si="23"/>
        <v>112.01374389583283</v>
      </c>
      <c r="BC14" s="636">
        <f t="shared" si="24"/>
        <v>226.13327320304299</v>
      </c>
      <c r="BD14" s="636">
        <f t="shared" si="25"/>
        <v>403.52011466046463</v>
      </c>
    </row>
    <row r="15" spans="1:56" ht="15">
      <c r="A15" s="631" t="str">
        <f>VLOOKUP(CONCATENATE($C15," - ",$B15),[3]ACHIEV!$B$12:$C$100,2,FALSE)</f>
        <v>Retro12Med</v>
      </c>
      <c r="B15" s="631" t="str">
        <f>'SC-Retro'!$C$7</f>
        <v>Retro</v>
      </c>
      <c r="C15" s="631" t="str">
        <f>'SC-Retro'!$C$8</f>
        <v>ResWx</v>
      </c>
      <c r="D15" s="631" t="s">
        <v>314</v>
      </c>
      <c r="E15" s="631" t="s">
        <v>215</v>
      </c>
      <c r="F15" s="632">
        <f t="shared" si="1"/>
        <v>1.3981992413902868</v>
      </c>
      <c r="G15" s="633">
        <f>'SC-Retro'!A148</f>
        <v>2682.0820216326224</v>
      </c>
      <c r="H15" s="633">
        <f>'SC-Retro'!B148</f>
        <v>56.287384914975831</v>
      </c>
      <c r="I15" s="634" t="str">
        <f>'SC-Retro'!C148</f>
        <v>Multifamily - Low Rise</v>
      </c>
      <c r="J15" s="637" t="str">
        <f>'SC-Retro'!D148</f>
        <v>WINDOW CL30 Prime Window Replacement of Double Pane Base_Electric Zonal</v>
      </c>
      <c r="K15" s="635">
        <f>'SC-Retro'!E148</f>
        <v>0.92685810314855988</v>
      </c>
      <c r="L15" s="635">
        <f>'SC-Retro'!F148</f>
        <v>1.056864919069888</v>
      </c>
      <c r="M15" s="635">
        <f>'SC-Retro'!G148</f>
        <v>1.1533167885252269</v>
      </c>
      <c r="N15" s="635">
        <f>'SC-Retro'!H148</f>
        <v>1.2035686217414041</v>
      </c>
      <c r="O15" s="635">
        <f>'SC-Retro'!I148</f>
        <v>1.1532101696562511</v>
      </c>
      <c r="P15" s="635">
        <f>'SC-Retro'!J148</f>
        <v>0.95882619955284099</v>
      </c>
      <c r="Q15" s="635">
        <f>'SC-Retro'!K148</f>
        <v>0.71748665995608185</v>
      </c>
      <c r="R15" s="635">
        <f>'SC-Retro'!L148</f>
        <v>0.48808457622930429</v>
      </c>
      <c r="S15" s="635">
        <f>'SC-Retro'!M148</f>
        <v>0.30436014067526956</v>
      </c>
      <c r="T15" s="635">
        <f>'SC-Retro'!N148</f>
        <v>0.17519365052707342</v>
      </c>
      <c r="U15" s="635">
        <f>'SC-Retro'!O148</f>
        <v>9.3640616606314592E-2</v>
      </c>
      <c r="V15" s="635">
        <f>'SC-Retro'!P148</f>
        <v>4.6713987913156167E-2</v>
      </c>
      <c r="W15" s="635">
        <f>'SC-Retro'!Q148</f>
        <v>2.184745732377523E-2</v>
      </c>
      <c r="X15" s="635">
        <f>'SC-Retro'!R148</f>
        <v>9.61669664495538E-3</v>
      </c>
      <c r="Y15" s="635">
        <f>'SC-Retro'!S148</f>
        <v>3.997857866221869E-3</v>
      </c>
      <c r="Z15" s="635">
        <f>'SC-Retro'!T148</f>
        <v>1.5745182076481322E-3</v>
      </c>
      <c r="AA15" s="635">
        <f>'SC-Retro'!U148</f>
        <v>5.8910353637181871E-4</v>
      </c>
      <c r="AB15" s="635">
        <f>'SC-Retro'!V148</f>
        <v>2.0991635341757362E-4</v>
      </c>
      <c r="AC15" s="635">
        <f>'SC-Retro'!W148</f>
        <v>7.1399888053861579E-5</v>
      </c>
      <c r="AD15" s="635">
        <f>'SC-Retro'!X148</f>
        <v>2.3229701712039434E-5</v>
      </c>
      <c r="AE15" s="635">
        <f>'SC-Retro'!Y148</f>
        <v>8.1159173910278106</v>
      </c>
      <c r="AF15" s="636">
        <f t="shared" si="2"/>
        <v>301.77270650343843</v>
      </c>
      <c r="AG15" s="636">
        <f t="shared" si="3"/>
        <v>218.99996417018062</v>
      </c>
      <c r="AH15" s="636">
        <f t="shared" si="4"/>
        <v>197.21857027401884</v>
      </c>
      <c r="AI15" s="636">
        <f t="shared" si="5"/>
        <v>157.48067649821593</v>
      </c>
      <c r="AJ15" s="636">
        <f t="shared" si="6"/>
        <v>64.879792128056522</v>
      </c>
      <c r="AK15" s="636">
        <f t="shared" si="7"/>
        <v>18.131883223983913</v>
      </c>
      <c r="AL15" s="636">
        <f t="shared" si="8"/>
        <v>4.4316636035455117</v>
      </c>
      <c r="AM15" s="636">
        <f t="shared" si="9"/>
        <v>3.7167110089576307</v>
      </c>
      <c r="AN15" s="636">
        <f t="shared" si="10"/>
        <v>35.205503815768147</v>
      </c>
      <c r="AO15" s="636">
        <f t="shared" si="11"/>
        <v>120.80629042405799</v>
      </c>
      <c r="AP15" s="636">
        <f t="shared" si="12"/>
        <v>192.38060469651995</v>
      </c>
      <c r="AQ15" s="636">
        <f t="shared" si="13"/>
        <v>350.77929014510295</v>
      </c>
      <c r="AR15" s="636"/>
      <c r="AS15" s="636">
        <f t="shared" si="14"/>
        <v>190.03750558611657</v>
      </c>
      <c r="AT15" s="636">
        <f t="shared" si="15"/>
        <v>141.98819131573947</v>
      </c>
      <c r="AU15" s="636">
        <f t="shared" si="16"/>
        <v>109.63537463266375</v>
      </c>
      <c r="AV15" s="636">
        <f t="shared" si="17"/>
        <v>93.556779420510779</v>
      </c>
      <c r="AW15" s="636">
        <f t="shared" si="18"/>
        <v>36.748758323346181</v>
      </c>
      <c r="AX15" s="636">
        <f t="shared" si="19"/>
        <v>9.1201887618684268</v>
      </c>
      <c r="AY15" s="636">
        <f t="shared" si="20"/>
        <v>2.4593020909320789</v>
      </c>
      <c r="AZ15" s="636">
        <f t="shared" si="21"/>
        <v>1.6458905946665627</v>
      </c>
      <c r="BA15" s="636">
        <f t="shared" si="22"/>
        <v>20.07075839043333</v>
      </c>
      <c r="BB15" s="636">
        <f t="shared" si="23"/>
        <v>62.075553815286639</v>
      </c>
      <c r="BC15" s="636">
        <f t="shared" si="24"/>
        <v>125.31808760178966</v>
      </c>
      <c r="BD15" s="636">
        <f t="shared" si="25"/>
        <v>223.62197460742294</v>
      </c>
    </row>
    <row r="16" spans="1:56" ht="15">
      <c r="A16" s="631" t="str">
        <f>VLOOKUP(CONCATENATE($C16," - ",$B16),[3]ACHIEV!$B$12:$C$100,2,FALSE)</f>
        <v>Retro12Med</v>
      </c>
      <c r="B16" s="631" t="str">
        <f>'SC-Retro'!$C$7</f>
        <v>Retro</v>
      </c>
      <c r="C16" s="631" t="str">
        <f>'SC-Retro'!$C$8</f>
        <v>ResWx</v>
      </c>
      <c r="D16" s="631" t="s">
        <v>314</v>
      </c>
      <c r="E16" s="631" t="s">
        <v>215</v>
      </c>
      <c r="F16" s="632">
        <f t="shared" si="1"/>
        <v>0.37135993918466664</v>
      </c>
      <c r="G16" s="633">
        <f>'SC-Retro'!A149</f>
        <v>712.3575717659503</v>
      </c>
      <c r="H16" s="633">
        <f>'SC-Retro'!B149</f>
        <v>1.4354544635360371</v>
      </c>
      <c r="I16" s="634" t="str">
        <f>'SC-Retro'!C149</f>
        <v>Multifamily - Low Rise</v>
      </c>
      <c r="J16" s="637" t="str">
        <f>'SC-Retro'!D149</f>
        <v>WALL R0 - R11_Electric FAF</v>
      </c>
      <c r="K16" s="635">
        <f>'SC-Retro'!E149</f>
        <v>9.9419547547861843E-3</v>
      </c>
      <c r="L16" s="635">
        <f>'SC-Retro'!F149</f>
        <v>1.1336474452367649E-2</v>
      </c>
      <c r="M16" s="635">
        <f>'SC-Retro'!G149</f>
        <v>1.2371066607177589E-2</v>
      </c>
      <c r="N16" s="635">
        <f>'SC-Retro'!H149</f>
        <v>1.2910093509443577E-2</v>
      </c>
      <c r="O16" s="635">
        <f>'SC-Retro'!I149</f>
        <v>1.2369922958578349E-2</v>
      </c>
      <c r="P16" s="635">
        <f>'SC-Retro'!J149</f>
        <v>1.0284860931004901E-2</v>
      </c>
      <c r="Q16" s="635">
        <f>'SC-Retro'!K149</f>
        <v>7.6961294142159457E-3</v>
      </c>
      <c r="R16" s="635">
        <f>'SC-Retro'!L149</f>
        <v>5.2354451635008865E-3</v>
      </c>
      <c r="S16" s="635">
        <f>'SC-Retro'!M149</f>
        <v>3.2647227633601237E-3</v>
      </c>
      <c r="T16" s="635">
        <f>'SC-Retro'!N149</f>
        <v>1.8792168304394821E-3</v>
      </c>
      <c r="U16" s="635">
        <f>'SC-Retro'!O149</f>
        <v>1.0044372168163918E-3</v>
      </c>
      <c r="V16" s="635">
        <f>'SC-Retro'!P149</f>
        <v>5.0107816144731631E-4</v>
      </c>
      <c r="W16" s="635">
        <f>'SC-Retro'!Q149</f>
        <v>2.3434701760953461E-4</v>
      </c>
      <c r="X16" s="635">
        <f>'SC-Retro'!R149</f>
        <v>1.0315361392414348E-4</v>
      </c>
      <c r="Y16" s="635">
        <f>'SC-Retro'!S149</f>
        <v>4.2883071191829615E-5</v>
      </c>
      <c r="Z16" s="635">
        <f>'SC-Retro'!T149</f>
        <v>1.6889088769735585E-5</v>
      </c>
      <c r="AA16" s="635">
        <f>'SC-Retro'!U149</f>
        <v>6.3190262723035237E-6</v>
      </c>
      <c r="AB16" s="635">
        <f>'SC-Retro'!V149</f>
        <v>2.251670326749806E-6</v>
      </c>
      <c r="AC16" s="635">
        <f>'SC-Retro'!W149</f>
        <v>7.6587177057296806E-7</v>
      </c>
      <c r="AD16" s="635">
        <f>'SC-Retro'!X149</f>
        <v>2.4917367890914148E-7</v>
      </c>
      <c r="AE16" s="635">
        <f>'SC-Retro'!Y149</f>
        <v>8.7055486941400667E-2</v>
      </c>
      <c r="AF16" s="636">
        <f t="shared" si="2"/>
        <v>80.150446815631966</v>
      </c>
      <c r="AG16" s="636">
        <f t="shared" si="3"/>
        <v>58.166111787340746</v>
      </c>
      <c r="AH16" s="636">
        <f t="shared" si="4"/>
        <v>52.381001287214204</v>
      </c>
      <c r="AI16" s="636">
        <f t="shared" si="5"/>
        <v>41.82666727024295</v>
      </c>
      <c r="AJ16" s="636">
        <f t="shared" si="6"/>
        <v>17.231990224105314</v>
      </c>
      <c r="AK16" s="636">
        <f t="shared" si="7"/>
        <v>4.8158051099117989</v>
      </c>
      <c r="AL16" s="636">
        <f t="shared" si="8"/>
        <v>1.1770442134292198</v>
      </c>
      <c r="AM16" s="636">
        <f t="shared" si="9"/>
        <v>0.98715371414524589</v>
      </c>
      <c r="AN16" s="636">
        <f t="shared" si="10"/>
        <v>9.3505370114414319</v>
      </c>
      <c r="AO16" s="636">
        <f t="shared" si="11"/>
        <v>32.085997000251993</v>
      </c>
      <c r="AP16" s="636">
        <f t="shared" si="12"/>
        <v>51.096043786557125</v>
      </c>
      <c r="AQ16" s="636">
        <f t="shared" si="13"/>
        <v>93.166533065772342</v>
      </c>
      <c r="AR16" s="636"/>
      <c r="AS16" s="636">
        <f t="shared" si="14"/>
        <v>50.473719644628794</v>
      </c>
      <c r="AT16" s="636">
        <f t="shared" si="15"/>
        <v>37.711882921294887</v>
      </c>
      <c r="AU16" s="636">
        <f t="shared" si="16"/>
        <v>29.119015982007237</v>
      </c>
      <c r="AV16" s="636">
        <f t="shared" si="17"/>
        <v>24.848561555052434</v>
      </c>
      <c r="AW16" s="636">
        <f t="shared" si="18"/>
        <v>9.7604234447302822</v>
      </c>
      <c r="AX16" s="636">
        <f t="shared" si="19"/>
        <v>2.4223105289289335</v>
      </c>
      <c r="AY16" s="636">
        <f t="shared" si="20"/>
        <v>0.65318750567847716</v>
      </c>
      <c r="AZ16" s="636">
        <f t="shared" si="21"/>
        <v>0.43714644740633002</v>
      </c>
      <c r="BA16" s="636">
        <f t="shared" si="22"/>
        <v>5.3307678867356287</v>
      </c>
      <c r="BB16" s="636">
        <f t="shared" si="23"/>
        <v>16.487188096867673</v>
      </c>
      <c r="BC16" s="636">
        <f t="shared" si="24"/>
        <v>33.2843245890082</v>
      </c>
      <c r="BD16" s="636">
        <f t="shared" si="25"/>
        <v>59.393711877567149</v>
      </c>
    </row>
    <row r="17" spans="1:56" ht="15">
      <c r="A17" s="631" t="str">
        <f>VLOOKUP(CONCATENATE($C17," - ",$B17),[3]ACHIEV!$B$12:$C$100,2,FALSE)</f>
        <v>Retro12Med</v>
      </c>
      <c r="B17" s="631" t="str">
        <f>'SC-Retro'!$C$7</f>
        <v>Retro</v>
      </c>
      <c r="C17" s="631" t="str">
        <f>'SC-Retro'!$C$8</f>
        <v>ResWx</v>
      </c>
      <c r="D17" s="631" t="s">
        <v>314</v>
      </c>
      <c r="E17" s="631" t="s">
        <v>215</v>
      </c>
      <c r="F17" s="632">
        <f t="shared" si="1"/>
        <v>0.12781469626712091</v>
      </c>
      <c r="G17" s="633">
        <f>'SC-Retro'!A150</f>
        <v>245.17929119859181</v>
      </c>
      <c r="H17" s="633">
        <f>'SC-Retro'!B150</f>
        <v>77.909755903057984</v>
      </c>
      <c r="I17" s="634" t="str">
        <f>'SC-Retro'!C150</f>
        <v>Multifamily - Low Rise</v>
      </c>
      <c r="J17" s="637" t="str">
        <f>'SC-Retro'!D150</f>
        <v>FLOOR R0 - R19_Electric FAF</v>
      </c>
      <c r="K17" s="635">
        <f>'SC-Retro'!E150</f>
        <v>8.4385942787534819E-4</v>
      </c>
      <c r="L17" s="635">
        <f>'SC-Retro'!F150</f>
        <v>9.6222433932251423E-4</v>
      </c>
      <c r="M17" s="635">
        <f>'SC-Retro'!G150</f>
        <v>1.0500390966188039E-3</v>
      </c>
      <c r="N17" s="635">
        <f>'SC-Retro'!H150</f>
        <v>1.0957909577542226E-3</v>
      </c>
      <c r="O17" s="635">
        <f>'SC-Retro'!I150</f>
        <v>1.0499420253006929E-3</v>
      </c>
      <c r="P17" s="635">
        <f>'SC-Retro'!J150</f>
        <v>8.7296483187445067E-4</v>
      </c>
      <c r="Q17" s="635">
        <f>'SC-Retro'!K150</f>
        <v>6.5323686583952645E-4</v>
      </c>
      <c r="R17" s="635">
        <f>'SC-Retro'!L150</f>
        <v>4.443773754067572E-4</v>
      </c>
      <c r="S17" s="635">
        <f>'SC-Retro'!M150</f>
        <v>2.7710517209248245E-4</v>
      </c>
      <c r="T17" s="635">
        <f>'SC-Retro'!N150</f>
        <v>1.5950533657628691E-4</v>
      </c>
      <c r="U17" s="635">
        <f>'SC-Retro'!O150</f>
        <v>8.5255247687718544E-5</v>
      </c>
      <c r="V17" s="635">
        <f>'SC-Retro'!P150</f>
        <v>4.2530824276403312E-5</v>
      </c>
      <c r="W17" s="635">
        <f>'SC-Retro'!Q150</f>
        <v>1.9891052120215472E-5</v>
      </c>
      <c r="X17" s="635">
        <f>'SC-Retro'!R150</f>
        <v>8.7555366903472032E-6</v>
      </c>
      <c r="Y17" s="635">
        <f>'SC-Retro'!S150</f>
        <v>3.6398560257030091E-6</v>
      </c>
      <c r="Z17" s="635">
        <f>'SC-Retro'!T150</f>
        <v>1.4335225957152878E-6</v>
      </c>
      <c r="AA17" s="635">
        <f>'SC-Retro'!U150</f>
        <v>5.3635024765208017E-7</v>
      </c>
      <c r="AB17" s="635">
        <f>'SC-Retro'!V150</f>
        <v>1.9111867641323359E-7</v>
      </c>
      <c r="AC17" s="635">
        <f>'SC-Retro'!W150</f>
        <v>6.500614115453035E-8</v>
      </c>
      <c r="AD17" s="635">
        <f>'SC-Retro'!X150</f>
        <v>2.1149518712568905E-8</v>
      </c>
      <c r="AE17" s="635">
        <f>'SC-Retro'!Y150</f>
        <v>7.3891498418270692E-3</v>
      </c>
      <c r="AF17" s="636">
        <f t="shared" si="2"/>
        <v>27.586187777566874</v>
      </c>
      <c r="AG17" s="636">
        <f t="shared" si="3"/>
        <v>20.019617429551019</v>
      </c>
      <c r="AH17" s="636">
        <f t="shared" si="4"/>
        <v>18.028497592907271</v>
      </c>
      <c r="AI17" s="636">
        <f t="shared" si="5"/>
        <v>14.395905990154706</v>
      </c>
      <c r="AJ17" s="636">
        <f t="shared" si="6"/>
        <v>5.9309078987024941</v>
      </c>
      <c r="AK17" s="636">
        <f t="shared" si="7"/>
        <v>1.6575042228745618</v>
      </c>
      <c r="AL17" s="636">
        <f t="shared" si="8"/>
        <v>0.40511518006689651</v>
      </c>
      <c r="AM17" s="636">
        <f t="shared" si="9"/>
        <v>0.33975865145672812</v>
      </c>
      <c r="AN17" s="636">
        <f t="shared" si="10"/>
        <v>3.2182686443664896</v>
      </c>
      <c r="AO17" s="636">
        <f t="shared" si="11"/>
        <v>11.043361246824258</v>
      </c>
      <c r="AP17" s="636">
        <f t="shared" si="12"/>
        <v>17.586240808227615</v>
      </c>
      <c r="AQ17" s="636">
        <f t="shared" si="13"/>
        <v>32.06606547870215</v>
      </c>
      <c r="AR17" s="636"/>
      <c r="AS17" s="636">
        <f t="shared" si="14"/>
        <v>17.37204923076532</v>
      </c>
      <c r="AT17" s="636">
        <f t="shared" si="15"/>
        <v>12.979679153947773</v>
      </c>
      <c r="AU17" s="636">
        <f t="shared" si="16"/>
        <v>10.022185461116557</v>
      </c>
      <c r="AV17" s="636">
        <f t="shared" si="17"/>
        <v>8.5523800838801431</v>
      </c>
      <c r="AW17" s="636">
        <f t="shared" si="18"/>
        <v>3.3593433927355543</v>
      </c>
      <c r="AX17" s="636">
        <f t="shared" si="19"/>
        <v>0.83371104917631411</v>
      </c>
      <c r="AY17" s="636">
        <f t="shared" si="20"/>
        <v>0.22481413269043327</v>
      </c>
      <c r="AZ17" s="636">
        <f t="shared" si="21"/>
        <v>0.15045710240626309</v>
      </c>
      <c r="BA17" s="636">
        <f t="shared" si="22"/>
        <v>1.8347441563286675</v>
      </c>
      <c r="BB17" s="636">
        <f t="shared" si="23"/>
        <v>5.6745618375710976</v>
      </c>
      <c r="BC17" s="636">
        <f t="shared" si="24"/>
        <v>11.455801740868022</v>
      </c>
      <c r="BD17" s="636">
        <f t="shared" si="25"/>
        <v>20.442132935704613</v>
      </c>
    </row>
    <row r="18" spans="1:56" ht="15">
      <c r="A18" s="631" t="str">
        <f>VLOOKUP(CONCATENATE($C18," - ",$B18),[3]ACHIEV!$B$12:$C$100,2,FALSE)</f>
        <v>Retro12Med</v>
      </c>
      <c r="B18" s="631" t="str">
        <f>'SC-Retro'!$C$7</f>
        <v>Retro</v>
      </c>
      <c r="C18" s="631" t="str">
        <f>'SC-Retro'!$C$8</f>
        <v>ResWx</v>
      </c>
      <c r="D18" s="631" t="s">
        <v>314</v>
      </c>
      <c r="E18" s="631" t="s">
        <v>215</v>
      </c>
      <c r="F18" s="632">
        <f t="shared" si="1"/>
        <v>0.16619748589814018</v>
      </c>
      <c r="G18" s="633">
        <f>'SC-Retro'!A151</f>
        <v>318.80670205822048</v>
      </c>
      <c r="H18" s="633">
        <f>'SC-Retro'!B151</f>
        <v>102.24563978318299</v>
      </c>
      <c r="I18" s="634" t="str">
        <f>'SC-Retro'!C151</f>
        <v>Multifamily - Low Rise</v>
      </c>
      <c r="J18" s="637" t="str">
        <f>'SC-Retro'!D151</f>
        <v>FLOOR R0 - R30_Electric FAF</v>
      </c>
      <c r="K18" s="635">
        <f>'SC-Retro'!E151</f>
        <v>1.2148636045548358E-2</v>
      </c>
      <c r="L18" s="635">
        <f>'SC-Retro'!F151</f>
        <v>1.3852678427767964E-2</v>
      </c>
      <c r="M18" s="635">
        <f>'SC-Retro'!G151</f>
        <v>1.5116905016439043E-2</v>
      </c>
      <c r="N18" s="635">
        <f>'SC-Retro'!H151</f>
        <v>1.5775572433049077E-2</v>
      </c>
      <c r="O18" s="635">
        <f>'SC-Retro'!I151</f>
        <v>1.5115507527621313E-2</v>
      </c>
      <c r="P18" s="635">
        <f>'SC-Retro'!J151</f>
        <v>1.2567652469923689E-2</v>
      </c>
      <c r="Q18" s="635">
        <f>'SC-Retro'!K151</f>
        <v>9.4043352156413622E-3</v>
      </c>
      <c r="R18" s="635">
        <f>'SC-Retro'!L151</f>
        <v>6.3974861480011365E-3</v>
      </c>
      <c r="S18" s="635">
        <f>'SC-Retro'!M151</f>
        <v>3.9893491390699861E-3</v>
      </c>
      <c r="T18" s="635">
        <f>'SC-Retro'!N151</f>
        <v>2.2963211849950944E-3</v>
      </c>
      <c r="U18" s="635">
        <f>'SC-Retro'!O151</f>
        <v>1.2273785667583558E-3</v>
      </c>
      <c r="V18" s="635">
        <f>'SC-Retro'!P151</f>
        <v>6.1229570682419423E-4</v>
      </c>
      <c r="W18" s="635">
        <f>'SC-Retro'!Q151</f>
        <v>2.8636185695045201E-4</v>
      </c>
      <c r="X18" s="635">
        <f>'SC-Retro'!R151</f>
        <v>1.260492270641378E-4</v>
      </c>
      <c r="Y18" s="635">
        <f>'SC-Retro'!S151</f>
        <v>5.2401246764282011E-5</v>
      </c>
      <c r="Z18" s="635">
        <f>'SC-Retro'!T151</f>
        <v>2.0637731478882425E-5</v>
      </c>
      <c r="AA18" s="635">
        <f>'SC-Retro'!U151</f>
        <v>7.7215751064967145E-6</v>
      </c>
      <c r="AB18" s="635">
        <f>'SC-Retro'!V151</f>
        <v>2.7514431486499591E-6</v>
      </c>
      <c r="AC18" s="635">
        <f>'SC-Retro'!W151</f>
        <v>9.3586197359945657E-7</v>
      </c>
      <c r="AD18" s="635">
        <f>'SC-Retro'!X151</f>
        <v>3.0447939181579903E-7</v>
      </c>
      <c r="AE18" s="635">
        <f>'SC-Retro'!Y151</f>
        <v>0.10637801646702523</v>
      </c>
      <c r="AF18" s="636">
        <f t="shared" si="2"/>
        <v>35.870327810848153</v>
      </c>
      <c r="AG18" s="636">
        <f t="shared" si="3"/>
        <v>26.031514235893539</v>
      </c>
      <c r="AH18" s="636">
        <f t="shared" si="4"/>
        <v>23.442460546163556</v>
      </c>
      <c r="AI18" s="636">
        <f t="shared" si="5"/>
        <v>18.719000652236829</v>
      </c>
      <c r="AJ18" s="636">
        <f t="shared" si="6"/>
        <v>7.7119612270387892</v>
      </c>
      <c r="AK18" s="636">
        <f t="shared" si="7"/>
        <v>2.1552532122878074</v>
      </c>
      <c r="AL18" s="636">
        <f t="shared" si="8"/>
        <v>0.52677138382881183</v>
      </c>
      <c r="AM18" s="636">
        <f t="shared" si="9"/>
        <v>0.4417882710939578</v>
      </c>
      <c r="AN18" s="636">
        <f t="shared" si="10"/>
        <v>4.1847156333314075</v>
      </c>
      <c r="AO18" s="636">
        <f t="shared" si="11"/>
        <v>14.35968576924339</v>
      </c>
      <c r="AP18" s="636">
        <f t="shared" si="12"/>
        <v>22.867393923296166</v>
      </c>
      <c r="AQ18" s="636">
        <f t="shared" si="13"/>
        <v>41.695514059413767</v>
      </c>
      <c r="AR18" s="636"/>
      <c r="AS18" s="636">
        <f t="shared" si="14"/>
        <v>22.588880554220101</v>
      </c>
      <c r="AT18" s="636">
        <f t="shared" si="15"/>
        <v>16.877480494436188</v>
      </c>
      <c r="AU18" s="636">
        <f t="shared" si="16"/>
        <v>13.031850604733156</v>
      </c>
      <c r="AV18" s="636">
        <f t="shared" si="17"/>
        <v>11.120662254797708</v>
      </c>
      <c r="AW18" s="636">
        <f t="shared" si="18"/>
        <v>4.3681551687479825</v>
      </c>
      <c r="AX18" s="636">
        <f t="shared" si="19"/>
        <v>1.0840747142959608</v>
      </c>
      <c r="AY18" s="636">
        <f t="shared" si="20"/>
        <v>0.29232588065956466</v>
      </c>
      <c r="AZ18" s="636">
        <f t="shared" si="21"/>
        <v>0.19563941303886184</v>
      </c>
      <c r="BA18" s="636">
        <f t="shared" si="22"/>
        <v>2.3857183481534356</v>
      </c>
      <c r="BB18" s="636">
        <f t="shared" si="23"/>
        <v>7.3786343708618558</v>
      </c>
      <c r="BC18" s="636">
        <f t="shared" si="24"/>
        <v>14.895982260919155</v>
      </c>
      <c r="BD18" s="636">
        <f t="shared" si="25"/>
        <v>26.580911268680381</v>
      </c>
    </row>
    <row r="19" spans="1:56" ht="15">
      <c r="A19" s="631" t="str">
        <f>VLOOKUP(CONCATENATE($C19," - ",$B19),[3]ACHIEV!$B$12:$C$100,2,FALSE)</f>
        <v>Retro12Med</v>
      </c>
      <c r="B19" s="631" t="str">
        <f>'SC-Retro'!$C$7</f>
        <v>Retro</v>
      </c>
      <c r="C19" s="631" t="str">
        <f>'SC-Retro'!$C$8</f>
        <v>ResWx</v>
      </c>
      <c r="D19" s="631" t="s">
        <v>314</v>
      </c>
      <c r="E19" s="631" t="s">
        <v>215</v>
      </c>
      <c r="F19" s="632">
        <f t="shared" si="1"/>
        <v>0.11308197199938973</v>
      </c>
      <c r="G19" s="633">
        <f>'SC-Retro'!A152</f>
        <v>216.91838694515957</v>
      </c>
      <c r="H19" s="633">
        <f>'SC-Retro'!B152</f>
        <v>34.673154471859185</v>
      </c>
      <c r="I19" s="634" t="str">
        <f>'SC-Retro'!C152</f>
        <v>Multifamily - Low Rise</v>
      </c>
      <c r="J19" s="637" t="str">
        <f>'SC-Retro'!D152</f>
        <v>ATTIC R0 - R19_Electric FAF</v>
      </c>
      <c r="K19" s="635">
        <f>'SC-Retro'!E152</f>
        <v>1.8838215452864659E-3</v>
      </c>
      <c r="L19" s="635">
        <f>'SC-Retro'!F152</f>
        <v>2.148057937065019E-3</v>
      </c>
      <c r="M19" s="635">
        <f>'SC-Retro'!G152</f>
        <v>2.3440945354891917E-3</v>
      </c>
      <c r="N19" s="635">
        <f>'SC-Retro'!H152</f>
        <v>2.4462304350203021E-3</v>
      </c>
      <c r="O19" s="635">
        <f>'SC-Retro'!I152</f>
        <v>2.3438778346567472E-3</v>
      </c>
      <c r="P19" s="635">
        <f>'SC-Retro'!J152</f>
        <v>1.9487960959362399E-3</v>
      </c>
      <c r="Q19" s="635">
        <f>'SC-Retro'!K152</f>
        <v>1.4582780512889901E-3</v>
      </c>
      <c r="R19" s="635">
        <f>'SC-Retro'!L152</f>
        <v>9.9202265967070365E-4</v>
      </c>
      <c r="S19" s="635">
        <f>'SC-Retro'!M152</f>
        <v>6.1860622309151071E-4</v>
      </c>
      <c r="T19" s="635">
        <f>'SC-Retro'!N152</f>
        <v>3.5607777753591017E-4</v>
      </c>
      <c r="U19" s="635">
        <f>'SC-Retro'!O152</f>
        <v>1.9032278023749523E-4</v>
      </c>
      <c r="V19" s="635">
        <f>'SC-Retro'!P152</f>
        <v>9.4945295939167167E-5</v>
      </c>
      <c r="W19" s="635">
        <f>'SC-Retro'!Q152</f>
        <v>4.4404543345355684E-5</v>
      </c>
      <c r="X19" s="635">
        <f>'SC-Retro'!R152</f>
        <v>1.9545753845933956E-5</v>
      </c>
      <c r="Y19" s="635">
        <f>'SC-Retro'!S152</f>
        <v>8.1255704166558932E-6</v>
      </c>
      <c r="Z19" s="635">
        <f>'SC-Retro'!T152</f>
        <v>3.2001784447235529E-6</v>
      </c>
      <c r="AA19" s="635">
        <f>'SC-Retro'!U152</f>
        <v>1.1973417834421245E-6</v>
      </c>
      <c r="AB19" s="635">
        <f>'SC-Retro'!V152</f>
        <v>4.2665101371251675E-7</v>
      </c>
      <c r="AC19" s="635">
        <f>'SC-Retro'!W152</f>
        <v>1.4511892056614766E-7</v>
      </c>
      <c r="AD19" s="635">
        <f>'SC-Retro'!X152</f>
        <v>4.7213928892741941E-8</v>
      </c>
      <c r="AE19" s="635">
        <f>'SC-Retro'!Y152</f>
        <v>1.649544842845567E-2</v>
      </c>
      <c r="AF19" s="636">
        <f t="shared" si="2"/>
        <v>24.406430597880984</v>
      </c>
      <c r="AG19" s="636">
        <f t="shared" si="3"/>
        <v>17.712030648461027</v>
      </c>
      <c r="AH19" s="636">
        <f t="shared" si="4"/>
        <v>15.950419783743135</v>
      </c>
      <c r="AI19" s="636">
        <f t="shared" si="5"/>
        <v>12.736543493264064</v>
      </c>
      <c r="AJ19" s="636">
        <f t="shared" si="6"/>
        <v>5.2472742221315309</v>
      </c>
      <c r="AK19" s="636">
        <f t="shared" si="7"/>
        <v>1.4664498809139441</v>
      </c>
      <c r="AL19" s="636">
        <f t="shared" si="8"/>
        <v>0.35841906124090217</v>
      </c>
      <c r="AM19" s="636">
        <f t="shared" si="9"/>
        <v>0.30059593640378163</v>
      </c>
      <c r="AN19" s="636">
        <f t="shared" si="10"/>
        <v>2.8473107972512723</v>
      </c>
      <c r="AO19" s="636">
        <f t="shared" si="11"/>
        <v>9.7704341031538284</v>
      </c>
      <c r="AP19" s="636">
        <f t="shared" si="12"/>
        <v>15.559140292399148</v>
      </c>
      <c r="AQ19" s="636">
        <f t="shared" si="13"/>
        <v>28.369929472077239</v>
      </c>
      <c r="AR19" s="636"/>
      <c r="AS19" s="636">
        <f t="shared" si="14"/>
        <v>15.369637780775005</v>
      </c>
      <c r="AT19" s="636">
        <f t="shared" si="15"/>
        <v>11.483559852775345</v>
      </c>
      <c r="AU19" s="636">
        <f t="shared" si="16"/>
        <v>8.8669654490914045</v>
      </c>
      <c r="AV19" s="636">
        <f t="shared" si="17"/>
        <v>7.5665790665596173</v>
      </c>
      <c r="AW19" s="636">
        <f t="shared" si="18"/>
        <v>2.9721243845053644</v>
      </c>
      <c r="AX19" s="636">
        <f t="shared" si="19"/>
        <v>0.73761227990172673</v>
      </c>
      <c r="AY19" s="636">
        <f t="shared" si="20"/>
        <v>0.19890064445199743</v>
      </c>
      <c r="AZ19" s="636">
        <f t="shared" si="21"/>
        <v>0.13311447226582376</v>
      </c>
      <c r="BA19" s="636">
        <f t="shared" si="22"/>
        <v>1.6232600269877855</v>
      </c>
      <c r="BB19" s="636">
        <f t="shared" si="23"/>
        <v>5.0204762172570998</v>
      </c>
      <c r="BC19" s="636">
        <f t="shared" si="24"/>
        <v>10.135334116696864</v>
      </c>
      <c r="BD19" s="636">
        <f t="shared" si="25"/>
        <v>18.085844364970711</v>
      </c>
    </row>
    <row r="20" spans="1:56" ht="15">
      <c r="A20" s="631" t="str">
        <f>VLOOKUP(CONCATENATE($C20," - ",$B20),[3]ACHIEV!$B$12:$C$100,2,FALSE)</f>
        <v>Retro12Med</v>
      </c>
      <c r="B20" s="631" t="str">
        <f>'SC-Retro'!$C$7</f>
        <v>Retro</v>
      </c>
      <c r="C20" s="631" t="str">
        <f>'SC-Retro'!$C$8</f>
        <v>ResWx</v>
      </c>
      <c r="D20" s="631" t="s">
        <v>314</v>
      </c>
      <c r="E20" s="631" t="s">
        <v>215</v>
      </c>
      <c r="F20" s="632">
        <f t="shared" si="1"/>
        <v>0.15383898002252869</v>
      </c>
      <c r="G20" s="633">
        <f>'SC-Retro'!A153</f>
        <v>295.10011901769491</v>
      </c>
      <c r="H20" s="633">
        <f>'SC-Retro'!B153</f>
        <v>67.735927767529191</v>
      </c>
      <c r="I20" s="634" t="str">
        <f>'SC-Retro'!C153</f>
        <v>Multifamily - Low Rise</v>
      </c>
      <c r="J20" s="637" t="str">
        <f>'SC-Retro'!D153</f>
        <v>ATTIC R0 - R38_Electric FAF</v>
      </c>
      <c r="K20" s="635">
        <f>'SC-Retro'!E153</f>
        <v>5.0909676396136618E-4</v>
      </c>
      <c r="L20" s="635">
        <f>'SC-Retro'!F153</f>
        <v>5.8050580602900671E-4</v>
      </c>
      <c r="M20" s="635">
        <f>'SC-Retro'!G153</f>
        <v>6.3348407147323371E-4</v>
      </c>
      <c r="N20" s="635">
        <f>'SC-Retro'!H153</f>
        <v>6.610859725480324E-4</v>
      </c>
      <c r="O20" s="635">
        <f>'SC-Retro'!I153</f>
        <v>6.334255087644562E-4</v>
      </c>
      <c r="P20" s="635">
        <f>'SC-Retro'!J153</f>
        <v>5.2665592903111994E-4</v>
      </c>
      <c r="Q20" s="635">
        <f>'SC-Retro'!K153</f>
        <v>3.940949920254878E-4</v>
      </c>
      <c r="R20" s="635">
        <f>'SC-Retro'!L153</f>
        <v>2.6809095961258039E-4</v>
      </c>
      <c r="S20" s="635">
        <f>'SC-Retro'!M153</f>
        <v>1.6717635867911294E-4</v>
      </c>
      <c r="T20" s="635">
        <f>'SC-Retro'!N153</f>
        <v>9.6228883630546216E-5</v>
      </c>
      <c r="U20" s="635">
        <f>'SC-Retro'!O153</f>
        <v>5.1434124304117634E-5</v>
      </c>
      <c r="V20" s="635">
        <f>'SC-Retro'!P153</f>
        <v>2.5658663389282933E-5</v>
      </c>
      <c r="W20" s="635">
        <f>'SC-Retro'!Q153</f>
        <v>1.2000186205994976E-5</v>
      </c>
      <c r="X20" s="635">
        <f>'SC-Retro'!R153</f>
        <v>5.2821776335705077E-6</v>
      </c>
      <c r="Y20" s="635">
        <f>'SC-Retro'!S153</f>
        <v>2.1959094877167197E-6</v>
      </c>
      <c r="Z20" s="635">
        <f>'SC-Retro'!T153</f>
        <v>8.6483801737172042E-7</v>
      </c>
      <c r="AA20" s="635">
        <f>'SC-Retro'!U153</f>
        <v>3.2357779792428393E-7</v>
      </c>
      <c r="AB20" s="635">
        <f>'SC-Retro'!V153</f>
        <v>1.1530107560631431E-7</v>
      </c>
      <c r="AC20" s="635">
        <f>'SC-Retro'!W153</f>
        <v>3.9217925410529109E-8</v>
      </c>
      <c r="AD20" s="635">
        <f>'SC-Retro'!X153</f>
        <v>1.275941368933745E-8</v>
      </c>
      <c r="AE20" s="635">
        <f>'SC-Retro'!Y153</f>
        <v>4.4578423237756123E-3</v>
      </c>
      <c r="AF20" s="636">
        <f t="shared" si="2"/>
        <v>33.202997107168493</v>
      </c>
      <c r="AG20" s="636">
        <f t="shared" si="3"/>
        <v>24.095801310413268</v>
      </c>
      <c r="AH20" s="636">
        <f t="shared" si="4"/>
        <v>21.699270600582103</v>
      </c>
      <c r="AI20" s="636">
        <f t="shared" si="5"/>
        <v>17.327048913038869</v>
      </c>
      <c r="AJ20" s="636">
        <f t="shared" si="6"/>
        <v>7.1384969678064927</v>
      </c>
      <c r="AK20" s="636">
        <f t="shared" si="7"/>
        <v>1.9949877946519832</v>
      </c>
      <c r="AL20" s="636">
        <f t="shared" si="8"/>
        <v>0.48760047094182435</v>
      </c>
      <c r="AM20" s="636">
        <f t="shared" si="9"/>
        <v>0.40893673357168042</v>
      </c>
      <c r="AN20" s="636">
        <f t="shared" si="10"/>
        <v>3.8735386473330395</v>
      </c>
      <c r="AO20" s="636">
        <f t="shared" si="11"/>
        <v>13.291894280147734</v>
      </c>
      <c r="AP20" s="636">
        <f t="shared" si="12"/>
        <v>21.166966142251493</v>
      </c>
      <c r="AQ20" s="636">
        <f t="shared" si="13"/>
        <v>38.595020374414688</v>
      </c>
      <c r="AR20" s="636"/>
      <c r="AS20" s="636">
        <f t="shared" si="14"/>
        <v>20.909163129229018</v>
      </c>
      <c r="AT20" s="636">
        <f t="shared" si="15"/>
        <v>15.622464868123743</v>
      </c>
      <c r="AU20" s="636">
        <f t="shared" si="16"/>
        <v>12.062797424425764</v>
      </c>
      <c r="AV20" s="636">
        <f t="shared" si="17"/>
        <v>10.293725739639831</v>
      </c>
      <c r="AW20" s="636">
        <f t="shared" si="18"/>
        <v>4.0433375517616428</v>
      </c>
      <c r="AX20" s="636">
        <f t="shared" si="19"/>
        <v>1.0034625217960114</v>
      </c>
      <c r="AY20" s="636">
        <f t="shared" si="20"/>
        <v>0.27058842118957782</v>
      </c>
      <c r="AZ20" s="636">
        <f t="shared" si="21"/>
        <v>0.18109159468603911</v>
      </c>
      <c r="BA20" s="636">
        <f t="shared" si="22"/>
        <v>2.2083154586700253</v>
      </c>
      <c r="BB20" s="636">
        <f t="shared" si="23"/>
        <v>6.8299564186443744</v>
      </c>
      <c r="BC20" s="636">
        <f t="shared" si="24"/>
        <v>13.788311568431055</v>
      </c>
      <c r="BD20" s="636">
        <f t="shared" si="25"/>
        <v>24.604344978776169</v>
      </c>
    </row>
    <row r="21" spans="1:56" ht="15">
      <c r="A21" s="631" t="str">
        <f>VLOOKUP(CONCATENATE($C21," - ",$B21),[3]ACHIEV!$B$12:$C$100,2,FALSE)</f>
        <v>Retro12Med</v>
      </c>
      <c r="B21" s="631" t="str">
        <f>'SC-Retro'!$C$7</f>
        <v>Retro</v>
      </c>
      <c r="C21" s="631" t="str">
        <f>'SC-Retro'!$C$8</f>
        <v>ResWx</v>
      </c>
      <c r="D21" s="631" t="s">
        <v>314</v>
      </c>
      <c r="E21" s="631" t="s">
        <v>215</v>
      </c>
      <c r="F21" s="632">
        <f t="shared" si="1"/>
        <v>0.16326643971431565</v>
      </c>
      <c r="G21" s="633">
        <f>'SC-Retro'!A154</f>
        <v>313.18425137916427</v>
      </c>
      <c r="H21" s="633">
        <f>'SC-Retro'!B154</f>
        <v>89.966208699924948</v>
      </c>
      <c r="I21" s="634" t="str">
        <f>'SC-Retro'!C154</f>
        <v>Multifamily - Low Rise</v>
      </c>
      <c r="J21" s="637" t="str">
        <f>'SC-Retro'!D154</f>
        <v>ATTIC R0 - R49_Electric FAF</v>
      </c>
      <c r="K21" s="635">
        <f>'SC-Retro'!E154</f>
        <v>3.2228392821695997E-3</v>
      </c>
      <c r="L21" s="635">
        <f>'SC-Retro'!F154</f>
        <v>3.6748945340767964E-3</v>
      </c>
      <c r="M21" s="635">
        <f>'SC-Retro'!G154</f>
        <v>4.0102736742746309E-3</v>
      </c>
      <c r="N21" s="635">
        <f>'SC-Retro'!H154</f>
        <v>4.1850076292780664E-3</v>
      </c>
      <c r="O21" s="635">
        <f>'SC-Retro'!I154</f>
        <v>4.0099029427915827E-3</v>
      </c>
      <c r="P21" s="635">
        <f>'SC-Retro'!J154</f>
        <v>3.3339976531412867E-3</v>
      </c>
      <c r="Q21" s="635">
        <f>'SC-Retro'!K154</f>
        <v>2.494820063917047E-3</v>
      </c>
      <c r="R21" s="635">
        <f>'SC-Retro'!L154</f>
        <v>1.6971509877826206E-3</v>
      </c>
      <c r="S21" s="635">
        <f>'SC-Retro'!M154</f>
        <v>1.0583106669324782E-3</v>
      </c>
      <c r="T21" s="635">
        <f>'SC-Retro'!N154</f>
        <v>6.0917736705037558E-4</v>
      </c>
      <c r="U21" s="635">
        <f>'SC-Retro'!O154</f>
        <v>3.256039479832243E-4</v>
      </c>
      <c r="V21" s="635">
        <f>'SC-Retro'!P154</f>
        <v>1.6243228036944148E-4</v>
      </c>
      <c r="W21" s="635">
        <f>'SC-Retro'!Q154</f>
        <v>7.5967231056619529E-5</v>
      </c>
      <c r="X21" s="635">
        <f>'SC-Retro'!R154</f>
        <v>3.3438848521458223E-5</v>
      </c>
      <c r="Y21" s="635">
        <f>'SC-Retro'!S154</f>
        <v>1.3901214578608923E-5</v>
      </c>
      <c r="Z21" s="635">
        <f>'SC-Retro'!T154</f>
        <v>5.4748608366930632E-6</v>
      </c>
      <c r="AA21" s="635">
        <f>'SC-Retro'!U154</f>
        <v>2.0484106594467713E-6</v>
      </c>
      <c r="AB21" s="635">
        <f>'SC-Retro'!V154</f>
        <v>7.299139614421832E-7</v>
      </c>
      <c r="AC21" s="635">
        <f>'SC-Retro'!W154</f>
        <v>2.4826924766672092E-7</v>
      </c>
      <c r="AD21" s="635">
        <f>'SC-Retro'!X154</f>
        <v>8.0773523947541489E-8</v>
      </c>
      <c r="AE21" s="635">
        <f>'SC-Retro'!Y154</f>
        <v>2.8220390251532848E-2</v>
      </c>
      <c r="AF21" s="636">
        <f t="shared" si="2"/>
        <v>35.237721445749713</v>
      </c>
      <c r="AG21" s="636">
        <f t="shared" si="3"/>
        <v>25.572424436502391</v>
      </c>
      <c r="AH21" s="636">
        <f t="shared" si="4"/>
        <v>23.029031100152551</v>
      </c>
      <c r="AI21" s="636">
        <f t="shared" si="5"/>
        <v>18.388873784611558</v>
      </c>
      <c r="AJ21" s="636">
        <f t="shared" si="6"/>
        <v>7.575953667103926</v>
      </c>
      <c r="AK21" s="636">
        <f t="shared" si="7"/>
        <v>2.1172433310377174</v>
      </c>
      <c r="AL21" s="636">
        <f t="shared" si="8"/>
        <v>0.51748128388550885</v>
      </c>
      <c r="AM21" s="636">
        <f t="shared" si="9"/>
        <v>0.43399692684437025</v>
      </c>
      <c r="AN21" s="636">
        <f t="shared" si="10"/>
        <v>4.1109143076303418</v>
      </c>
      <c r="AO21" s="636">
        <f t="shared" si="11"/>
        <v>14.106439446367867</v>
      </c>
      <c r="AP21" s="636">
        <f t="shared" si="12"/>
        <v>22.464106308380209</v>
      </c>
      <c r="AQ21" s="636">
        <f t="shared" si="13"/>
        <v>40.960175153978405</v>
      </c>
      <c r="AR21" s="636"/>
      <c r="AS21" s="636">
        <f t="shared" si="14"/>
        <v>22.190504779836282</v>
      </c>
      <c r="AT21" s="636">
        <f t="shared" si="15"/>
        <v>16.579830535843499</v>
      </c>
      <c r="AU21" s="636">
        <f t="shared" si="16"/>
        <v>12.802021881532223</v>
      </c>
      <c r="AV21" s="636">
        <f t="shared" si="17"/>
        <v>10.924539103551584</v>
      </c>
      <c r="AW21" s="636">
        <f t="shared" si="18"/>
        <v>4.291118717393001</v>
      </c>
      <c r="AX21" s="636">
        <f t="shared" si="19"/>
        <v>1.0649560553274053</v>
      </c>
      <c r="AY21" s="636">
        <f t="shared" si="20"/>
        <v>0.2871704437267491</v>
      </c>
      <c r="AZ21" s="636">
        <f t="shared" si="21"/>
        <v>0.19218913127380147</v>
      </c>
      <c r="BA21" s="636">
        <f t="shared" si="22"/>
        <v>2.3436440013470041</v>
      </c>
      <c r="BB21" s="636">
        <f t="shared" si="23"/>
        <v>7.2485053379364945</v>
      </c>
      <c r="BC21" s="636">
        <f t="shared" si="24"/>
        <v>14.633277854024913</v>
      </c>
      <c r="BD21" s="636">
        <f t="shared" si="25"/>
        <v>26.112132345126785</v>
      </c>
    </row>
    <row r="22" spans="1:56" ht="15">
      <c r="A22" s="631" t="str">
        <f>VLOOKUP(CONCATENATE($C22," - ",$B22),[3]ACHIEV!$B$12:$C$100,2,FALSE)</f>
        <v>Retro12Med</v>
      </c>
      <c r="B22" s="631" t="str">
        <f>'SC-Retro'!$C$7</f>
        <v>Retro</v>
      </c>
      <c r="C22" s="631" t="str">
        <f>'SC-Retro'!$C$8</f>
        <v>ResWx</v>
      </c>
      <c r="D22" s="631" t="s">
        <v>314</v>
      </c>
      <c r="E22" s="631" t="s">
        <v>215</v>
      </c>
      <c r="F22" s="632">
        <f t="shared" si="1"/>
        <v>2.9549706831985219E-2</v>
      </c>
      <c r="G22" s="633">
        <f>'SC-Retro'!A155</f>
        <v>56.683436160197026</v>
      </c>
      <c r="H22" s="633">
        <f>'SC-Retro'!B155</f>
        <v>120.1574086804076</v>
      </c>
      <c r="I22" s="634" t="str">
        <f>'SC-Retro'!C155</f>
        <v>Multifamily - Low Rise</v>
      </c>
      <c r="J22" s="637" t="str">
        <f>'SC-Retro'!D155</f>
        <v>ATTIC R19 - R30_Electric FAF</v>
      </c>
      <c r="K22" s="635">
        <f>'SC-Retro'!E155</f>
        <v>3.3722973198974722E-4</v>
      </c>
      <c r="L22" s="635">
        <f>'SC-Retro'!F155</f>
        <v>3.8453164750524736E-4</v>
      </c>
      <c r="M22" s="635">
        <f>'SC-Retro'!G155</f>
        <v>4.1962487048710498E-4</v>
      </c>
      <c r="N22" s="635">
        <f>'SC-Retro'!H155</f>
        <v>4.379085885556178E-4</v>
      </c>
      <c r="O22" s="635">
        <f>'SC-Retro'!I155</f>
        <v>4.1958607808459196E-4</v>
      </c>
      <c r="P22" s="635">
        <f>'SC-Retro'!J155</f>
        <v>3.4886106212109755E-4</v>
      </c>
      <c r="Q22" s="635">
        <f>'SC-Retro'!K155</f>
        <v>2.6105164665580599E-4</v>
      </c>
      <c r="R22" s="635">
        <f>'SC-Retro'!L155</f>
        <v>1.7758557676843823E-4</v>
      </c>
      <c r="S22" s="635">
        <f>'SC-Retro'!M155</f>
        <v>1.1073894517360825E-4</v>
      </c>
      <c r="T22" s="635">
        <f>'SC-Retro'!N155</f>
        <v>6.3742775310322535E-5</v>
      </c>
      <c r="U22" s="635">
        <f>'SC-Retro'!O155</f>
        <v>3.4070371650449549E-5</v>
      </c>
      <c r="V22" s="635">
        <f>'SC-Retro'!P155</f>
        <v>1.6996502021842867E-5</v>
      </c>
      <c r="W22" s="635">
        <f>'SC-Retro'!Q155</f>
        <v>7.9490184667169654E-6</v>
      </c>
      <c r="X22" s="635">
        <f>'SC-Retro'!R155</f>
        <v>3.4989563355904539E-6</v>
      </c>
      <c r="Y22" s="635">
        <f>'SC-Retro'!S155</f>
        <v>1.4545878513434218E-6</v>
      </c>
      <c r="Z22" s="635">
        <f>'SC-Retro'!T155</f>
        <v>5.7287555816194911E-7</v>
      </c>
      <c r="AA22" s="635">
        <f>'SC-Retro'!U155</f>
        <v>2.1434049830283281E-7</v>
      </c>
      <c r="AB22" s="635">
        <f>'SC-Retro'!V155</f>
        <v>7.6376346457778063E-8</v>
      </c>
      <c r="AC22" s="635">
        <f>'SC-Retro'!W155</f>
        <v>2.5978264667167034E-8</v>
      </c>
      <c r="AD22" s="635">
        <f>'SC-Retro'!X155</f>
        <v>8.4519367699774117E-9</v>
      </c>
      <c r="AE22" s="635">
        <f>'SC-Retro'!Y155</f>
        <v>2.9529100919869215E-3</v>
      </c>
      <c r="AF22" s="636">
        <f t="shared" si="2"/>
        <v>6.3776997891977771</v>
      </c>
      <c r="AG22" s="636">
        <f t="shared" si="3"/>
        <v>4.6283709401882813</v>
      </c>
      <c r="AH22" s="636">
        <f t="shared" si="4"/>
        <v>4.1680404057620279</v>
      </c>
      <c r="AI22" s="636">
        <f t="shared" si="5"/>
        <v>3.3282150958670322</v>
      </c>
      <c r="AJ22" s="636">
        <f t="shared" si="6"/>
        <v>1.3711771398172719</v>
      </c>
      <c r="AK22" s="636">
        <f t="shared" si="7"/>
        <v>0.38320134764753255</v>
      </c>
      <c r="AL22" s="636">
        <f t="shared" si="8"/>
        <v>9.3659298607926392E-2</v>
      </c>
      <c r="AM22" s="636">
        <f t="shared" si="9"/>
        <v>7.8549406581499615E-2</v>
      </c>
      <c r="AN22" s="636">
        <f t="shared" si="10"/>
        <v>0.74403724864981369</v>
      </c>
      <c r="AO22" s="636">
        <f t="shared" si="11"/>
        <v>2.5531343172100334</v>
      </c>
      <c r="AP22" s="636">
        <f t="shared" si="12"/>
        <v>4.0657942735611723</v>
      </c>
      <c r="AQ22" s="636">
        <f t="shared" si="13"/>
        <v>7.4134106783042641</v>
      </c>
      <c r="AR22" s="636"/>
      <c r="AS22" s="636">
        <f t="shared" si="14"/>
        <v>4.0162749420230863</v>
      </c>
      <c r="AT22" s="636">
        <f t="shared" si="15"/>
        <v>3.0007950961352008</v>
      </c>
      <c r="AU22" s="636">
        <f t="shared" si="16"/>
        <v>2.317046872081495</v>
      </c>
      <c r="AV22" s="636">
        <f t="shared" si="17"/>
        <v>1.9772399542084367</v>
      </c>
      <c r="AW22" s="636">
        <f t="shared" si="18"/>
        <v>0.77665257049816916</v>
      </c>
      <c r="AX22" s="636">
        <f t="shared" si="19"/>
        <v>0.19274713945460623</v>
      </c>
      <c r="AY22" s="636">
        <f t="shared" si="20"/>
        <v>5.1975178963815476E-2</v>
      </c>
      <c r="AZ22" s="636">
        <f t="shared" si="21"/>
        <v>3.478444495618406E-2</v>
      </c>
      <c r="BA22" s="636">
        <f t="shared" si="22"/>
        <v>0.4241777629225314</v>
      </c>
      <c r="BB22" s="636">
        <f t="shared" si="23"/>
        <v>1.3119120382663829</v>
      </c>
      <c r="BC22" s="636">
        <f t="shared" si="24"/>
        <v>2.6484871681776689</v>
      </c>
      <c r="BD22" s="636">
        <f t="shared" si="25"/>
        <v>4.7260530511148193</v>
      </c>
    </row>
    <row r="23" spans="1:56" ht="15">
      <c r="A23" s="631" t="str">
        <f>VLOOKUP(CONCATENATE($C23," - ",$B23),[3]ACHIEV!$B$12:$C$100,2,FALSE)</f>
        <v>Retro12Med</v>
      </c>
      <c r="B23" s="631" t="str">
        <f>'SC-Retro'!$C$7</f>
        <v>Retro</v>
      </c>
      <c r="C23" s="631" t="str">
        <f>'SC-Retro'!$C$8</f>
        <v>ResWx</v>
      </c>
      <c r="D23" s="631" t="s">
        <v>314</v>
      </c>
      <c r="E23" s="631" t="s">
        <v>215</v>
      </c>
      <c r="F23" s="632">
        <f t="shared" si="1"/>
        <v>4.0757008023138926E-2</v>
      </c>
      <c r="G23" s="633">
        <f>'SC-Retro'!A156</f>
        <v>78.181732072535269</v>
      </c>
      <c r="H23" s="633">
        <f>'SC-Retro'!B156</f>
        <v>159.46993341192052</v>
      </c>
      <c r="I23" s="634" t="str">
        <f>'SC-Retro'!C156</f>
        <v>Multifamily - Low Rise</v>
      </c>
      <c r="J23" s="637" t="str">
        <f>'SC-Retro'!D156</f>
        <v>ATTIC R19 - R38_Electric FAF</v>
      </c>
      <c r="K23" s="635">
        <f>'SC-Retro'!E156</f>
        <v>1.2608415124644757E-4</v>
      </c>
      <c r="L23" s="635">
        <f>'SC-Retro'!F156</f>
        <v>1.4376948947245055E-4</v>
      </c>
      <c r="M23" s="635">
        <f>'SC-Retro'!G156</f>
        <v>1.5689021642633716E-4</v>
      </c>
      <c r="N23" s="635">
        <f>'SC-Retro'!H156</f>
        <v>1.6372617083847032E-4</v>
      </c>
      <c r="O23" s="635">
        <f>'SC-Retro'!I156</f>
        <v>1.5687571264247211E-4</v>
      </c>
      <c r="P23" s="635">
        <f>'SC-Retro'!J156</f>
        <v>1.3043289706676908E-4</v>
      </c>
      <c r="Q23" s="635">
        <f>'SC-Retro'!K156</f>
        <v>9.7602530790747501E-5</v>
      </c>
      <c r="R23" s="635">
        <f>'SC-Retro'!L156</f>
        <v>6.639606356280631E-5</v>
      </c>
      <c r="S23" s="635">
        <f>'SC-Retro'!M156</f>
        <v>4.1403306374438511E-5</v>
      </c>
      <c r="T23" s="635">
        <f>'SC-Retro'!N156</f>
        <v>2.3832280966671642E-5</v>
      </c>
      <c r="U23" s="635">
        <f>'SC-Retro'!O156</f>
        <v>1.2738301177811224E-5</v>
      </c>
      <c r="V23" s="635">
        <f>'SC-Retro'!P156</f>
        <v>6.3546874083087727E-6</v>
      </c>
      <c r="W23" s="635">
        <f>'SC-Retro'!Q156</f>
        <v>2.9719955020123134E-6</v>
      </c>
      <c r="X23" s="635">
        <f>'SC-Retro'!R156</f>
        <v>1.3081970478057236E-6</v>
      </c>
      <c r="Y23" s="635">
        <f>'SC-Retro'!S156</f>
        <v>5.4384432110394442E-7</v>
      </c>
      <c r="Z23" s="635">
        <f>'SC-Retro'!T156</f>
        <v>2.1418790121056201E-7</v>
      </c>
      <c r="AA23" s="635">
        <f>'SC-Retro'!U156</f>
        <v>8.013806981608297E-8</v>
      </c>
      <c r="AB23" s="635">
        <f>'SC-Retro'!V156</f>
        <v>2.8555746735659546E-8</v>
      </c>
      <c r="AC23" s="635">
        <f>'SC-Retro'!W156</f>
        <v>9.7128074446143905E-9</v>
      </c>
      <c r="AD23" s="635">
        <f>'SC-Retro'!X156</f>
        <v>3.1600276397445362E-9</v>
      </c>
      <c r="AE23" s="635">
        <f>'SC-Retro'!Y156</f>
        <v>1.1040401463372749E-3</v>
      </c>
      <c r="AF23" s="636">
        <f t="shared" si="2"/>
        <v>8.7965665092875014</v>
      </c>
      <c r="AG23" s="636">
        <f t="shared" si="3"/>
        <v>6.3837706619522381</v>
      </c>
      <c r="AH23" s="636">
        <f t="shared" si="4"/>
        <v>5.7488508168389663</v>
      </c>
      <c r="AI23" s="636">
        <f t="shared" si="5"/>
        <v>4.5905054197748045</v>
      </c>
      <c r="AJ23" s="636">
        <f t="shared" si="6"/>
        <v>1.8912227456749608</v>
      </c>
      <c r="AK23" s="636">
        <f t="shared" si="7"/>
        <v>0.5285379137380386</v>
      </c>
      <c r="AL23" s="636">
        <f t="shared" si="8"/>
        <v>0.12918140970092215</v>
      </c>
      <c r="AM23" s="636">
        <f t="shared" si="9"/>
        <v>0.10834079716789873</v>
      </c>
      <c r="AN23" s="636">
        <f t="shared" si="10"/>
        <v>1.0262278500817661</v>
      </c>
      <c r="AO23" s="636">
        <f t="shared" si="11"/>
        <v>3.5214601769939047</v>
      </c>
      <c r="AP23" s="636">
        <f t="shared" si="12"/>
        <v>5.6078258498523397</v>
      </c>
      <c r="AQ23" s="636">
        <f t="shared" si="13"/>
        <v>10.225090902337444</v>
      </c>
      <c r="AR23" s="636"/>
      <c r="AS23" s="636">
        <f t="shared" si="14"/>
        <v>5.5395253484540108</v>
      </c>
      <c r="AT23" s="636">
        <f t="shared" si="15"/>
        <v>4.1389050153483939</v>
      </c>
      <c r="AU23" s="636">
        <f t="shared" si="16"/>
        <v>3.195831975334356</v>
      </c>
      <c r="AV23" s="636">
        <f t="shared" si="17"/>
        <v>2.7271466730802119</v>
      </c>
      <c r="AW23" s="636">
        <f t="shared" si="18"/>
        <v>1.0712131672562777</v>
      </c>
      <c r="AX23" s="636">
        <f t="shared" si="19"/>
        <v>0.26585024189428452</v>
      </c>
      <c r="AY23" s="636">
        <f t="shared" si="20"/>
        <v>7.1687776737580339E-2</v>
      </c>
      <c r="AZ23" s="636">
        <f t="shared" si="21"/>
        <v>4.7977122420215325E-2</v>
      </c>
      <c r="BA23" s="636">
        <f t="shared" si="22"/>
        <v>0.5850554316822395</v>
      </c>
      <c r="BB23" s="636">
        <f t="shared" si="23"/>
        <v>1.8094802013872737</v>
      </c>
      <c r="BC23" s="636">
        <f t="shared" si="24"/>
        <v>3.65297745173419</v>
      </c>
      <c r="BD23" s="636">
        <f t="shared" si="25"/>
        <v>6.5185006138054549</v>
      </c>
    </row>
    <row r="24" spans="1:56" ht="15">
      <c r="A24" s="631" t="str">
        <f>VLOOKUP(CONCATENATE($C24," - ",$B24),[3]ACHIEV!$B$12:$C$100,2,FALSE)</f>
        <v>Retro12Med</v>
      </c>
      <c r="B24" s="631" t="str">
        <f>'SC-Retro'!$C$7</f>
        <v>Retro</v>
      </c>
      <c r="C24" s="631" t="str">
        <f>'SC-Retro'!$C$8</f>
        <v>ResWx</v>
      </c>
      <c r="D24" s="631" t="s">
        <v>314</v>
      </c>
      <c r="E24" s="631" t="s">
        <v>215</v>
      </c>
      <c r="F24" s="632">
        <f t="shared" si="1"/>
        <v>5.0184467714925893E-2</v>
      </c>
      <c r="G24" s="633">
        <f>'SC-Retro'!A157</f>
        <v>96.265864434004669</v>
      </c>
      <c r="H24" s="633">
        <f>'SC-Retro'!B157</f>
        <v>214.55949213369954</v>
      </c>
      <c r="I24" s="634" t="str">
        <f>'SC-Retro'!C157</f>
        <v>Multifamily - Low Rise</v>
      </c>
      <c r="J24" s="637" t="str">
        <f>'SC-Retro'!D157</f>
        <v>ATTIC R19 - R49_Electric FAF</v>
      </c>
      <c r="K24" s="635">
        <f>'SC-Retro'!E157</f>
        <v>2.2803796232660862E-3</v>
      </c>
      <c r="L24" s="635">
        <f>'SC-Retro'!F157</f>
        <v>2.600239689122557E-3</v>
      </c>
      <c r="M24" s="635">
        <f>'SC-Retro'!G157</f>
        <v>2.8375434112184314E-3</v>
      </c>
      <c r="N24" s="635">
        <f>'SC-Retro'!H157</f>
        <v>2.961179657272342E-3</v>
      </c>
      <c r="O24" s="635">
        <f>'SC-Retro'!I157</f>
        <v>2.837281093291402E-3</v>
      </c>
      <c r="P24" s="635">
        <f>'SC-Retro'!J157</f>
        <v>2.3590317873754436E-3</v>
      </c>
      <c r="Q24" s="635">
        <f>'SC-Retro'!K157</f>
        <v>1.7652561419823358E-3</v>
      </c>
      <c r="R24" s="635">
        <f>'SC-Retro'!L157</f>
        <v>1.20085061379171E-3</v>
      </c>
      <c r="S24" s="635">
        <f>'SC-Retro'!M157</f>
        <v>7.4882731301863421E-4</v>
      </c>
      <c r="T24" s="635">
        <f>'SC-Retro'!N157</f>
        <v>4.3103472843404996E-4</v>
      </c>
      <c r="U24" s="635">
        <f>'SC-Retro'!O157</f>
        <v>2.3038710380124432E-4</v>
      </c>
      <c r="V24" s="635">
        <f>'SC-Retro'!P157</f>
        <v>1.1493196833127896E-4</v>
      </c>
      <c r="W24" s="635">
        <f>'SC-Retro'!Q157</f>
        <v>5.3752021298698248E-5</v>
      </c>
      <c r="X24" s="635">
        <f>'SC-Retro'!R157</f>
        <v>2.366027658148727E-5</v>
      </c>
      <c r="Y24" s="635">
        <f>'SC-Retro'!S157</f>
        <v>9.8360618350068418E-6</v>
      </c>
      <c r="Z24" s="635">
        <f>'SC-Retro'!T157</f>
        <v>3.8738391831341027E-6</v>
      </c>
      <c r="AA24" s="635">
        <f>'SC-Retro'!U157</f>
        <v>1.449390900044778E-6</v>
      </c>
      <c r="AB24" s="635">
        <f>'SC-Retro'!V157</f>
        <v>5.1646414191950095E-7</v>
      </c>
      <c r="AC24" s="635">
        <f>'SC-Retro'!W157</f>
        <v>1.756675043012581E-7</v>
      </c>
      <c r="AD24" s="635">
        <f>'SC-Retro'!X157</f>
        <v>5.7152802849470707E-8</v>
      </c>
      <c r="AE24" s="635">
        <f>'SC-Retro'!Y157</f>
        <v>1.9967859783218897E-2</v>
      </c>
      <c r="AF24" s="636">
        <f t="shared" si="2"/>
        <v>10.831290847868727</v>
      </c>
      <c r="AG24" s="636">
        <f t="shared" si="3"/>
        <v>7.860393788041363</v>
      </c>
      <c r="AH24" s="636">
        <f t="shared" si="4"/>
        <v>7.0786113164094138</v>
      </c>
      <c r="AI24" s="636">
        <f t="shared" si="5"/>
        <v>5.6523302913474947</v>
      </c>
      <c r="AJ24" s="636">
        <f t="shared" si="6"/>
        <v>2.3286794449723942</v>
      </c>
      <c r="AK24" s="636">
        <f t="shared" si="7"/>
        <v>0.65079345012377321</v>
      </c>
      <c r="AL24" s="636">
        <f t="shared" si="8"/>
        <v>0.15906222264460662</v>
      </c>
      <c r="AM24" s="636">
        <f t="shared" si="9"/>
        <v>0.13340099044058859</v>
      </c>
      <c r="AN24" s="636">
        <f t="shared" si="10"/>
        <v>1.2636035103790684</v>
      </c>
      <c r="AO24" s="636">
        <f t="shared" si="11"/>
        <v>4.3360053432140386</v>
      </c>
      <c r="AP24" s="636">
        <f t="shared" si="12"/>
        <v>6.9049660159810582</v>
      </c>
      <c r="AQ24" s="636">
        <f t="shared" si="13"/>
        <v>12.590245681901163</v>
      </c>
      <c r="AR24" s="636"/>
      <c r="AS24" s="636">
        <f t="shared" si="14"/>
        <v>6.8208669990612742</v>
      </c>
      <c r="AT24" s="636">
        <f t="shared" si="15"/>
        <v>5.096270683068151</v>
      </c>
      <c r="AU24" s="636">
        <f t="shared" si="16"/>
        <v>3.9350564324408173</v>
      </c>
      <c r="AV24" s="636">
        <f t="shared" si="17"/>
        <v>3.3579600369919662</v>
      </c>
      <c r="AW24" s="636">
        <f t="shared" si="18"/>
        <v>1.3189943328876363</v>
      </c>
      <c r="AX24" s="636">
        <f t="shared" si="19"/>
        <v>0.32734377542567838</v>
      </c>
      <c r="AY24" s="636">
        <f t="shared" si="20"/>
        <v>8.8269799274751662E-2</v>
      </c>
      <c r="AZ24" s="636">
        <f t="shared" si="21"/>
        <v>5.9074659007977696E-2</v>
      </c>
      <c r="BA24" s="636">
        <f t="shared" si="22"/>
        <v>0.72038397435921864</v>
      </c>
      <c r="BB24" s="636">
        <f t="shared" si="23"/>
        <v>2.2280291206793943</v>
      </c>
      <c r="BC24" s="636">
        <f t="shared" si="24"/>
        <v>4.4979437373280478</v>
      </c>
      <c r="BD24" s="636">
        <f t="shared" si="25"/>
        <v>8.02628798015607</v>
      </c>
    </row>
    <row r="25" spans="1:56" ht="15">
      <c r="A25" s="631" t="str">
        <f>VLOOKUP(CONCATENATE($C25," - ",$B25),[3]ACHIEV!$B$12:$C$100,2,FALSE)</f>
        <v>Retro12Med</v>
      </c>
      <c r="B25" s="631" t="str">
        <f>'SC-Retro'!$C$7</f>
        <v>Retro</v>
      </c>
      <c r="C25" s="631" t="str">
        <f>'SC-Retro'!$C$8</f>
        <v>ResWx</v>
      </c>
      <c r="D25" s="631" t="s">
        <v>314</v>
      </c>
      <c r="E25" s="631" t="s">
        <v>215</v>
      </c>
      <c r="F25" s="632">
        <f t="shared" si="1"/>
        <v>2.423037010894967</v>
      </c>
      <c r="G25" s="633">
        <f>'SC-Retro'!A158</f>
        <v>4647.967050968954</v>
      </c>
      <c r="H25" s="633">
        <f>'SC-Retro'!B158</f>
        <v>20.648824313224956</v>
      </c>
      <c r="I25" s="634" t="str">
        <f>'SC-Retro'!C158</f>
        <v>Multifamily - Low Rise</v>
      </c>
      <c r="J25" s="637" t="str">
        <f>'SC-Retro'!D158</f>
        <v>WINDOW CL22 Prime Window Replacement of Single Pane Base_Electric FAF</v>
      </c>
      <c r="K25" s="635">
        <f>'SC-Retro'!E158</f>
        <v>2.3782218844182308E-2</v>
      </c>
      <c r="L25" s="635">
        <f>'SC-Retro'!F158</f>
        <v>2.7118059073634102E-2</v>
      </c>
      <c r="M25" s="635">
        <f>'SC-Retro'!G158</f>
        <v>2.9592914134538399E-2</v>
      </c>
      <c r="N25" s="635">
        <f>'SC-Retro'!H158</f>
        <v>3.0882324121686046E-2</v>
      </c>
      <c r="O25" s="635">
        <f>'SC-Retro'!I158</f>
        <v>2.9590178404801253E-2</v>
      </c>
      <c r="P25" s="635">
        <f>'SC-Retro'!J158</f>
        <v>2.4602487083879264E-2</v>
      </c>
      <c r="Q25" s="635">
        <f>'SC-Retro'!K158</f>
        <v>1.8409964488514563E-2</v>
      </c>
      <c r="R25" s="635">
        <f>'SC-Retro'!L158</f>
        <v>1.2523744645403149E-2</v>
      </c>
      <c r="S25" s="635">
        <f>'SC-Retro'!M158</f>
        <v>7.8095659393778698E-3</v>
      </c>
      <c r="T25" s="635">
        <f>'SC-Retro'!N158</f>
        <v>4.4952875988162307E-3</v>
      </c>
      <c r="U25" s="635">
        <f>'SC-Retro'!O158</f>
        <v>2.4027212248244187E-3</v>
      </c>
      <c r="V25" s="635">
        <f>'SC-Retro'!P158</f>
        <v>1.1986325413363714E-3</v>
      </c>
      <c r="W25" s="635">
        <f>'SC-Retro'!Q158</f>
        <v>5.6058312431851915E-4</v>
      </c>
      <c r="X25" s="635">
        <f>'SC-Retro'!R158</f>
        <v>2.4675447448916006E-4</v>
      </c>
      <c r="Y25" s="635">
        <f>'SC-Retro'!S158</f>
        <v>1.0258089168065975E-4</v>
      </c>
      <c r="Z25" s="635">
        <f>'SC-Retro'!T158</f>
        <v>4.0400506249267434E-5</v>
      </c>
      <c r="AA25" s="635">
        <f>'SC-Retro'!U158</f>
        <v>1.511578652253602E-5</v>
      </c>
      <c r="AB25" s="635">
        <f>'SC-Retro'!V158</f>
        <v>5.3862361876004162E-6</v>
      </c>
      <c r="AC25" s="635">
        <f>'SC-Retro'!W158</f>
        <v>1.8320471681466059E-6</v>
      </c>
      <c r="AD25" s="635">
        <f>'SC-Retro'!X158</f>
        <v>5.9605008352853445E-7</v>
      </c>
      <c r="AE25" s="635">
        <f>'SC-Retro'!Y158</f>
        <v>0.20824603341013412</v>
      </c>
      <c r="AF25" s="636">
        <f t="shared" si="2"/>
        <v>522.96297629850449</v>
      </c>
      <c r="AG25" s="636">
        <f t="shared" si="3"/>
        <v>379.52031646174919</v>
      </c>
      <c r="AH25" s="636">
        <f t="shared" si="4"/>
        <v>341.77381939828115</v>
      </c>
      <c r="AI25" s="636">
        <f t="shared" si="5"/>
        <v>272.90925095663209</v>
      </c>
      <c r="AJ25" s="636">
        <f t="shared" si="6"/>
        <v>112.43471812295962</v>
      </c>
      <c r="AK25" s="636">
        <f t="shared" si="7"/>
        <v>31.422005411226642</v>
      </c>
      <c r="AL25" s="636">
        <f t="shared" si="8"/>
        <v>7.6799390339745974</v>
      </c>
      <c r="AM25" s="636">
        <f t="shared" si="9"/>
        <v>6.4409478040843089</v>
      </c>
      <c r="AN25" s="636">
        <f t="shared" si="10"/>
        <v>61.010073677331356</v>
      </c>
      <c r="AO25" s="636">
        <f t="shared" si="11"/>
        <v>209.3536487370406</v>
      </c>
      <c r="AP25" s="636">
        <f t="shared" si="12"/>
        <v>333.38977132795077</v>
      </c>
      <c r="AQ25" s="636">
        <f t="shared" si="13"/>
        <v>607.88990403964692</v>
      </c>
      <c r="AR25" s="636"/>
      <c r="AS25" s="636">
        <f t="shared" si="14"/>
        <v>329.32925141302275</v>
      </c>
      <c r="AT25" s="636">
        <f t="shared" si="15"/>
        <v>246.06124254936395</v>
      </c>
      <c r="AU25" s="636">
        <f t="shared" si="16"/>
        <v>189.99478942223729</v>
      </c>
      <c r="AV25" s="636">
        <f t="shared" si="17"/>
        <v>162.13107005452636</v>
      </c>
      <c r="AW25" s="636">
        <f t="shared" si="18"/>
        <v>63.684487078796131</v>
      </c>
      <c r="AX25" s="636">
        <f t="shared" si="19"/>
        <v>15.805011376191308</v>
      </c>
      <c r="AY25" s="636">
        <f t="shared" si="20"/>
        <v>4.2618961667970501</v>
      </c>
      <c r="AZ25" s="636">
        <f t="shared" si="21"/>
        <v>2.852278637195885</v>
      </c>
      <c r="BA25" s="636">
        <f t="shared" si="22"/>
        <v>34.782017452958755</v>
      </c>
      <c r="BB25" s="636">
        <f t="shared" si="23"/>
        <v>107.57505791283479</v>
      </c>
      <c r="BC25" s="636">
        <f t="shared" si="24"/>
        <v>217.17245683224803</v>
      </c>
      <c r="BD25" s="636">
        <f t="shared" si="25"/>
        <v>387.53012080340011</v>
      </c>
    </row>
    <row r="26" spans="1:56" ht="15">
      <c r="A26" s="631" t="str">
        <f>VLOOKUP(CONCATENATE($C26," - ",$B26),[3]ACHIEV!$B$12:$C$100,2,FALSE)</f>
        <v>Retro12Med</v>
      </c>
      <c r="B26" s="631" t="str">
        <f>'SC-Retro'!$C$7</f>
        <v>Retro</v>
      </c>
      <c r="C26" s="631" t="str">
        <f>'SC-Retro'!$C$8</f>
        <v>ResWx</v>
      </c>
      <c r="D26" s="631" t="s">
        <v>314</v>
      </c>
      <c r="E26" s="631" t="s">
        <v>215</v>
      </c>
      <c r="F26" s="632">
        <f t="shared" si="1"/>
        <v>1.4178111183690243</v>
      </c>
      <c r="G26" s="633">
        <f>'SC-Retro'!A159</f>
        <v>2719.7023128601013</v>
      </c>
      <c r="H26" s="633">
        <f>'SC-Retro'!B159</f>
        <v>60.56679676088163</v>
      </c>
      <c r="I26" s="634" t="str">
        <f>'SC-Retro'!C159</f>
        <v>Multifamily - Low Rise</v>
      </c>
      <c r="J26" s="637" t="str">
        <f>'SC-Retro'!D159</f>
        <v>WINDOW CL22 Prime Window Replacement of Double Pane Base_Electric FAF</v>
      </c>
      <c r="K26" s="635">
        <f>'SC-Retro'!E159</f>
        <v>7.2310973529007255E-2</v>
      </c>
      <c r="L26" s="635">
        <f>'SC-Retro'!F159</f>
        <v>8.2453755247959198E-2</v>
      </c>
      <c r="M26" s="635">
        <f>'SC-Retro'!G159</f>
        <v>8.9978670394426183E-2</v>
      </c>
      <c r="N26" s="635">
        <f>'SC-Retro'!H159</f>
        <v>9.3899183112753956E-2</v>
      </c>
      <c r="O26" s="635">
        <f>'SC-Retro'!I159</f>
        <v>8.9970352277353074E-2</v>
      </c>
      <c r="P26" s="635">
        <f>'SC-Retro'!J159</f>
        <v>7.480503833246531E-2</v>
      </c>
      <c r="Q26" s="635">
        <f>'SC-Retro'!K159</f>
        <v>5.5976377289312249E-2</v>
      </c>
      <c r="R26" s="635">
        <f>'SC-Retro'!L159</f>
        <v>3.8079044410077229E-2</v>
      </c>
      <c r="S26" s="635">
        <f>'SC-Retro'!M159</f>
        <v>2.3745358648633121E-2</v>
      </c>
      <c r="T26" s="635">
        <f>'SC-Retro'!N159</f>
        <v>1.3668136883821168E-2</v>
      </c>
      <c r="U26" s="635">
        <f>'SC-Retro'!O159</f>
        <v>7.3055887688277732E-3</v>
      </c>
      <c r="V26" s="635">
        <f>'SC-Retro'!P159</f>
        <v>3.6444995538666347E-3</v>
      </c>
      <c r="W26" s="635">
        <f>'SC-Retro'!Q159</f>
        <v>1.7044797934537875E-3</v>
      </c>
      <c r="X26" s="635">
        <f>'SC-Retro'!R159</f>
        <v>7.5026877810917909E-4</v>
      </c>
      <c r="Y26" s="635">
        <f>'SC-Retro'!S159</f>
        <v>3.1190210600205205E-4</v>
      </c>
      <c r="Z26" s="635">
        <f>'SC-Retro'!T159</f>
        <v>1.2283967097813134E-4</v>
      </c>
      <c r="AA26" s="635">
        <f>'SC-Retro'!U159</f>
        <v>4.5960271674508201E-5</v>
      </c>
      <c r="AB26" s="635">
        <f>'SC-Retro'!V159</f>
        <v>1.6377108668219648E-5</v>
      </c>
      <c r="AC26" s="635">
        <f>'SC-Retro'!W159</f>
        <v>5.5704270130433593E-6</v>
      </c>
      <c r="AD26" s="635">
        <f>'SC-Retro'!X159</f>
        <v>1.8123187787643265E-6</v>
      </c>
      <c r="AE26" s="635">
        <f>'SC-Retro'!Y159</f>
        <v>0.63318202174918714</v>
      </c>
      <c r="AF26" s="636">
        <f t="shared" si="2"/>
        <v>306.00552899417386</v>
      </c>
      <c r="AG26" s="636">
        <f t="shared" si="3"/>
        <v>222.07177269968804</v>
      </c>
      <c r="AH26" s="636">
        <f t="shared" si="4"/>
        <v>199.98486153183026</v>
      </c>
      <c r="AI26" s="636">
        <f t="shared" si="5"/>
        <v>159.68958318517733</v>
      </c>
      <c r="AJ26" s="636">
        <f t="shared" si="6"/>
        <v>65.789830171244333</v>
      </c>
      <c r="AK26" s="636">
        <f t="shared" si="7"/>
        <v>18.386210542047696</v>
      </c>
      <c r="AL26" s="636">
        <f t="shared" si="8"/>
        <v>4.4938244450272027</v>
      </c>
      <c r="AM26" s="636">
        <f t="shared" si="9"/>
        <v>3.7688435498111907</v>
      </c>
      <c r="AN26" s="636">
        <f t="shared" si="10"/>
        <v>35.699314704352794</v>
      </c>
      <c r="AO26" s="636">
        <f t="shared" si="11"/>
        <v>122.50078290833255</v>
      </c>
      <c r="AP26" s="636">
        <f t="shared" si="12"/>
        <v>195.07903610794861</v>
      </c>
      <c r="AQ26" s="636">
        <f t="shared" si="13"/>
        <v>355.69950471922476</v>
      </c>
      <c r="AR26" s="636"/>
      <c r="AS26" s="636">
        <f t="shared" si="14"/>
        <v>192.70307145868503</v>
      </c>
      <c r="AT26" s="636">
        <f t="shared" si="15"/>
        <v>143.9797922679391</v>
      </c>
      <c r="AU26" s="636">
        <f t="shared" si="16"/>
        <v>111.17317798440611</v>
      </c>
      <c r="AV26" s="636">
        <f t="shared" si="17"/>
        <v>94.869055950354621</v>
      </c>
      <c r="AW26" s="636">
        <f t="shared" si="18"/>
        <v>37.264215710264935</v>
      </c>
      <c r="AX26" s="636">
        <f t="shared" si="19"/>
        <v>9.2481133199183745</v>
      </c>
      <c r="AY26" s="636">
        <f t="shared" si="20"/>
        <v>2.4937975538340278</v>
      </c>
      <c r="AZ26" s="636">
        <f t="shared" si="21"/>
        <v>1.6689767206688664</v>
      </c>
      <c r="BA26" s="636">
        <f t="shared" si="22"/>
        <v>20.352281389996495</v>
      </c>
      <c r="BB26" s="636">
        <f t="shared" si="23"/>
        <v>62.946258138943591</v>
      </c>
      <c r="BC26" s="636">
        <f t="shared" si="24"/>
        <v>127.07586492314846</v>
      </c>
      <c r="BD26" s="636">
        <f t="shared" si="25"/>
        <v>226.75861388308317</v>
      </c>
    </row>
    <row r="27" spans="1:56" ht="15">
      <c r="A27" s="631" t="str">
        <f>VLOOKUP(CONCATENATE($C27," - ",$B27),[3]ACHIEV!$B$12:$C$100,2,FALSE)</f>
        <v>Retro12Med</v>
      </c>
      <c r="B27" s="631" t="str">
        <f>'SC-Retro'!$C$7</f>
        <v>Retro</v>
      </c>
      <c r="C27" s="631" t="str">
        <f>'SC-Retro'!$C$8</f>
        <v>ResWx</v>
      </c>
      <c r="D27" s="631" t="s">
        <v>314</v>
      </c>
      <c r="E27" s="631" t="s">
        <v>215</v>
      </c>
      <c r="F27" s="632">
        <f t="shared" si="1"/>
        <v>2.2310279537399578</v>
      </c>
      <c r="G27" s="633">
        <f>'SC-Retro'!A160</f>
        <v>4279.6475547618102</v>
      </c>
      <c r="H27" s="633">
        <f>'SC-Retro'!B160</f>
        <v>21.96658235841495</v>
      </c>
      <c r="I27" s="634" t="str">
        <f>'SC-Retro'!C160</f>
        <v>Multifamily - Low Rise</v>
      </c>
      <c r="J27" s="637" t="str">
        <f>'SC-Retro'!D160</f>
        <v>WINDOW CL30 Prime Window Replacement of Single Pane Base_Electric FAF</v>
      </c>
      <c r="K27" s="635">
        <f>'SC-Retro'!E160</f>
        <v>8.7590564741285973E-2</v>
      </c>
      <c r="L27" s="635">
        <f>'SC-Retro'!F160</f>
        <v>9.9876555863424685E-2</v>
      </c>
      <c r="M27" s="635">
        <f>'SC-Retro'!G160</f>
        <v>0.10899151497879189</v>
      </c>
      <c r="N27" s="635">
        <f>'SC-Retro'!H160</f>
        <v>0.11374044735122039</v>
      </c>
      <c r="O27" s="635">
        <f>'SC-Retro'!I160</f>
        <v>0.10898143921108383</v>
      </c>
      <c r="P27" s="635">
        <f>'SC-Retro'!J160</f>
        <v>9.0611635181564607E-2</v>
      </c>
      <c r="Q27" s="635">
        <f>'SC-Retro'!K160</f>
        <v>6.7804404499897011E-2</v>
      </c>
      <c r="R27" s="635">
        <f>'SC-Retro'!L160</f>
        <v>4.6125295261710234E-2</v>
      </c>
      <c r="S27" s="635">
        <f>'SC-Retro'!M160</f>
        <v>2.8762845699813772E-2</v>
      </c>
      <c r="T27" s="635">
        <f>'SC-Retro'!N160</f>
        <v>1.6556267606255431E-2</v>
      </c>
      <c r="U27" s="635">
        <f>'SC-Retro'!O160</f>
        <v>8.8492882172652131E-3</v>
      </c>
      <c r="V27" s="635">
        <f>'SC-Retro'!P160</f>
        <v>4.4145965479843504E-3</v>
      </c>
      <c r="W27" s="635">
        <f>'SC-Retro'!Q160</f>
        <v>2.0646430328978781E-3</v>
      </c>
      <c r="X27" s="635">
        <f>'SC-Retro'!R160</f>
        <v>9.0880350208500033E-4</v>
      </c>
      <c r="Y27" s="635">
        <f>'SC-Retro'!S160</f>
        <v>3.7780823954412665E-4</v>
      </c>
      <c r="Z27" s="635">
        <f>'SC-Retro'!T160</f>
        <v>1.487961733676855E-4</v>
      </c>
      <c r="AA27" s="635">
        <f>'SC-Retro'!U160</f>
        <v>5.5671856637612729E-5</v>
      </c>
      <c r="AB27" s="635">
        <f>'SC-Retro'!V160</f>
        <v>1.9837655712149037E-5</v>
      </c>
      <c r="AC27" s="635">
        <f>'SC-Retro'!W160</f>
        <v>6.7474800035274955E-6</v>
      </c>
      <c r="AD27" s="635">
        <f>'SC-Retro'!X160</f>
        <v>2.1952688171115041E-6</v>
      </c>
      <c r="AE27" s="635">
        <f>'SC-Retro'!Y160</f>
        <v>0.76697585666984081</v>
      </c>
      <c r="AF27" s="636">
        <f t="shared" si="2"/>
        <v>481.52174879989326</v>
      </c>
      <c r="AG27" s="636">
        <f t="shared" si="3"/>
        <v>349.44593550622443</v>
      </c>
      <c r="AH27" s="636">
        <f t="shared" si="4"/>
        <v>314.69058933292945</v>
      </c>
      <c r="AI27" s="636">
        <f t="shared" si="5"/>
        <v>251.28306541780367</v>
      </c>
      <c r="AJ27" s="636">
        <f t="shared" si="6"/>
        <v>103.52503819598863</v>
      </c>
      <c r="AK27" s="636">
        <f t="shared" si="7"/>
        <v>28.932027088237351</v>
      </c>
      <c r="AL27" s="636">
        <f t="shared" si="8"/>
        <v>7.0713565623528556</v>
      </c>
      <c r="AM27" s="636">
        <f t="shared" si="9"/>
        <v>5.9305468859447776</v>
      </c>
      <c r="AN27" s="636">
        <f t="shared" si="10"/>
        <v>56.175443966324501</v>
      </c>
      <c r="AO27" s="636">
        <f t="shared" si="11"/>
        <v>192.76380857974442</v>
      </c>
      <c r="AP27" s="636">
        <f t="shared" si="12"/>
        <v>306.97091954402362</v>
      </c>
      <c r="AQ27" s="636">
        <f t="shared" si="13"/>
        <v>559.71880025382802</v>
      </c>
      <c r="AR27" s="636"/>
      <c r="AS27" s="636">
        <f t="shared" si="14"/>
        <v>303.23216797061036</v>
      </c>
      <c r="AT27" s="636">
        <f t="shared" si="15"/>
        <v>226.56257745598893</v>
      </c>
      <c r="AU27" s="636">
        <f t="shared" si="16"/>
        <v>174.93900603250941</v>
      </c>
      <c r="AV27" s="636">
        <f t="shared" si="17"/>
        <v>149.28329523444467</v>
      </c>
      <c r="AW27" s="636">
        <f t="shared" si="18"/>
        <v>58.637928456530794</v>
      </c>
      <c r="AX27" s="636">
        <f t="shared" si="19"/>
        <v>14.552572672605102</v>
      </c>
      <c r="AY27" s="636">
        <f t="shared" si="20"/>
        <v>3.9241701390889565</v>
      </c>
      <c r="AZ27" s="636">
        <f t="shared" si="21"/>
        <v>2.6262551264493146</v>
      </c>
      <c r="BA27" s="636">
        <f t="shared" si="22"/>
        <v>32.025781230786919</v>
      </c>
      <c r="BB27" s="636">
        <f t="shared" si="23"/>
        <v>99.050472712376092</v>
      </c>
      <c r="BC27" s="636">
        <f t="shared" si="24"/>
        <v>199.96302978309413</v>
      </c>
      <c r="BD27" s="636">
        <f t="shared" si="25"/>
        <v>356.8210178140306</v>
      </c>
    </row>
    <row r="28" spans="1:56" ht="15">
      <c r="A28" s="631" t="str">
        <f>VLOOKUP(CONCATENATE($C28," - ",$B28),[3]ACHIEV!$B$12:$C$100,2,FALSE)</f>
        <v>Retro12Med</v>
      </c>
      <c r="B28" s="631" t="str">
        <f>'SC-Retro'!$C$7</f>
        <v>Retro</v>
      </c>
      <c r="C28" s="631" t="str">
        <f>'SC-Retro'!$C$8</f>
        <v>ResWx</v>
      </c>
      <c r="D28" s="631" t="s">
        <v>314</v>
      </c>
      <c r="E28" s="631" t="s">
        <v>215</v>
      </c>
      <c r="F28" s="632">
        <f t="shared" si="1"/>
        <v>1.2258020612140152</v>
      </c>
      <c r="G28" s="633">
        <f>'SC-Retro'!A161</f>
        <v>2351.3828166529579</v>
      </c>
      <c r="H28" s="633">
        <f>'SC-Retro'!B161</f>
        <v>69.217922112878682</v>
      </c>
      <c r="I28" s="634" t="str">
        <f>'SC-Retro'!C161</f>
        <v>Multifamily - Low Rise</v>
      </c>
      <c r="J28" s="637" t="str">
        <f>'SC-Retro'!D161</f>
        <v>WINDOW CL30 Prime Window Replacement of Double Pane Base_Electric FAF</v>
      </c>
      <c r="K28" s="635">
        <f>'SC-Retro'!E161</f>
        <v>0.25007263450498196</v>
      </c>
      <c r="L28" s="635">
        <f>'SC-Retro'!F161</f>
        <v>0.28514935968072314</v>
      </c>
      <c r="M28" s="635">
        <f>'SC-Retro'!G161</f>
        <v>0.31117273156007663</v>
      </c>
      <c r="N28" s="635">
        <f>'SC-Retro'!H161</f>
        <v>0.3247310187222488</v>
      </c>
      <c r="O28" s="635">
        <f>'SC-Retro'!I161</f>
        <v>0.31114396506241965</v>
      </c>
      <c r="P28" s="635">
        <f>'SC-Retro'!J161</f>
        <v>0.25869784483736274</v>
      </c>
      <c r="Q28" s="635">
        <f>'SC-Retro'!K161</f>
        <v>0.1935827918727695</v>
      </c>
      <c r="R28" s="635">
        <f>'SC-Retro'!L161</f>
        <v>0.13168854587803738</v>
      </c>
      <c r="S28" s="635">
        <f>'SC-Retro'!M161</f>
        <v>8.2118440739112897E-2</v>
      </c>
      <c r="T28" s="635">
        <f>'SC-Retro'!N161</f>
        <v>4.7268441185358216E-2</v>
      </c>
      <c r="U28" s="635">
        <f>'SC-Retro'!O161</f>
        <v>2.5264876696728528E-2</v>
      </c>
      <c r="V28" s="635">
        <f>'SC-Retro'!P161</f>
        <v>1.2603752382369191E-2</v>
      </c>
      <c r="W28" s="635">
        <f>'SC-Retro'!Q161</f>
        <v>5.8945929173323921E-3</v>
      </c>
      <c r="X28" s="635">
        <f>'SC-Retro'!R161</f>
        <v>2.5946503106244654E-3</v>
      </c>
      <c r="Y28" s="635">
        <f>'SC-Retro'!S161</f>
        <v>1.0786493052025725E-3</v>
      </c>
      <c r="Z28" s="635">
        <f>'SC-Retro'!T161</f>
        <v>4.2481574571670984E-4</v>
      </c>
      <c r="AA28" s="635">
        <f>'SC-Retro'!U161</f>
        <v>1.5894414995807564E-4</v>
      </c>
      <c r="AB28" s="635">
        <f>'SC-Retro'!V161</f>
        <v>5.6636863125528018E-5</v>
      </c>
      <c r="AC28" s="635">
        <f>'SC-Retro'!W161</f>
        <v>1.9264176521018201E-5</v>
      </c>
      <c r="AD28" s="635">
        <f>'SC-Retro'!X161</f>
        <v>6.2675318758727932E-6</v>
      </c>
      <c r="AE28" s="635">
        <f>'SC-Retro'!Y161</f>
        <v>2.1897298372907672</v>
      </c>
      <c r="AF28" s="636">
        <f t="shared" si="2"/>
        <v>264.56430149556269</v>
      </c>
      <c r="AG28" s="636">
        <f t="shared" si="3"/>
        <v>191.99739174416331</v>
      </c>
      <c r="AH28" s="636">
        <f t="shared" si="4"/>
        <v>172.90163146647865</v>
      </c>
      <c r="AI28" s="636">
        <f t="shared" si="5"/>
        <v>138.06339764634896</v>
      </c>
      <c r="AJ28" s="636">
        <f t="shared" si="6"/>
        <v>56.880150244273345</v>
      </c>
      <c r="AK28" s="636">
        <f t="shared" si="7"/>
        <v>15.89623221905841</v>
      </c>
      <c r="AL28" s="636">
        <f t="shared" si="8"/>
        <v>3.8852419734054622</v>
      </c>
      <c r="AM28" s="636">
        <f t="shared" si="9"/>
        <v>3.2584426316716608</v>
      </c>
      <c r="AN28" s="636">
        <f t="shared" si="10"/>
        <v>30.864684993345946</v>
      </c>
      <c r="AO28" s="636">
        <f t="shared" si="11"/>
        <v>105.91094275103643</v>
      </c>
      <c r="AP28" s="636">
        <f t="shared" si="12"/>
        <v>168.66018432402151</v>
      </c>
      <c r="AQ28" s="636">
        <f t="shared" si="13"/>
        <v>307.52840093340603</v>
      </c>
      <c r="AR28" s="636"/>
      <c r="AS28" s="636">
        <f t="shared" si="14"/>
        <v>166.60598801627265</v>
      </c>
      <c r="AT28" s="636">
        <f t="shared" si="15"/>
        <v>124.48112717456412</v>
      </c>
      <c r="AU28" s="636">
        <f t="shared" si="16"/>
        <v>96.11739459467826</v>
      </c>
      <c r="AV28" s="636">
        <f t="shared" si="17"/>
        <v>82.021281130272939</v>
      </c>
      <c r="AW28" s="636">
        <f t="shared" si="18"/>
        <v>32.217657087999605</v>
      </c>
      <c r="AX28" s="636">
        <f t="shared" si="19"/>
        <v>7.9956746163321704</v>
      </c>
      <c r="AY28" s="636">
        <f t="shared" si="20"/>
        <v>2.1560715261259347</v>
      </c>
      <c r="AZ28" s="636">
        <f t="shared" si="21"/>
        <v>1.4429532099222961</v>
      </c>
      <c r="BA28" s="636">
        <f t="shared" si="22"/>
        <v>17.596045167824663</v>
      </c>
      <c r="BB28" s="636">
        <f t="shared" si="23"/>
        <v>54.421672938484896</v>
      </c>
      <c r="BC28" s="636">
        <f t="shared" si="24"/>
        <v>109.86643787399457</v>
      </c>
      <c r="BD28" s="636">
        <f t="shared" si="25"/>
        <v>196.04951089371366</v>
      </c>
    </row>
    <row r="29" spans="1:56" ht="15">
      <c r="A29" s="631" t="str">
        <f>VLOOKUP(CONCATENATE($C29," - ",$B29),[3]ACHIEV!$B$12:$C$100,2,FALSE)</f>
        <v>Retro12Med</v>
      </c>
      <c r="B29" s="631" t="str">
        <f>'SC-Retro'!$C$7</f>
        <v>Retro</v>
      </c>
      <c r="C29" s="631" t="str">
        <f>'SC-Retro'!$C$8</f>
        <v>ResWx</v>
      </c>
      <c r="D29" s="631" t="s">
        <v>314</v>
      </c>
      <c r="E29" s="631" t="s">
        <v>215</v>
      </c>
      <c r="F29" s="632">
        <f t="shared" si="1"/>
        <v>0.20866224140343231</v>
      </c>
      <c r="G29" s="633">
        <f>'SC-Retro'!A162</f>
        <v>400.26430403812111</v>
      </c>
      <c r="H29" s="633">
        <f>'SC-Retro'!B162</f>
        <v>30.354061194839794</v>
      </c>
      <c r="I29" s="634" t="str">
        <f>'SC-Retro'!C162</f>
        <v>Multifamily - Low Rise</v>
      </c>
      <c r="J29" s="637" t="str">
        <f>'SC-Retro'!D162</f>
        <v>WALL R0 - R11_Heat Pump</v>
      </c>
      <c r="K29" s="635">
        <f>'SC-Retro'!E162</f>
        <v>0.2778522746130061</v>
      </c>
      <c r="L29" s="635">
        <f>'SC-Retro'!F162</f>
        <v>0.31682554290102743</v>
      </c>
      <c r="M29" s="635">
        <f>'SC-Retro'!G162</f>
        <v>0.34573975450235506</v>
      </c>
      <c r="N29" s="635">
        <f>'SC-Retro'!H162</f>
        <v>0.360804181425049</v>
      </c>
      <c r="O29" s="635">
        <f>'SC-Retro'!I162</f>
        <v>0.34570779244132238</v>
      </c>
      <c r="P29" s="635">
        <f>'SC-Retro'!J162</f>
        <v>0.2874356275240974</v>
      </c>
      <c r="Q29" s="635">
        <f>'SC-Retro'!K162</f>
        <v>0.21508718518624476</v>
      </c>
      <c r="R29" s="635">
        <f>'SC-Retro'!L162</f>
        <v>0.14631733730130694</v>
      </c>
      <c r="S29" s="635">
        <f>'SC-Retro'!M162</f>
        <v>9.1240673303584929E-2</v>
      </c>
      <c r="T29" s="635">
        <f>'SC-Retro'!N162</f>
        <v>5.2519316744756531E-2</v>
      </c>
      <c r="U29" s="635">
        <f>'SC-Retro'!O162</f>
        <v>2.8071458006186996E-2</v>
      </c>
      <c r="V29" s="635">
        <f>'SC-Retro'!P162</f>
        <v>1.4003856419685963E-2</v>
      </c>
      <c r="W29" s="635">
        <f>'SC-Retro'!Q162</f>
        <v>6.5494013498941682E-3</v>
      </c>
      <c r="X29" s="635">
        <f>'SC-Retro'!R162</f>
        <v>2.8828803761732193E-3</v>
      </c>
      <c r="Y29" s="635">
        <f>'SC-Retro'!S162</f>
        <v>1.1984724500285243E-3</v>
      </c>
      <c r="Z29" s="635">
        <f>'SC-Retro'!T162</f>
        <v>4.7200694899088096E-4</v>
      </c>
      <c r="AA29" s="635">
        <f>'SC-Retro'!U162</f>
        <v>1.7660066520154254E-4</v>
      </c>
      <c r="AB29" s="635">
        <f>'SC-Retro'!V162</f>
        <v>6.2928441880592668E-5</v>
      </c>
      <c r="AC29" s="635">
        <f>'SC-Retro'!W162</f>
        <v>2.140416233670197E-5</v>
      </c>
      <c r="AD29" s="635">
        <f>'SC-Retro'!X162</f>
        <v>6.9637687121102525E-6</v>
      </c>
      <c r="AE29" s="635">
        <f>'SC-Retro'!Y162</f>
        <v>2.432978791476228</v>
      </c>
      <c r="AF29" s="636">
        <f t="shared" si="2"/>
        <v>45.035476682690344</v>
      </c>
      <c r="AG29" s="636">
        <f t="shared" si="3"/>
        <v>32.682769406728355</v>
      </c>
      <c r="AH29" s="636">
        <f t="shared" si="4"/>
        <v>29.43219228100704</v>
      </c>
      <c r="AI29" s="636">
        <f t="shared" si="5"/>
        <v>23.501851498054204</v>
      </c>
      <c r="AJ29" s="636">
        <f t="shared" si="6"/>
        <v>9.6824275442802321</v>
      </c>
      <c r="AK29" s="636">
        <f t="shared" si="7"/>
        <v>2.7059372386869178</v>
      </c>
      <c r="AL29" s="636">
        <f t="shared" si="8"/>
        <v>0.66136558602501494</v>
      </c>
      <c r="AM29" s="636">
        <f t="shared" si="9"/>
        <v>0.5546686243419523</v>
      </c>
      <c r="AN29" s="636">
        <f t="shared" si="10"/>
        <v>5.2539431566496795</v>
      </c>
      <c r="AO29" s="636">
        <f t="shared" si="11"/>
        <v>18.028697619985032</v>
      </c>
      <c r="AP29" s="636">
        <f t="shared" si="12"/>
        <v>28.710191645225134</v>
      </c>
      <c r="AQ29" s="636">
        <f t="shared" si="13"/>
        <v>52.349043507420241</v>
      </c>
      <c r="AR29" s="636"/>
      <c r="AS29" s="636">
        <f t="shared" si="14"/>
        <v>28.360515935402113</v>
      </c>
      <c r="AT29" s="636">
        <f t="shared" si="15"/>
        <v>21.189808559259156</v>
      </c>
      <c r="AU29" s="636">
        <f t="shared" si="16"/>
        <v>16.361590201700668</v>
      </c>
      <c r="AV29" s="636">
        <f t="shared" si="17"/>
        <v>13.962078303632175</v>
      </c>
      <c r="AW29" s="636">
        <f t="shared" si="18"/>
        <v>5.4842529258689696</v>
      </c>
      <c r="AX29" s="636">
        <f t="shared" si="19"/>
        <v>1.3610642694825026</v>
      </c>
      <c r="AY29" s="636">
        <f t="shared" si="20"/>
        <v>0.36701742597984521</v>
      </c>
      <c r="AZ29" s="636">
        <f t="shared" si="21"/>
        <v>0.24562681084454127</v>
      </c>
      <c r="BA29" s="636">
        <f t="shared" si="22"/>
        <v>2.9952880164991753</v>
      </c>
      <c r="BB29" s="636">
        <f t="shared" si="23"/>
        <v>9.2639330733562488</v>
      </c>
      <c r="BC29" s="636">
        <f t="shared" si="24"/>
        <v>18.702022053294733</v>
      </c>
      <c r="BD29" s="636">
        <f t="shared" si="25"/>
        <v>33.372541671706884</v>
      </c>
    </row>
    <row r="30" spans="1:56" ht="15">
      <c r="A30" s="631" t="str">
        <f>VLOOKUP(CONCATENATE($C30," - ",$B30),[3]ACHIEV!$B$12:$C$100,2,FALSE)</f>
        <v>Retro12Med</v>
      </c>
      <c r="B30" s="631" t="str">
        <f>'SC-Retro'!$C$7</f>
        <v>Retro</v>
      </c>
      <c r="C30" s="631" t="str">
        <f>'SC-Retro'!$C$8</f>
        <v>ResWx</v>
      </c>
      <c r="D30" s="631" t="s">
        <v>314</v>
      </c>
      <c r="E30" s="631" t="s">
        <v>215</v>
      </c>
      <c r="F30" s="632">
        <f t="shared" si="1"/>
        <v>4.216969017025976E-2</v>
      </c>
      <c r="G30" s="633">
        <f>'SC-Retro'!A163</f>
        <v>80.891595786455383</v>
      </c>
      <c r="H30" s="633">
        <f>'SC-Retro'!B163</f>
        <v>308.55150010285007</v>
      </c>
      <c r="I30" s="634" t="str">
        <f>'SC-Retro'!C163</f>
        <v>Multifamily - Low Rise</v>
      </c>
      <c r="J30" s="637" t="str">
        <f>'SC-Retro'!D163</f>
        <v>FLOOR R0 - R19_Heat Pump</v>
      </c>
      <c r="K30" s="635">
        <f>'SC-Retro'!E163</f>
        <v>1.3847873339906431E-2</v>
      </c>
      <c r="L30" s="635">
        <f>'SC-Retro'!F163</f>
        <v>1.5790261192035426E-2</v>
      </c>
      <c r="M30" s="635">
        <f>'SC-Retro'!G163</f>
        <v>1.723131594149219E-2</v>
      </c>
      <c r="N30" s="635">
        <f>'SC-Retro'!H163</f>
        <v>1.7982111580125332E-2</v>
      </c>
      <c r="O30" s="635">
        <f>'SC-Retro'!I163</f>
        <v>1.7229722985042654E-2</v>
      </c>
      <c r="P30" s="635">
        <f>'SC-Retro'!J163</f>
        <v>1.4325497852677669E-2</v>
      </c>
      <c r="Q30" s="635">
        <f>'SC-Retro'!K163</f>
        <v>1.0719725442754013E-2</v>
      </c>
      <c r="R30" s="635">
        <f>'SC-Retro'!L163</f>
        <v>7.2923065222443954E-3</v>
      </c>
      <c r="S30" s="635">
        <f>'SC-Retro'!M163</f>
        <v>4.5473418891949693E-3</v>
      </c>
      <c r="T30" s="635">
        <f>'SC-Retro'!N163</f>
        <v>2.6175090601391528E-3</v>
      </c>
      <c r="U30" s="635">
        <f>'SC-Retro'!O163</f>
        <v>1.39905277175652E-3</v>
      </c>
      <c r="V30" s="635">
        <f>'SC-Retro'!P163</f>
        <v>6.9793788890209563E-4</v>
      </c>
      <c r="W30" s="635">
        <f>'SC-Retro'!Q163</f>
        <v>3.2641546833427038E-4</v>
      </c>
      <c r="X30" s="635">
        <f>'SC-Retro'!R163</f>
        <v>1.4367981100371326E-4</v>
      </c>
      <c r="Y30" s="635">
        <f>'SC-Retro'!S163</f>
        <v>5.9730641804094427E-5</v>
      </c>
      <c r="Z30" s="635">
        <f>'SC-Retro'!T163</f>
        <v>2.3524343841651732E-5</v>
      </c>
      <c r="AA30" s="635">
        <f>'SC-Retro'!U163</f>
        <v>8.8015966284974538E-6</v>
      </c>
      <c r="AB30" s="635">
        <f>'SC-Retro'!V163</f>
        <v>3.1362892164688427E-6</v>
      </c>
      <c r="AC30" s="635">
        <f>'SC-Retro'!W163</f>
        <v>1.06676157104805E-6</v>
      </c>
      <c r="AD30" s="635">
        <f>'SC-Retro'!X163</f>
        <v>3.4706711409154003E-7</v>
      </c>
      <c r="AE30" s="635">
        <f>'SC-Retro'!Y163</f>
        <v>0.12125717592187149</v>
      </c>
      <c r="AF30" s="636">
        <f t="shared" si="2"/>
        <v>9.1014650547493385</v>
      </c>
      <c r="AG30" s="636">
        <f t="shared" si="3"/>
        <v>6.6050390838229944</v>
      </c>
      <c r="AH30" s="636">
        <f t="shared" si="4"/>
        <v>5.9481122275587808</v>
      </c>
      <c r="AI30" s="636">
        <f t="shared" si="5"/>
        <v>4.7496173214407866</v>
      </c>
      <c r="AJ30" s="636">
        <f t="shared" si="6"/>
        <v>1.9567745793013906</v>
      </c>
      <c r="AK30" s="636">
        <f t="shared" si="7"/>
        <v>0.546857611650857</v>
      </c>
      <c r="AL30" s="636">
        <f t="shared" si="8"/>
        <v>0.13365897761073509</v>
      </c>
      <c r="AM30" s="636">
        <f t="shared" si="9"/>
        <v>0.11209600682109601</v>
      </c>
      <c r="AN30" s="636">
        <f t="shared" si="10"/>
        <v>1.0617980215199065</v>
      </c>
      <c r="AO30" s="636">
        <f t="shared" si="11"/>
        <v>3.6435178099048384</v>
      </c>
      <c r="AP30" s="636">
        <f t="shared" si="12"/>
        <v>5.8021991821085139</v>
      </c>
      <c r="AQ30" s="636">
        <f t="shared" si="13"/>
        <v>10.579503654181718</v>
      </c>
      <c r="AR30" s="636"/>
      <c r="AS30" s="636">
        <f t="shared" si="14"/>
        <v>5.7315313111792801</v>
      </c>
      <c r="AT30" s="636">
        <f t="shared" si="15"/>
        <v>4.2823639567037581</v>
      </c>
      <c r="AU30" s="636">
        <f t="shared" si="16"/>
        <v>3.3066029812479809</v>
      </c>
      <c r="AV30" s="636">
        <f t="shared" si="17"/>
        <v>2.8216725375757896</v>
      </c>
      <c r="AW30" s="636">
        <f t="shared" si="18"/>
        <v>1.1083425786273129</v>
      </c>
      <c r="AX30" s="636">
        <f t="shared" si="19"/>
        <v>0.27506489990643784</v>
      </c>
      <c r="AY30" s="636">
        <f t="shared" si="20"/>
        <v>7.4172552909238215E-2</v>
      </c>
      <c r="AZ30" s="636">
        <f t="shared" si="21"/>
        <v>4.964006157106738E-2</v>
      </c>
      <c r="BA30" s="636">
        <f t="shared" si="22"/>
        <v>0.6053340881269017</v>
      </c>
      <c r="BB30" s="636">
        <f t="shared" si="23"/>
        <v>1.8721987496825063</v>
      </c>
      <c r="BC30" s="636">
        <f t="shared" si="24"/>
        <v>3.7795936161732016</v>
      </c>
      <c r="BD30" s="636">
        <f t="shared" si="25"/>
        <v>6.7444389220809597</v>
      </c>
    </row>
    <row r="31" spans="1:56" ht="15">
      <c r="A31" s="631" t="str">
        <f>VLOOKUP(CONCATENATE($C31," - ",$B31),[3]ACHIEV!$B$12:$C$100,2,FALSE)</f>
        <v>Retro12Med</v>
      </c>
      <c r="B31" s="631" t="str">
        <f>'SC-Retro'!$C$7</f>
        <v>Retro</v>
      </c>
      <c r="C31" s="631" t="str">
        <f>'SC-Retro'!$C$8</f>
        <v>ResWx</v>
      </c>
      <c r="D31" s="631" t="s">
        <v>314</v>
      </c>
      <c r="E31" s="631" t="s">
        <v>215</v>
      </c>
      <c r="F31" s="632">
        <f t="shared" si="1"/>
        <v>5.4496926671032425E-2</v>
      </c>
      <c r="G31" s="633">
        <f>'SC-Retro'!A164</f>
        <v>104.5381966544835</v>
      </c>
      <c r="H31" s="633">
        <f>'SC-Retro'!B164</f>
        <v>384.8921396513453</v>
      </c>
      <c r="I31" s="634" t="str">
        <f>'SC-Retro'!C164</f>
        <v>Multifamily - Low Rise</v>
      </c>
      <c r="J31" s="637" t="str">
        <f>'SC-Retro'!D164</f>
        <v>FLOOR R0 - R30_Heat Pump</v>
      </c>
      <c r="K31" s="635">
        <f>'SC-Retro'!E164</f>
        <v>0.19813830373238939</v>
      </c>
      <c r="L31" s="635">
        <f>'SC-Retro'!F164</f>
        <v>0.22593040037889425</v>
      </c>
      <c r="M31" s="635">
        <f>'SC-Retro'!G164</f>
        <v>0.24654931684601983</v>
      </c>
      <c r="N31" s="635">
        <f>'SC-Retro'!H164</f>
        <v>0.25729185980817643</v>
      </c>
      <c r="O31" s="635">
        <f>'SC-Retro'!I164</f>
        <v>0.24652652448786611</v>
      </c>
      <c r="P31" s="635">
        <f>'SC-Retro'!J164</f>
        <v>0.20497225638768865</v>
      </c>
      <c r="Q31" s="635">
        <f>'SC-Retro'!K164</f>
        <v>0.15338010130287402</v>
      </c>
      <c r="R31" s="635">
        <f>'SC-Retro'!L164</f>
        <v>0.10433986570705497</v>
      </c>
      <c r="S31" s="635">
        <f>'SC-Retro'!M164</f>
        <v>6.5064330551020039E-2</v>
      </c>
      <c r="T31" s="635">
        <f>'SC-Retro'!N164</f>
        <v>3.7451873832898358E-2</v>
      </c>
      <c r="U31" s="635">
        <f>'SC-Retro'!O164</f>
        <v>2.0017943277188269E-2</v>
      </c>
      <c r="V31" s="635">
        <f>'SC-Retro'!P164</f>
        <v>9.986243087529597E-3</v>
      </c>
      <c r="W31" s="635">
        <f>'SC-Retro'!Q164</f>
        <v>4.6704216322795136E-3</v>
      </c>
      <c r="X31" s="635">
        <f>'SC-Retro'!R164</f>
        <v>2.0558011569059014E-3</v>
      </c>
      <c r="Y31" s="635">
        <f>'SC-Retro'!S164</f>
        <v>8.5463866959301494E-4</v>
      </c>
      <c r="Z31" s="635">
        <f>'SC-Retro'!T164</f>
        <v>3.3659129245284158E-4</v>
      </c>
      <c r="AA31" s="635">
        <f>'SC-Retro'!U164</f>
        <v>1.2593510810656982E-4</v>
      </c>
      <c r="AB31" s="635">
        <f>'SC-Retro'!V164</f>
        <v>4.487469015004145E-5</v>
      </c>
      <c r="AC31" s="635">
        <f>'SC-Retro'!W164</f>
        <v>1.526345042204058E-5</v>
      </c>
      <c r="AD31" s="635">
        <f>'SC-Retro'!X164</f>
        <v>4.9659097523098827E-6</v>
      </c>
      <c r="AE31" s="635">
        <f>'SC-Retro'!Y164</f>
        <v>1.7349733466512107</v>
      </c>
      <c r="AF31" s="636">
        <f t="shared" si="2"/>
        <v>11.762046903475827</v>
      </c>
      <c r="AG31" s="636">
        <f t="shared" si="3"/>
        <v>8.5358542867422642</v>
      </c>
      <c r="AH31" s="636">
        <f t="shared" si="4"/>
        <v>7.6868915704045699</v>
      </c>
      <c r="AI31" s="636">
        <f t="shared" si="5"/>
        <v>6.138047157495385</v>
      </c>
      <c r="AJ31" s="636">
        <f t="shared" si="6"/>
        <v>2.5287878646814193</v>
      </c>
      <c r="AK31" s="636">
        <f t="shared" si="7"/>
        <v>0.70671752724070591</v>
      </c>
      <c r="AL31" s="636">
        <f t="shared" si="8"/>
        <v>0.17273078062391004</v>
      </c>
      <c r="AM31" s="636">
        <f t="shared" si="9"/>
        <v>0.14486442369342145</v>
      </c>
      <c r="AN31" s="636">
        <f t="shared" si="10"/>
        <v>1.3721876704474067</v>
      </c>
      <c r="AO31" s="636">
        <f t="shared" si="11"/>
        <v>4.7086075830602088</v>
      </c>
      <c r="AP31" s="636">
        <f t="shared" si="12"/>
        <v>7.4983245568423449</v>
      </c>
      <c r="AQ31" s="636">
        <f t="shared" si="13"/>
        <v>13.672152499343563</v>
      </c>
      <c r="AR31" s="636"/>
      <c r="AS31" s="636">
        <f t="shared" si="14"/>
        <v>7.40699873100679</v>
      </c>
      <c r="AT31" s="636">
        <f t="shared" si="15"/>
        <v>5.5342041543322864</v>
      </c>
      <c r="AU31" s="636">
        <f t="shared" si="16"/>
        <v>4.2732042723513901</v>
      </c>
      <c r="AV31" s="636">
        <f t="shared" si="17"/>
        <v>3.6465167457735337</v>
      </c>
      <c r="AW31" s="636">
        <f t="shared" si="18"/>
        <v>1.4323383451470968</v>
      </c>
      <c r="AX31" s="636">
        <f t="shared" si="19"/>
        <v>0.35547312819831606</v>
      </c>
      <c r="AY31" s="636">
        <f t="shared" si="20"/>
        <v>9.585501246458715E-2</v>
      </c>
      <c r="AZ31" s="636">
        <f t="shared" si="21"/>
        <v>6.4151071171299756E-2</v>
      </c>
      <c r="BA31" s="636">
        <f t="shared" si="22"/>
        <v>0.78228811449493363</v>
      </c>
      <c r="BB31" s="636">
        <f t="shared" si="23"/>
        <v>2.4194884421276184</v>
      </c>
      <c r="BC31" s="636">
        <f t="shared" si="24"/>
        <v>4.8844616907372558</v>
      </c>
      <c r="BD31" s="636">
        <f t="shared" si="25"/>
        <v>8.7160041226273712</v>
      </c>
    </row>
    <row r="32" spans="1:56" ht="15">
      <c r="A32" s="631" t="str">
        <f>VLOOKUP(CONCATENATE($C32," - ",$B32),[3]ACHIEV!$B$12:$C$100,2,FALSE)</f>
        <v>Retro12Med</v>
      </c>
      <c r="B32" s="631" t="str">
        <f>'SC-Retro'!$C$7</f>
        <v>Retro</v>
      </c>
      <c r="C32" s="631" t="str">
        <f>'SC-Retro'!$C$8</f>
        <v>ResWx</v>
      </c>
      <c r="D32" s="631" t="s">
        <v>314</v>
      </c>
      <c r="E32" s="631" t="s">
        <v>215</v>
      </c>
      <c r="F32" s="632">
        <f t="shared" si="1"/>
        <v>6.248638590082297E-2</v>
      </c>
      <c r="G32" s="633">
        <f>'SC-Retro'!A165</f>
        <v>119.86389869211362</v>
      </c>
      <c r="H32" s="633">
        <f>'SC-Retro'!B165</f>
        <v>91.616721642971015</v>
      </c>
      <c r="I32" s="634" t="str">
        <f>'SC-Retro'!C165</f>
        <v>Multifamily - Low Rise</v>
      </c>
      <c r="J32" s="637" t="str">
        <f>'SC-Retro'!D165</f>
        <v>ATTIC R0 - R19_Heat Pump</v>
      </c>
      <c r="K32" s="635">
        <f>'SC-Retro'!E165</f>
        <v>5.1775601229902074E-2</v>
      </c>
      <c r="L32" s="635">
        <f>'SC-Retro'!F165</f>
        <v>5.9037965377602759E-2</v>
      </c>
      <c r="M32" s="635">
        <f>'SC-Retro'!G165</f>
        <v>6.4425902877241523E-2</v>
      </c>
      <c r="N32" s="635">
        <f>'SC-Retro'!H165</f>
        <v>6.7233041174715444E-2</v>
      </c>
      <c r="O32" s="635">
        <f>'SC-Retro'!I165</f>
        <v>6.4419946996805338E-2</v>
      </c>
      <c r="P32" s="635">
        <f>'SC-Retro'!J165</f>
        <v>5.356138419482892E-2</v>
      </c>
      <c r="Q32" s="635">
        <f>'SC-Retro'!K165</f>
        <v>4.00798170372215E-2</v>
      </c>
      <c r="R32" s="635">
        <f>'SC-Retro'!L165</f>
        <v>2.726509300557272E-2</v>
      </c>
      <c r="S32" s="635">
        <f>'SC-Retro'!M165</f>
        <v>1.7001986841726775E-2</v>
      </c>
      <c r="T32" s="635">
        <f>'SC-Retro'!N165</f>
        <v>9.7865644772236367E-3</v>
      </c>
      <c r="U32" s="635">
        <f>'SC-Retro'!O165</f>
        <v>5.2308969494477059E-3</v>
      </c>
      <c r="V32" s="635">
        <f>'SC-Retro'!P165</f>
        <v>2.6095092677442672E-3</v>
      </c>
      <c r="W32" s="635">
        <f>'SC-Retro'!Q165</f>
        <v>1.2204297879475762E-3</v>
      </c>
      <c r="X32" s="635">
        <f>'SC-Retro'!R165</f>
        <v>5.3720224158016567E-4</v>
      </c>
      <c r="Y32" s="635">
        <f>'SC-Retro'!S165</f>
        <v>2.2332598048414897E-4</v>
      </c>
      <c r="Z32" s="635">
        <f>'SC-Retro'!T165</f>
        <v>8.7954808369780475E-5</v>
      </c>
      <c r="AA32" s="635">
        <f>'SC-Retro'!U165</f>
        <v>3.2908154634133424E-5</v>
      </c>
      <c r="AB32" s="635">
        <f>'SC-Retro'!V165</f>
        <v>1.1726223646600018E-5</v>
      </c>
      <c r="AC32" s="635">
        <f>'SC-Retro'!W165</f>
        <v>3.988498475849063E-6</v>
      </c>
      <c r="AD32" s="635">
        <f>'SC-Retro'!X165</f>
        <v>1.2976439095115177E-6</v>
      </c>
      <c r="AE32" s="635">
        <f>'SC-Retro'!Y165</f>
        <v>0.45336659519427114</v>
      </c>
      <c r="AF32" s="636">
        <f t="shared" si="2"/>
        <v>13.486408256207939</v>
      </c>
      <c r="AG32" s="636">
        <f t="shared" si="3"/>
        <v>9.7872433829939958</v>
      </c>
      <c r="AH32" s="636">
        <f t="shared" si="4"/>
        <v>8.8138194644542764</v>
      </c>
      <c r="AI32" s="636">
        <f t="shared" si="5"/>
        <v>7.0379084985094629</v>
      </c>
      <c r="AJ32" s="636">
        <f t="shared" si="6"/>
        <v>2.8995178999294513</v>
      </c>
      <c r="AK32" s="636">
        <f t="shared" si="7"/>
        <v>0.81032503716418314</v>
      </c>
      <c r="AL32" s="636">
        <f t="shared" si="8"/>
        <v>0.19805377797117457</v>
      </c>
      <c r="AM32" s="636">
        <f t="shared" si="9"/>
        <v>0.16610210584625554</v>
      </c>
      <c r="AN32" s="636">
        <f t="shared" si="10"/>
        <v>1.5733556650177898</v>
      </c>
      <c r="AO32" s="636">
        <f t="shared" si="11"/>
        <v>5.3989075799945017</v>
      </c>
      <c r="AP32" s="636">
        <f t="shared" si="12"/>
        <v>8.597607800836224</v>
      </c>
      <c r="AQ32" s="636">
        <f t="shared" si="13"/>
        <v>15.676542685167501</v>
      </c>
      <c r="AR32" s="636"/>
      <c r="AS32" s="636">
        <f t="shared" si="14"/>
        <v>8.4928932573846367</v>
      </c>
      <c r="AT32" s="636">
        <f t="shared" si="15"/>
        <v>6.3455397866566257</v>
      </c>
      <c r="AU32" s="636">
        <f t="shared" si="16"/>
        <v>4.8996724678994781</v>
      </c>
      <c r="AV32" s="636">
        <f t="shared" si="17"/>
        <v>4.1811101375618449</v>
      </c>
      <c r="AW32" s="636">
        <f t="shared" si="18"/>
        <v>1.6423246601717416</v>
      </c>
      <c r="AX32" s="636">
        <f t="shared" si="19"/>
        <v>0.40758685714619375</v>
      </c>
      <c r="AY32" s="636">
        <f t="shared" si="20"/>
        <v>0.1099077262750332</v>
      </c>
      <c r="AZ32" s="636">
        <f t="shared" si="21"/>
        <v>7.3555865147377761E-2</v>
      </c>
      <c r="BA32" s="636">
        <f t="shared" si="22"/>
        <v>0.89697456341039461</v>
      </c>
      <c r="BB32" s="636">
        <f t="shared" si="23"/>
        <v>2.7741947612933746</v>
      </c>
      <c r="BC32" s="636">
        <f t="shared" si="24"/>
        <v>5.600542576787702</v>
      </c>
      <c r="BD32" s="636">
        <f t="shared" si="25"/>
        <v>9.9938038782864815</v>
      </c>
    </row>
    <row r="33" spans="1:56" ht="15">
      <c r="A33" s="631" t="str">
        <f>VLOOKUP(CONCATENATE($C33," - ",$B33),[3]ACHIEV!$B$12:$C$100,2,FALSE)</f>
        <v>Retro12Med</v>
      </c>
      <c r="B33" s="631" t="str">
        <f>'SC-Retro'!$C$7</f>
        <v>Retro</v>
      </c>
      <c r="C33" s="631" t="str">
        <f>'SC-Retro'!$C$8</f>
        <v>ResWx</v>
      </c>
      <c r="D33" s="631" t="s">
        <v>314</v>
      </c>
      <c r="E33" s="631" t="s">
        <v>215</v>
      </c>
      <c r="F33" s="632">
        <f t="shared" si="1"/>
        <v>8.5240827571148772E-2</v>
      </c>
      <c r="G33" s="633">
        <f>'SC-Retro'!A166</f>
        <v>163.51238390770072</v>
      </c>
      <c r="H33" s="633">
        <f>'SC-Retro'!B166</f>
        <v>150.93896574530709</v>
      </c>
      <c r="I33" s="634" t="str">
        <f>'SC-Retro'!C166</f>
        <v>Multifamily - Low Rise</v>
      </c>
      <c r="J33" s="637" t="str">
        <f>'SC-Retro'!D166</f>
        <v>ATTIC R0 - R38_Heat Pump</v>
      </c>
      <c r="K33" s="635">
        <f>'SC-Retro'!E166</f>
        <v>1.4030558538048308E-2</v>
      </c>
      <c r="L33" s="635">
        <f>'SC-Retro'!F166</f>
        <v>1.5998570939227148E-2</v>
      </c>
      <c r="M33" s="635">
        <f>'SC-Retro'!G166</f>
        <v>1.745863650471147E-2</v>
      </c>
      <c r="N33" s="635">
        <f>'SC-Retro'!H166</f>
        <v>1.8219336859154826E-2</v>
      </c>
      <c r="O33" s="635">
        <f>'SC-Retro'!I166</f>
        <v>1.7457022533514211E-2</v>
      </c>
      <c r="P33" s="635">
        <f>'SC-Retro'!J166</f>
        <v>1.4514484013184758E-2</v>
      </c>
      <c r="Q33" s="635">
        <f>'SC-Retro'!K166</f>
        <v>1.0861143198279879E-2</v>
      </c>
      <c r="R33" s="635">
        <f>'SC-Retro'!L166</f>
        <v>7.3885087642224763E-3</v>
      </c>
      <c r="S33" s="635">
        <f>'SC-Retro'!M166</f>
        <v>4.6073317543284436E-3</v>
      </c>
      <c r="T33" s="635">
        <f>'SC-Retro'!N166</f>
        <v>2.6520400057618038E-3</v>
      </c>
      <c r="U33" s="635">
        <f>'SC-Retro'!O166</f>
        <v>1.4175094854009711E-3</v>
      </c>
      <c r="V33" s="635">
        <f>'SC-Retro'!P166</f>
        <v>7.07145289807285E-4</v>
      </c>
      <c r="W33" s="635">
        <f>'SC-Retro'!Q166</f>
        <v>3.3072163672890557E-4</v>
      </c>
      <c r="X33" s="635">
        <f>'SC-Retro'!R166</f>
        <v>1.4557527712316125E-4</v>
      </c>
      <c r="Y33" s="635">
        <f>'SC-Retro'!S166</f>
        <v>6.0518625912937818E-5</v>
      </c>
      <c r="Z33" s="635">
        <f>'SC-Retro'!T166</f>
        <v>2.383468387079433E-5</v>
      </c>
      <c r="AA33" s="635">
        <f>'SC-Retro'!U166</f>
        <v>8.917709867301291E-6</v>
      </c>
      <c r="AB33" s="635">
        <f>'SC-Retro'!V166</f>
        <v>3.1776640617521039E-6</v>
      </c>
      <c r="AC33" s="635">
        <f>'SC-Retro'!W166</f>
        <v>1.0808346019166562E-6</v>
      </c>
      <c r="AD33" s="635">
        <f>'SC-Retro'!X166</f>
        <v>3.5164572504139795E-7</v>
      </c>
      <c r="AE33" s="635">
        <f>'SC-Retro'!Y166</f>
        <v>0.12285683607658811</v>
      </c>
      <c r="AF33" s="636">
        <f t="shared" si="2"/>
        <v>18.397489055394345</v>
      </c>
      <c r="AG33" s="636">
        <f t="shared" si="3"/>
        <v>13.35127185833403</v>
      </c>
      <c r="AH33" s="636">
        <f t="shared" si="4"/>
        <v>12.023375242172342</v>
      </c>
      <c r="AI33" s="636">
        <f t="shared" si="5"/>
        <v>9.6007656089302884</v>
      </c>
      <c r="AJ33" s="636">
        <f t="shared" si="6"/>
        <v>3.9553784681935111</v>
      </c>
      <c r="AK33" s="636">
        <f t="shared" si="7"/>
        <v>1.1054052138513446</v>
      </c>
      <c r="AL33" s="636">
        <f t="shared" si="8"/>
        <v>0.27017513806368387</v>
      </c>
      <c r="AM33" s="636">
        <f t="shared" si="9"/>
        <v>0.22658825213731709</v>
      </c>
      <c r="AN33" s="636">
        <f t="shared" si="10"/>
        <v>2.146293740891569</v>
      </c>
      <c r="AO33" s="636">
        <f t="shared" si="11"/>
        <v>7.3649218700103818</v>
      </c>
      <c r="AP33" s="636">
        <f t="shared" si="12"/>
        <v>11.728430017358264</v>
      </c>
      <c r="AQ33" s="636">
        <f t="shared" si="13"/>
        <v>21.385161786425499</v>
      </c>
      <c r="AR33" s="636"/>
      <c r="AS33" s="636">
        <f t="shared" si="14"/>
        <v>11.585583632279832</v>
      </c>
      <c r="AT33" s="636">
        <f t="shared" si="15"/>
        <v>8.656270562019138</v>
      </c>
      <c r="AU33" s="636">
        <f t="shared" si="16"/>
        <v>6.6838900981441425</v>
      </c>
      <c r="AV33" s="636">
        <f t="shared" si="17"/>
        <v>5.7036630164139073</v>
      </c>
      <c r="AW33" s="636">
        <f t="shared" si="18"/>
        <v>2.2403778223906077</v>
      </c>
      <c r="AX33" s="636">
        <f t="shared" si="19"/>
        <v>0.55600976931852875</v>
      </c>
      <c r="AY33" s="636">
        <f t="shared" si="20"/>
        <v>0.1499306674419737</v>
      </c>
      <c r="AZ33" s="636">
        <f t="shared" si="21"/>
        <v>0.10034126198026316</v>
      </c>
      <c r="BA33" s="636">
        <f t="shared" si="22"/>
        <v>1.2236081986998852</v>
      </c>
      <c r="BB33" s="636">
        <f t="shared" si="23"/>
        <v>3.7844188599980835</v>
      </c>
      <c r="BC33" s="636">
        <f t="shared" si="24"/>
        <v>7.6399823291196336</v>
      </c>
      <c r="BD33" s="636">
        <f t="shared" si="25"/>
        <v>13.633051438132162</v>
      </c>
    </row>
    <row r="34" spans="1:56" ht="15">
      <c r="A34" s="631" t="str">
        <f>VLOOKUP(CONCATENATE($C34," - ",$B34),[3]ACHIEV!$B$12:$C$100,2,FALSE)</f>
        <v>Retro12Med</v>
      </c>
      <c r="B34" s="631" t="str">
        <f>'SC-Retro'!$C$7</f>
        <v>Retro</v>
      </c>
      <c r="C34" s="631" t="str">
        <f>'SC-Retro'!$C$8</f>
        <v>ResWx</v>
      </c>
      <c r="D34" s="631" t="s">
        <v>314</v>
      </c>
      <c r="E34" s="631" t="s">
        <v>215</v>
      </c>
      <c r="F34" s="632">
        <f t="shared" si="1"/>
        <v>9.0497399725165059E-2</v>
      </c>
      <c r="G34" s="633">
        <f>'SC-Retro'!A167</f>
        <v>173.59575203746954</v>
      </c>
      <c r="H34" s="633">
        <f>'SC-Retro'!B167</f>
        <v>190.97680151409514</v>
      </c>
      <c r="I34" s="634" t="str">
        <f>'SC-Retro'!C167</f>
        <v>Multifamily - Low Rise</v>
      </c>
      <c r="J34" s="637" t="str">
        <f>'SC-Retro'!D167</f>
        <v>ATTIC R0 - R49_Heat Pump</v>
      </c>
      <c r="K34" s="635">
        <f>'SC-Retro'!E167</f>
        <v>8.8852813620882695E-2</v>
      </c>
      <c r="L34" s="635">
        <f>'SC-Retro'!F167</f>
        <v>0.10131585553124797</v>
      </c>
      <c r="M34" s="635">
        <f>'SC-Retro'!G167</f>
        <v>0.11056216837135625</v>
      </c>
      <c r="N34" s="635">
        <f>'SC-Retro'!H167</f>
        <v>0.11537953659168781</v>
      </c>
      <c r="O34" s="635">
        <f>'SC-Retro'!I167</f>
        <v>0.11055194740391647</v>
      </c>
      <c r="P34" s="635">
        <f>'SC-Retro'!J167</f>
        <v>9.1917420060611599E-2</v>
      </c>
      <c r="Q34" s="635">
        <f>'SC-Retro'!K167</f>
        <v>6.8781519259511967E-2</v>
      </c>
      <c r="R34" s="635">
        <f>'SC-Retro'!L167</f>
        <v>4.6789997018539052E-2</v>
      </c>
      <c r="S34" s="635">
        <f>'SC-Retro'!M167</f>
        <v>2.9177340912464121E-2</v>
      </c>
      <c r="T34" s="635">
        <f>'SC-Retro'!N167</f>
        <v>1.6794856434835609E-2</v>
      </c>
      <c r="U34" s="635">
        <f>'SC-Retro'!O167</f>
        <v>8.9768134155609886E-3</v>
      </c>
      <c r="V34" s="635">
        <f>'SC-Retro'!P167</f>
        <v>4.4782143538864318E-3</v>
      </c>
      <c r="W34" s="635">
        <f>'SC-Retro'!Q167</f>
        <v>2.0943961617050739E-3</v>
      </c>
      <c r="X34" s="635">
        <f>'SC-Retro'!R167</f>
        <v>9.2190007482281355E-4</v>
      </c>
      <c r="Y34" s="635">
        <f>'SC-Retro'!S167</f>
        <v>3.8325275321378453E-4</v>
      </c>
      <c r="Z34" s="635">
        <f>'SC-Retro'!T167</f>
        <v>1.5094044317204619E-4</v>
      </c>
      <c r="AA34" s="635">
        <f>'SC-Retro'!U167</f>
        <v>5.6474131846974123E-5</v>
      </c>
      <c r="AB34" s="635">
        <f>'SC-Retro'!V167</f>
        <v>2.0123531922337266E-5</v>
      </c>
      <c r="AC34" s="635">
        <f>'SC-Retro'!W167</f>
        <v>6.8447164935502541E-6</v>
      </c>
      <c r="AD34" s="635">
        <f>'SC-Retro'!X167</f>
        <v>2.2269043661343604E-6</v>
      </c>
      <c r="AE34" s="635">
        <f>'SC-Retro'!Y167</f>
        <v>0.77802858156799326</v>
      </c>
      <c r="AF34" s="636">
        <f t="shared" si="2"/>
        <v>19.532012633214908</v>
      </c>
      <c r="AG34" s="636">
        <f t="shared" si="3"/>
        <v>14.174608818696605</v>
      </c>
      <c r="AH34" s="636">
        <f t="shared" si="4"/>
        <v>12.764824396247469</v>
      </c>
      <c r="AI34" s="636">
        <f t="shared" si="5"/>
        <v>10.192818954670232</v>
      </c>
      <c r="AJ34" s="636">
        <f t="shared" si="6"/>
        <v>4.1992960005185838</v>
      </c>
      <c r="AK34" s="636">
        <f t="shared" si="7"/>
        <v>1.1735725748637114</v>
      </c>
      <c r="AL34" s="636">
        <f t="shared" si="8"/>
        <v>0.2868361108383517</v>
      </c>
      <c r="AM34" s="636">
        <f t="shared" si="9"/>
        <v>0.24056133910222335</v>
      </c>
      <c r="AN34" s="636">
        <f t="shared" si="10"/>
        <v>2.2786498926815444</v>
      </c>
      <c r="AO34" s="636">
        <f t="shared" si="11"/>
        <v>7.8190967568753429</v>
      </c>
      <c r="AP34" s="636">
        <f t="shared" si="12"/>
        <v>12.451690694152081</v>
      </c>
      <c r="AQ34" s="636">
        <f t="shared" si="13"/>
        <v>22.703927091253508</v>
      </c>
      <c r="AR34" s="636"/>
      <c r="AS34" s="636">
        <f t="shared" si="14"/>
        <v>12.300035357406934</v>
      </c>
      <c r="AT34" s="636">
        <f t="shared" si="15"/>
        <v>9.1900794431677983</v>
      </c>
      <c r="AU34" s="636">
        <f t="shared" si="16"/>
        <v>7.0960675906853048</v>
      </c>
      <c r="AV34" s="636">
        <f t="shared" si="17"/>
        <v>6.055392546056833</v>
      </c>
      <c r="AW34" s="636">
        <f t="shared" si="18"/>
        <v>2.3785358859760923</v>
      </c>
      <c r="AX34" s="636">
        <f t="shared" si="19"/>
        <v>0.59029739361829614</v>
      </c>
      <c r="AY34" s="636">
        <f t="shared" si="20"/>
        <v>0.15917648771337739</v>
      </c>
      <c r="AZ34" s="636">
        <f t="shared" si="21"/>
        <v>0.10652903723601197</v>
      </c>
      <c r="BA34" s="636">
        <f t="shared" si="22"/>
        <v>1.2990648192886893</v>
      </c>
      <c r="BB34" s="636">
        <f t="shared" si="23"/>
        <v>4.0177937739381866</v>
      </c>
      <c r="BC34" s="636">
        <f t="shared" si="24"/>
        <v>8.1111194533445943</v>
      </c>
      <c r="BD34" s="636">
        <f t="shared" si="25"/>
        <v>14.473764985922879</v>
      </c>
    </row>
    <row r="35" spans="1:56" ht="15">
      <c r="A35" s="631" t="str">
        <f>VLOOKUP(CONCATENATE($C35," - ",$B35),[3]ACHIEV!$B$12:$C$100,2,FALSE)</f>
        <v>Retro12Med</v>
      </c>
      <c r="B35" s="631" t="str">
        <f>'SC-Retro'!$C$7</f>
        <v>Retro</v>
      </c>
      <c r="C35" s="631" t="str">
        <f>'SC-Retro'!$C$8</f>
        <v>ResWx</v>
      </c>
      <c r="D35" s="631" t="s">
        <v>314</v>
      </c>
      <c r="E35" s="631" t="s">
        <v>215</v>
      </c>
      <c r="F35" s="632">
        <f t="shared" si="1"/>
        <v>1.6462760659691576E-2</v>
      </c>
      <c r="G35" s="633">
        <f>'SC-Retro'!A168</f>
        <v>31.579529644069172</v>
      </c>
      <c r="H35" s="633">
        <f>'SC-Retro'!B168</f>
        <v>244.017780079944</v>
      </c>
      <c r="I35" s="634" t="str">
        <f>'SC-Retro'!C168</f>
        <v>Multifamily - Low Rise</v>
      </c>
      <c r="J35" s="637" t="str">
        <f>'SC-Retro'!D168</f>
        <v>ATTIC R19 - R30_Heat Pump</v>
      </c>
      <c r="K35" s="635">
        <f>'SC-Retro'!E168</f>
        <v>9.3447718594763859E-3</v>
      </c>
      <c r="L35" s="635">
        <f>'SC-Retro'!F168</f>
        <v>1.0655527012648986E-2</v>
      </c>
      <c r="M35" s="635">
        <f>'SC-Retro'!G168</f>
        <v>1.1627974372626021E-2</v>
      </c>
      <c r="N35" s="635">
        <f>'SC-Retro'!H168</f>
        <v>1.2134623573113582E-2</v>
      </c>
      <c r="O35" s="635">
        <f>'SC-Retro'!I168</f>
        <v>1.162689941950956E-2</v>
      </c>
      <c r="P35" s="635">
        <f>'SC-Retro'!J168</f>
        <v>9.6670807076862115E-3</v>
      </c>
      <c r="Q35" s="635">
        <f>'SC-Retro'!K168</f>
        <v>7.2338463964776271E-3</v>
      </c>
      <c r="R35" s="635">
        <f>'SC-Retro'!L168</f>
        <v>4.9209679426636052E-3</v>
      </c>
      <c r="S35" s="635">
        <f>'SC-Retro'!M168</f>
        <v>3.068620825633177E-3</v>
      </c>
      <c r="T35" s="635">
        <f>'SC-Retro'!N168</f>
        <v>1.7663380077736985E-3</v>
      </c>
      <c r="U35" s="635">
        <f>'SC-Retro'!O168</f>
        <v>9.4410373712452706E-4</v>
      </c>
      <c r="V35" s="635">
        <f>'SC-Retro'!P168</f>
        <v>4.7097992477151946E-4</v>
      </c>
      <c r="W35" s="635">
        <f>'SC-Retro'!Q168</f>
        <v>2.2027050711084168E-4</v>
      </c>
      <c r="X35" s="635">
        <f>'SC-Retro'!R168</f>
        <v>9.6957490994170045E-5</v>
      </c>
      <c r="Y35" s="635">
        <f>'SC-Retro'!S168</f>
        <v>4.030721591530219E-5</v>
      </c>
      <c r="Z35" s="635">
        <f>'SC-Retro'!T168</f>
        <v>1.5874612725595529E-5</v>
      </c>
      <c r="AA35" s="635">
        <f>'SC-Retro'!U168</f>
        <v>5.9394616396022708E-6</v>
      </c>
      <c r="AB35" s="635">
        <f>'SC-Retro'!V168</f>
        <v>2.1164193586879901E-6</v>
      </c>
      <c r="AC35" s="635">
        <f>'SC-Retro'!W168</f>
        <v>7.1986818951999426E-7</v>
      </c>
      <c r="AD35" s="635">
        <f>'SC-Retro'!X168</f>
        <v>2.3420657609323696E-7</v>
      </c>
      <c r="AE35" s="635">
        <f>'SC-Retro'!Y168</f>
        <v>8.1826329393762248E-2</v>
      </c>
      <c r="AF35" s="636">
        <f t="shared" si="2"/>
        <v>3.5531501475094212</v>
      </c>
      <c r="AG35" s="636">
        <f t="shared" si="3"/>
        <v>2.5785624021865243</v>
      </c>
      <c r="AH35" s="636">
        <f t="shared" si="4"/>
        <v>2.3221026188222984</v>
      </c>
      <c r="AI35" s="636">
        <f t="shared" si="5"/>
        <v>1.8542183466918132</v>
      </c>
      <c r="AJ35" s="636">
        <f t="shared" si="6"/>
        <v>0.76391150691276311</v>
      </c>
      <c r="AK35" s="636">
        <f t="shared" si="7"/>
        <v>0.21348949776936826</v>
      </c>
      <c r="AL35" s="636">
        <f t="shared" si="8"/>
        <v>5.2179557154452112E-2</v>
      </c>
      <c r="AM35" s="636">
        <f t="shared" si="9"/>
        <v>4.3761519796612969E-2</v>
      </c>
      <c r="AN35" s="636">
        <f t="shared" si="10"/>
        <v>0.41451873671920292</v>
      </c>
      <c r="AO35" s="636">
        <f t="shared" si="11"/>
        <v>1.4224046091306033</v>
      </c>
      <c r="AP35" s="636">
        <f t="shared" si="12"/>
        <v>2.2651391568031123</v>
      </c>
      <c r="AQ35" s="636">
        <f t="shared" si="13"/>
        <v>4.1301663790728584</v>
      </c>
      <c r="AR35" s="636"/>
      <c r="AS35" s="636">
        <f t="shared" si="14"/>
        <v>2.2375508999119473</v>
      </c>
      <c r="AT35" s="636">
        <f t="shared" si="15"/>
        <v>1.6718058063092833</v>
      </c>
      <c r="AU35" s="636">
        <f t="shared" si="16"/>
        <v>1.2908753480787742</v>
      </c>
      <c r="AV35" s="636">
        <f t="shared" si="17"/>
        <v>1.1015617961285264</v>
      </c>
      <c r="AW35" s="636">
        <f t="shared" si="18"/>
        <v>0.43268941572056252</v>
      </c>
      <c r="AX35" s="636">
        <f t="shared" si="19"/>
        <v>0.1073834689028689</v>
      </c>
      <c r="AY35" s="636">
        <f t="shared" si="20"/>
        <v>2.8956460935164061E-2</v>
      </c>
      <c r="AZ35" s="636">
        <f t="shared" si="21"/>
        <v>1.9379142921784519E-2</v>
      </c>
      <c r="BA35" s="636">
        <f t="shared" si="22"/>
        <v>0.23631831706019965</v>
      </c>
      <c r="BB35" s="636">
        <f t="shared" si="23"/>
        <v>0.73089367740088051</v>
      </c>
      <c r="BC35" s="636">
        <f t="shared" si="24"/>
        <v>1.475527679779828</v>
      </c>
      <c r="BD35" s="636">
        <f t="shared" si="25"/>
        <v>2.6329831523503255</v>
      </c>
    </row>
    <row r="36" spans="1:56" ht="15">
      <c r="A36" s="631" t="str">
        <f>VLOOKUP(CONCATENATE($C36," - ",$B36),[3]ACHIEV!$B$12:$C$100,2,FALSE)</f>
        <v>Retro12Med</v>
      </c>
      <c r="B36" s="631" t="str">
        <f>'SC-Retro'!$C$7</f>
        <v>Retro</v>
      </c>
      <c r="C36" s="631" t="str">
        <f>'SC-Retro'!$C$8</f>
        <v>ResWx</v>
      </c>
      <c r="D36" s="631" t="s">
        <v>314</v>
      </c>
      <c r="E36" s="631" t="s">
        <v>215</v>
      </c>
      <c r="F36" s="632">
        <f t="shared" si="1"/>
        <v>2.2754441670325792E-2</v>
      </c>
      <c r="G36" s="633">
        <f>'SC-Retro'!A169</f>
        <v>43.648485215587066</v>
      </c>
      <c r="H36" s="633">
        <f>'SC-Retro'!B169</f>
        <v>313.84485863370514</v>
      </c>
      <c r="I36" s="634" t="str">
        <f>'SC-Retro'!C169</f>
        <v>Multifamily - Low Rise</v>
      </c>
      <c r="J36" s="637" t="str">
        <f>'SC-Retro'!D169</f>
        <v>ATTIC R19 - R38_Heat Pump</v>
      </c>
      <c r="K36" s="635">
        <f>'SC-Retro'!E169</f>
        <v>3.5012066599355886E-3</v>
      </c>
      <c r="L36" s="635">
        <f>'SC-Retro'!F169</f>
        <v>3.9923074316659257E-3</v>
      </c>
      <c r="M36" s="635">
        <f>'SC-Retro'!G169</f>
        <v>4.3566543867749139E-3</v>
      </c>
      <c r="N36" s="635">
        <f>'SC-Retro'!H169</f>
        <v>4.5464806962528933E-3</v>
      </c>
      <c r="O36" s="635">
        <f>'SC-Retro'!I169</f>
        <v>4.3562516339771947E-3</v>
      </c>
      <c r="P36" s="635">
        <f>'SC-Retro'!J169</f>
        <v>3.6219661501487228E-3</v>
      </c>
      <c r="Q36" s="635">
        <f>'SC-Retro'!K169</f>
        <v>2.7103059936786598E-3</v>
      </c>
      <c r="R36" s="635">
        <f>'SC-Retro'!L169</f>
        <v>1.8437395790151215E-3</v>
      </c>
      <c r="S36" s="635">
        <f>'SC-Retro'!M169</f>
        <v>1.1497204889628983E-3</v>
      </c>
      <c r="T36" s="635">
        <f>'SC-Retro'!N169</f>
        <v>6.6179404799949365E-4</v>
      </c>
      <c r="U36" s="635">
        <f>'SC-Retro'!O169</f>
        <v>3.5372744694012138E-4</v>
      </c>
      <c r="V36" s="635">
        <f>'SC-Retro'!P169</f>
        <v>1.7646209817672362E-4</v>
      </c>
      <c r="W36" s="635">
        <f>'SC-Retro'!Q169</f>
        <v>8.2528774172458121E-5</v>
      </c>
      <c r="X36" s="635">
        <f>'SC-Retro'!R169</f>
        <v>3.6327073395075309E-5</v>
      </c>
      <c r="Y36" s="635">
        <f>'SC-Retro'!S169</f>
        <v>1.5101908845747396E-5</v>
      </c>
      <c r="Z36" s="635">
        <f>'SC-Retro'!T169</f>
        <v>5.9477428271713457E-6</v>
      </c>
      <c r="AA36" s="635">
        <f>'SC-Retro'!U169</f>
        <v>2.2253387200586659E-6</v>
      </c>
      <c r="AB36" s="635">
        <f>'SC-Retro'!V169</f>
        <v>7.9295906473528423E-7</v>
      </c>
      <c r="AC36" s="635">
        <f>'SC-Retro'!W169</f>
        <v>2.6971309062695545E-7</v>
      </c>
      <c r="AD36" s="635">
        <f>'SC-Retro'!X169</f>
        <v>8.775020261054289E-8</v>
      </c>
      <c r="AE36" s="635">
        <f>'SC-Retro'!Y169</f>
        <v>3.0657879479529252E-2</v>
      </c>
      <c r="AF36" s="636">
        <f t="shared" si="2"/>
        <v>4.9110807991864043</v>
      </c>
      <c r="AG36" s="636">
        <f t="shared" si="3"/>
        <v>3.5640284753400318</v>
      </c>
      <c r="AH36" s="636">
        <f t="shared" si="4"/>
        <v>3.2095557777180646</v>
      </c>
      <c r="AI36" s="636">
        <f t="shared" si="5"/>
        <v>2.5628571104208251</v>
      </c>
      <c r="AJ36" s="636">
        <f t="shared" si="6"/>
        <v>1.0558605682640592</v>
      </c>
      <c r="AK36" s="636">
        <f t="shared" si="7"/>
        <v>0.2950801766871613</v>
      </c>
      <c r="AL36" s="636">
        <f t="shared" si="8"/>
        <v>7.212136009250926E-2</v>
      </c>
      <c r="AM36" s="636">
        <f t="shared" si="9"/>
        <v>6.048614629106152E-2</v>
      </c>
      <c r="AN36" s="636">
        <f t="shared" si="10"/>
        <v>0.57293807587377898</v>
      </c>
      <c r="AO36" s="636">
        <f t="shared" si="11"/>
        <v>1.9660142900158786</v>
      </c>
      <c r="AP36" s="636">
        <f t="shared" si="12"/>
        <v>3.1308222165220365</v>
      </c>
      <c r="AQ36" s="636">
        <f t="shared" si="13"/>
        <v>5.7086191012579963</v>
      </c>
      <c r="AR36" s="636"/>
      <c r="AS36" s="636">
        <f t="shared" si="14"/>
        <v>3.0926903748951937</v>
      </c>
      <c r="AT36" s="636">
        <f t="shared" si="15"/>
        <v>2.3107307753625115</v>
      </c>
      <c r="AU36" s="636">
        <f t="shared" si="16"/>
        <v>1.7842176302446633</v>
      </c>
      <c r="AV36" s="636">
        <f t="shared" si="17"/>
        <v>1.522552878852061</v>
      </c>
      <c r="AW36" s="636">
        <f t="shared" si="18"/>
        <v>0.59805316221886573</v>
      </c>
      <c r="AX36" s="636">
        <f t="shared" si="19"/>
        <v>0.14842291217233494</v>
      </c>
      <c r="AY36" s="636">
        <f t="shared" si="20"/>
        <v>4.0022941166940475E-2</v>
      </c>
      <c r="AZ36" s="636">
        <f t="shared" si="21"/>
        <v>2.6785396832885382E-2</v>
      </c>
      <c r="BA36" s="636">
        <f t="shared" si="22"/>
        <v>0.32663363528949041</v>
      </c>
      <c r="BB36" s="636">
        <f t="shared" si="23"/>
        <v>1.0102240987047084</v>
      </c>
      <c r="BC36" s="636">
        <f t="shared" si="24"/>
        <v>2.0394397523319312</v>
      </c>
      <c r="BD36" s="636">
        <f t="shared" si="25"/>
        <v>3.6392475598456788</v>
      </c>
    </row>
    <row r="37" spans="1:56" ht="15">
      <c r="A37" s="631" t="str">
        <f>VLOOKUP(CONCATENATE($C37," - ",$B37),[3]ACHIEV!$B$12:$C$100,2,FALSE)</f>
        <v>Retro12Med</v>
      </c>
      <c r="B37" s="631" t="str">
        <f>'SC-Retro'!$C$7</f>
        <v>Retro</v>
      </c>
      <c r="C37" s="631" t="str">
        <f>'SC-Retro'!$C$8</f>
        <v>ResWx</v>
      </c>
      <c r="D37" s="631" t="s">
        <v>314</v>
      </c>
      <c r="E37" s="631" t="s">
        <v>215</v>
      </c>
      <c r="F37" s="632">
        <f t="shared" si="1"/>
        <v>2.8011013824342085E-2</v>
      </c>
      <c r="G37" s="633">
        <f>'SC-Retro'!A170</f>
        <v>53.731853345355894</v>
      </c>
      <c r="H37" s="633">
        <f>'SC-Retro'!B170</f>
        <v>412.62719706558471</v>
      </c>
      <c r="I37" s="634" t="str">
        <f>'SC-Retro'!C170</f>
        <v>Multifamily - Low Rise</v>
      </c>
      <c r="J37" s="637" t="str">
        <f>'SC-Retro'!D170</f>
        <v>ATTIC R19 - R49_Heat Pump</v>
      </c>
      <c r="K37" s="635">
        <f>'SC-Retro'!E170</f>
        <v>6.3308207228362529E-2</v>
      </c>
      <c r="L37" s="635">
        <f>'SC-Retro'!F170</f>
        <v>7.2188205596492264E-2</v>
      </c>
      <c r="M37" s="635">
        <f>'SC-Retro'!G170</f>
        <v>7.8776263594041898E-2</v>
      </c>
      <c r="N37" s="635">
        <f>'SC-Retro'!H170</f>
        <v>8.2208669762847797E-2</v>
      </c>
      <c r="O37" s="635">
        <f>'SC-Retro'!I170</f>
        <v>7.8768981088307044E-2</v>
      </c>
      <c r="P37" s="635">
        <f>'SC-Retro'!J170</f>
        <v>6.5491759235928149E-2</v>
      </c>
      <c r="Q37" s="635">
        <f>'SC-Retro'!K170</f>
        <v>4.9007279536946342E-2</v>
      </c>
      <c r="R37" s="635">
        <f>'SC-Retro'!L170</f>
        <v>3.3338177000260406E-2</v>
      </c>
      <c r="S37" s="635">
        <f>'SC-Retro'!M170</f>
        <v>2.0789045046343109E-2</v>
      </c>
      <c r="T37" s="635">
        <f>'SC-Retro'!N170</f>
        <v>1.1966444372643693E-2</v>
      </c>
      <c r="U37" s="635">
        <f>'SC-Retro'!O170</f>
        <v>6.396037905873511E-3</v>
      </c>
      <c r="V37" s="635">
        <f>'SC-Retro'!P170</f>
        <v>3.190756834539208E-3</v>
      </c>
      <c r="W37" s="635">
        <f>'SC-Retro'!Q170</f>
        <v>1.4922708783230835E-3</v>
      </c>
      <c r="X37" s="635">
        <f>'SC-Retro'!R170</f>
        <v>6.5685979545625326E-4</v>
      </c>
      <c r="Y37" s="635">
        <f>'SC-Retro'!S170</f>
        <v>2.7307007772229191E-4</v>
      </c>
      <c r="Z37" s="635">
        <f>'SC-Retro'!T170</f>
        <v>1.0754604683931954E-4</v>
      </c>
      <c r="AA37" s="635">
        <f>'SC-Retro'!U170</f>
        <v>4.0238186010238194E-5</v>
      </c>
      <c r="AB37" s="635">
        <f>'SC-Retro'!V170</f>
        <v>1.4338147293137345E-5</v>
      </c>
      <c r="AC37" s="635">
        <f>'SC-Retro'!W170</f>
        <v>4.8769049907861045E-6</v>
      </c>
      <c r="AD37" s="635">
        <f>'SC-Retro'!X170</f>
        <v>1.5866838352527435E-6</v>
      </c>
      <c r="AE37" s="635">
        <f>'SC-Retro'!Y170</f>
        <v>0.55435042137955592</v>
      </c>
      <c r="AF37" s="636">
        <f t="shared" si="2"/>
        <v>6.0456043770069678</v>
      </c>
      <c r="AG37" s="636">
        <f t="shared" si="3"/>
        <v>4.3873654357026073</v>
      </c>
      <c r="AH37" s="636">
        <f t="shared" si="4"/>
        <v>3.9510049317931917</v>
      </c>
      <c r="AI37" s="636">
        <f t="shared" si="5"/>
        <v>3.1549104561607684</v>
      </c>
      <c r="AJ37" s="636">
        <f t="shared" si="6"/>
        <v>1.2997781005891318</v>
      </c>
      <c r="AK37" s="636">
        <f t="shared" si="7"/>
        <v>0.36324753769952806</v>
      </c>
      <c r="AL37" s="636">
        <f t="shared" si="8"/>
        <v>8.8782332867177127E-2</v>
      </c>
      <c r="AM37" s="636">
        <f t="shared" si="9"/>
        <v>7.4459233255967816E-2</v>
      </c>
      <c r="AN37" s="636">
        <f t="shared" si="10"/>
        <v>0.70529422766375438</v>
      </c>
      <c r="AO37" s="636">
        <f t="shared" si="11"/>
        <v>2.4201891768808399</v>
      </c>
      <c r="AP37" s="636">
        <f t="shared" si="12"/>
        <v>3.8540828933158551</v>
      </c>
      <c r="AQ37" s="636">
        <f t="shared" si="13"/>
        <v>7.0273844060860036</v>
      </c>
      <c r="AR37" s="636"/>
      <c r="AS37" s="636">
        <f t="shared" si="14"/>
        <v>3.807142100022296</v>
      </c>
      <c r="AT37" s="636">
        <f t="shared" si="15"/>
        <v>2.8445396565111714</v>
      </c>
      <c r="AU37" s="636">
        <f t="shared" si="16"/>
        <v>2.1963951227858263</v>
      </c>
      <c r="AV37" s="636">
        <f t="shared" si="17"/>
        <v>1.8742824084949872</v>
      </c>
      <c r="AW37" s="636">
        <f t="shared" si="18"/>
        <v>0.73621122580435061</v>
      </c>
      <c r="AX37" s="636">
        <f t="shared" si="19"/>
        <v>0.18271053647210234</v>
      </c>
      <c r="AY37" s="636">
        <f t="shared" si="20"/>
        <v>4.9268761438344189E-2</v>
      </c>
      <c r="AZ37" s="636">
        <f t="shared" si="21"/>
        <v>3.2973172088634192E-2</v>
      </c>
      <c r="BA37" s="636">
        <f t="shared" si="22"/>
        <v>0.40209025587829461</v>
      </c>
      <c r="BB37" s="636">
        <f t="shared" si="23"/>
        <v>1.2435990126448115</v>
      </c>
      <c r="BC37" s="636">
        <f t="shared" si="24"/>
        <v>2.5105768765568923</v>
      </c>
      <c r="BD37" s="636">
        <f t="shared" si="25"/>
        <v>4.479961107636397</v>
      </c>
    </row>
    <row r="38" spans="1:56" ht="15">
      <c r="A38" s="631" t="str">
        <f>VLOOKUP(CONCATENATE($C38," - ",$B38),[3]ACHIEV!$B$12:$C$100,2,FALSE)</f>
        <v>Retro12Med</v>
      </c>
      <c r="B38" s="631" t="str">
        <f>'SC-Retro'!$C$7</f>
        <v>Retro</v>
      </c>
      <c r="C38" s="631" t="str">
        <f>'SC-Retro'!$C$8</f>
        <v>ResWx</v>
      </c>
      <c r="D38" s="631" t="s">
        <v>314</v>
      </c>
      <c r="E38" s="631" t="s">
        <v>215</v>
      </c>
      <c r="F38" s="632">
        <f t="shared" si="1"/>
        <v>1.5919565714368482</v>
      </c>
      <c r="G38" s="633">
        <f>'SC-Retro'!A171</f>
        <v>3053.755125217408</v>
      </c>
      <c r="H38" s="633">
        <f>'SC-Retro'!B171</f>
        <v>50.04122300433869</v>
      </c>
      <c r="I38" s="634" t="str">
        <f>'SC-Retro'!C171</f>
        <v>Multifamily - Low Rise</v>
      </c>
      <c r="J38" s="637" t="str">
        <f>'SC-Retro'!D171</f>
        <v>WINDOW CL22 Prime Window Replacement of Single Pane Base_Heat Pump</v>
      </c>
      <c r="K38" s="635">
        <f>'SC-Retro'!E171</f>
        <v>0.7771715558841833</v>
      </c>
      <c r="L38" s="635">
        <f>'SC-Retro'!F171</f>
        <v>0.88618241640522744</v>
      </c>
      <c r="M38" s="635">
        <f>'SC-Retro'!G171</f>
        <v>0.96705741679407231</v>
      </c>
      <c r="N38" s="635">
        <f>'SC-Retro'!H171</f>
        <v>1.0091936351364275</v>
      </c>
      <c r="O38" s="635">
        <f>'SC-Retro'!I171</f>
        <v>0.96696801675321709</v>
      </c>
      <c r="P38" s="635">
        <f>'SC-Retro'!J171</f>
        <v>0.8039768404652563</v>
      </c>
      <c r="Q38" s="635">
        <f>'SC-Retro'!K171</f>
        <v>0.60161336665234799</v>
      </c>
      <c r="R38" s="635">
        <f>'SC-Retro'!L171</f>
        <v>0.40925946293464199</v>
      </c>
      <c r="S38" s="635">
        <f>'SC-Retro'!M171</f>
        <v>0.25520631828561002</v>
      </c>
      <c r="T38" s="635">
        <f>'SC-Retro'!N171</f>
        <v>0.14690007186497248</v>
      </c>
      <c r="U38" s="635">
        <f>'SC-Retro'!O171</f>
        <v>7.8517761731451585E-2</v>
      </c>
      <c r="V38" s="635">
        <f>'SC-Retro'!P171</f>
        <v>3.9169731099824516E-2</v>
      </c>
      <c r="W38" s="635">
        <f>'SC-Retro'!Q171</f>
        <v>1.8319117395373525E-2</v>
      </c>
      <c r="X38" s="635">
        <f>'SC-Retro'!R171</f>
        <v>8.0636108899921326E-3</v>
      </c>
      <c r="Y38" s="635">
        <f>'SC-Retro'!S171</f>
        <v>3.3522082911514096E-3</v>
      </c>
      <c r="Z38" s="635">
        <f>'SC-Retro'!T171</f>
        <v>1.3202352777075953E-3</v>
      </c>
      <c r="AA38" s="635">
        <f>'SC-Retro'!U171</f>
        <v>4.9396397397151275E-4</v>
      </c>
      <c r="AB38" s="635">
        <f>'SC-Retro'!V171</f>
        <v>1.7601509706488585E-4</v>
      </c>
      <c r="AC38" s="635">
        <f>'SC-Retro'!W171</f>
        <v>5.9868885971083739E-5</v>
      </c>
      <c r="AD38" s="635">
        <f>'SC-Retro'!X171</f>
        <v>1.9478130860530967E-5</v>
      </c>
      <c r="AE38" s="635">
        <f>'SC-Retro'!Y171</f>
        <v>6.805205807432646</v>
      </c>
      <c r="AF38" s="636">
        <f t="shared" si="2"/>
        <v>343.59126294528789</v>
      </c>
      <c r="AG38" s="636">
        <f t="shared" si="3"/>
        <v>249.34817712995456</v>
      </c>
      <c r="AH38" s="636">
        <f t="shared" si="4"/>
        <v>224.54839744078066</v>
      </c>
      <c r="AI38" s="636">
        <f t="shared" si="5"/>
        <v>179.30377188330584</v>
      </c>
      <c r="AJ38" s="636">
        <f t="shared" si="6"/>
        <v>73.87059610260907</v>
      </c>
      <c r="AK38" s="636">
        <f t="shared" si="7"/>
        <v>20.644533194171178</v>
      </c>
      <c r="AL38" s="636">
        <f t="shared" si="8"/>
        <v>5.0457873150086172</v>
      </c>
      <c r="AM38" s="636">
        <f t="shared" si="9"/>
        <v>4.2317592083360163</v>
      </c>
      <c r="AN38" s="636">
        <f t="shared" si="10"/>
        <v>40.084153596399226</v>
      </c>
      <c r="AO38" s="636">
        <f t="shared" si="11"/>
        <v>137.54718370484701</v>
      </c>
      <c r="AP38" s="636">
        <f t="shared" si="12"/>
        <v>219.04000431232612</v>
      </c>
      <c r="AQ38" s="636">
        <f t="shared" si="13"/>
        <v>399.38899946418525</v>
      </c>
      <c r="AR38" s="636"/>
      <c r="AS38" s="636">
        <f t="shared" si="14"/>
        <v>216.37220710867044</v>
      </c>
      <c r="AT38" s="636">
        <f t="shared" si="15"/>
        <v>161.6643948445888</v>
      </c>
      <c r="AU38" s="636">
        <f t="shared" si="16"/>
        <v>124.82824331592595</v>
      </c>
      <c r="AV38" s="636">
        <f t="shared" si="17"/>
        <v>106.52153526621451</v>
      </c>
      <c r="AW38" s="636">
        <f t="shared" si="18"/>
        <v>41.841266661555451</v>
      </c>
      <c r="AX38" s="636">
        <f t="shared" si="19"/>
        <v>10.384031118314834</v>
      </c>
      <c r="AY38" s="636">
        <f t="shared" si="20"/>
        <v>2.8001031676392256</v>
      </c>
      <c r="AZ38" s="636">
        <f t="shared" si="21"/>
        <v>1.8739720852946378</v>
      </c>
      <c r="BA38" s="636">
        <f t="shared" si="22"/>
        <v>22.852090580166983</v>
      </c>
      <c r="BB38" s="636">
        <f t="shared" si="23"/>
        <v>70.677756714819068</v>
      </c>
      <c r="BC38" s="636">
        <f t="shared" si="24"/>
        <v>142.68420921126784</v>
      </c>
      <c r="BD38" s="636">
        <f t="shared" si="25"/>
        <v>254.61068884573922</v>
      </c>
    </row>
    <row r="39" spans="1:56" ht="15">
      <c r="A39" s="631" t="str">
        <f>VLOOKUP(CONCATENATE($C39," - ",$B39),[3]ACHIEV!$B$12:$C$100,2,FALSE)</f>
        <v>Retro12Med</v>
      </c>
      <c r="B39" s="631" t="str">
        <f>'SC-Retro'!$C$7</f>
        <v>Retro</v>
      </c>
      <c r="C39" s="631" t="str">
        <f>'SC-Retro'!$C$8</f>
        <v>ResWx</v>
      </c>
      <c r="D39" s="631" t="s">
        <v>314</v>
      </c>
      <c r="E39" s="631" t="s">
        <v>215</v>
      </c>
      <c r="F39" s="632">
        <f t="shared" si="1"/>
        <v>1.0309402811908981</v>
      </c>
      <c r="G39" s="633">
        <f>'SC-Retro'!A172</f>
        <v>1977.5911127011982</v>
      </c>
      <c r="H39" s="633">
        <f>'SC-Retro'!B172</f>
        <v>96.674290098502752</v>
      </c>
      <c r="I39" s="634" t="str">
        <f>'SC-Retro'!C172</f>
        <v>Multifamily - Low Rise</v>
      </c>
      <c r="J39" s="637" t="str">
        <f>'SC-Retro'!D172</f>
        <v>WINDOW CL22 Prime Window Replacement of Double Pane Base_Heat Pump</v>
      </c>
      <c r="K39" s="635">
        <f>'SC-Retro'!E172</f>
        <v>2.6152469093676332</v>
      </c>
      <c r="L39" s="635">
        <f>'SC-Retro'!F172</f>
        <v>2.9820775195548799</v>
      </c>
      <c r="M39" s="635">
        <f>'SC-Retro'!G172</f>
        <v>3.2542286208280102</v>
      </c>
      <c r="N39" s="635">
        <f>'SC-Retro'!H172</f>
        <v>3.3960204992851604</v>
      </c>
      <c r="O39" s="635">
        <f>'SC-Retro'!I172</f>
        <v>3.2539277822566897</v>
      </c>
      <c r="P39" s="635">
        <f>'SC-Retro'!J172</f>
        <v>2.7054489209114241</v>
      </c>
      <c r="Q39" s="635">
        <f>'SC-Retro'!K172</f>
        <v>2.0244790044867238</v>
      </c>
      <c r="R39" s="635">
        <f>'SC-Retro'!L172</f>
        <v>1.3771921237539244</v>
      </c>
      <c r="S39" s="635">
        <f>'SC-Retro'!M172</f>
        <v>0.85879048209401609</v>
      </c>
      <c r="T39" s="635">
        <f>'SC-Retro'!N172</f>
        <v>0.49433095694511542</v>
      </c>
      <c r="U39" s="635">
        <f>'SC-Retro'!O172</f>
        <v>0.26421879718053398</v>
      </c>
      <c r="V39" s="635">
        <f>'SC-Retro'!P172</f>
        <v>0.13180940221497647</v>
      </c>
      <c r="W39" s="635">
        <f>'SC-Retro'!Q172</f>
        <v>6.1645353317244952E-2</v>
      </c>
      <c r="X39" s="635">
        <f>'SC-Retro'!R172</f>
        <v>2.713472115484598E-2</v>
      </c>
      <c r="Y39" s="635">
        <f>'SC-Retro'!S172</f>
        <v>1.128045964448131E-2</v>
      </c>
      <c r="Z39" s="635">
        <f>'SC-Retro'!T172</f>
        <v>4.4427014904511617E-3</v>
      </c>
      <c r="AA39" s="635">
        <f>'SC-Retro'!U172</f>
        <v>1.6622298467913394E-3</v>
      </c>
      <c r="AB39" s="635">
        <f>'SC-Retro'!V172</f>
        <v>5.9230543773218806E-4</v>
      </c>
      <c r="AC39" s="635">
        <f>'SC-Retro'!W172</f>
        <v>2.0146377954482537E-4</v>
      </c>
      <c r="AD39" s="635">
        <f>'SC-Retro'!X172</f>
        <v>6.5545530002455738E-5</v>
      </c>
      <c r="AE39" s="635">
        <f>'SC-Retro'!Y172</f>
        <v>22.900083412408254</v>
      </c>
      <c r="AF39" s="636">
        <f t="shared" si="2"/>
        <v>222.50737211747025</v>
      </c>
      <c r="AG39" s="636">
        <f t="shared" si="3"/>
        <v>161.47618877113996</v>
      </c>
      <c r="AH39" s="636">
        <f t="shared" si="4"/>
        <v>145.41601960260965</v>
      </c>
      <c r="AI39" s="636">
        <f t="shared" si="5"/>
        <v>116.11590687874296</v>
      </c>
      <c r="AJ39" s="636">
        <f t="shared" si="6"/>
        <v>47.838097146724913</v>
      </c>
      <c r="AK39" s="636">
        <f t="shared" si="7"/>
        <v>13.369259713563713</v>
      </c>
      <c r="AL39" s="636">
        <f t="shared" si="8"/>
        <v>3.2676176515728566</v>
      </c>
      <c r="AM39" s="636">
        <f t="shared" si="9"/>
        <v>2.7404585693166759</v>
      </c>
      <c r="AN39" s="636">
        <f t="shared" si="10"/>
        <v>25.958226073135236</v>
      </c>
      <c r="AO39" s="636">
        <f t="shared" si="11"/>
        <v>89.074623510429305</v>
      </c>
      <c r="AP39" s="636">
        <f t="shared" si="12"/>
        <v>141.84882156300898</v>
      </c>
      <c r="AQ39" s="636">
        <f t="shared" si="13"/>
        <v>258.64160794319275</v>
      </c>
      <c r="AR39" s="636"/>
      <c r="AS39" s="636">
        <f t="shared" si="14"/>
        <v>140.12117418327253</v>
      </c>
      <c r="AT39" s="636">
        <f t="shared" si="15"/>
        <v>104.69276591459348</v>
      </c>
      <c r="AU39" s="636">
        <f t="shared" si="16"/>
        <v>80.837923957017694</v>
      </c>
      <c r="AV39" s="636">
        <f t="shared" si="17"/>
        <v>68.982623955074232</v>
      </c>
      <c r="AW39" s="636">
        <f t="shared" si="18"/>
        <v>27.096120579793403</v>
      </c>
      <c r="AX39" s="636">
        <f t="shared" si="19"/>
        <v>6.724628141927429</v>
      </c>
      <c r="AY39" s="636">
        <f t="shared" si="20"/>
        <v>1.8133278248941371</v>
      </c>
      <c r="AZ39" s="636">
        <f t="shared" si="21"/>
        <v>1.2135716157217966</v>
      </c>
      <c r="BA39" s="636">
        <f t="shared" si="22"/>
        <v>14.798858908100433</v>
      </c>
      <c r="BB39" s="636">
        <f t="shared" si="23"/>
        <v>45.770436008660901</v>
      </c>
      <c r="BC39" s="636">
        <f t="shared" si="24"/>
        <v>92.401326396108104</v>
      </c>
      <c r="BD39" s="636">
        <f t="shared" si="25"/>
        <v>164.88415567512698</v>
      </c>
    </row>
    <row r="40" spans="1:56" ht="15">
      <c r="A40" s="631" t="str">
        <f>VLOOKUP(CONCATENATE($C40," - ",$B40),[3]ACHIEV!$B$12:$C$100,2,FALSE)</f>
        <v>Retro12Med</v>
      </c>
      <c r="B40" s="631" t="str">
        <f>'SC-Retro'!$C$7</f>
        <v>Retro</v>
      </c>
      <c r="C40" s="631" t="str">
        <f>'SC-Retro'!$C$8</f>
        <v>ResWx</v>
      </c>
      <c r="D40" s="631" t="s">
        <v>314</v>
      </c>
      <c r="E40" s="631" t="s">
        <v>215</v>
      </c>
      <c r="F40" s="632">
        <f t="shared" si="1"/>
        <v>1.4747899217158611</v>
      </c>
      <c r="G40" s="633">
        <f>'SC-Retro'!A173</f>
        <v>2829.0013451773661</v>
      </c>
      <c r="H40" s="633">
        <f>'SC-Retro'!B173</f>
        <v>51.512614179741284</v>
      </c>
      <c r="I40" s="634" t="str">
        <f>'SC-Retro'!C173</f>
        <v>Multifamily - Low Rise</v>
      </c>
      <c r="J40" s="637" t="str">
        <f>'SC-Retro'!D173</f>
        <v>WINDOW CL30 Prime Window Replacement of Single Pane Base_Heat Pump</v>
      </c>
      <c r="K40" s="635">
        <f>'SC-Retro'!E173</f>
        <v>2.8798895613785183</v>
      </c>
      <c r="L40" s="635">
        <f>'SC-Retro'!F173</f>
        <v>3.2838405769741392</v>
      </c>
      <c r="M40" s="635">
        <f>'SC-Retro'!G173</f>
        <v>3.583531253547263</v>
      </c>
      <c r="N40" s="635">
        <f>'SC-Retro'!H173</f>
        <v>3.7396713675817477</v>
      </c>
      <c r="O40" s="635">
        <f>'SC-Retro'!I173</f>
        <v>3.583199972451736</v>
      </c>
      <c r="P40" s="635">
        <f>'SC-Retro'!J173</f>
        <v>2.9792193151122186</v>
      </c>
      <c r="Q40" s="635">
        <f>'SC-Retro'!K173</f>
        <v>2.2293405381219062</v>
      </c>
      <c r="R40" s="635">
        <f>'SC-Retro'!L173</f>
        <v>1.5165532581283716</v>
      </c>
      <c r="S40" s="635">
        <f>'SC-Retro'!M173</f>
        <v>0.94569340123675238</v>
      </c>
      <c r="T40" s="635">
        <f>'SC-Retro'!N173</f>
        <v>0.54435340604865601</v>
      </c>
      <c r="U40" s="635">
        <f>'SC-Retro'!O173</f>
        <v>0.29095568498509317</v>
      </c>
      <c r="V40" s="635">
        <f>'SC-Retro'!P173</f>
        <v>0.14514748881674031</v>
      </c>
      <c r="W40" s="635">
        <f>'SC-Retro'!Q173</f>
        <v>6.7883383740907105E-2</v>
      </c>
      <c r="X40" s="635">
        <f>'SC-Retro'!R173</f>
        <v>2.9880543945907296E-2</v>
      </c>
      <c r="Y40" s="635">
        <f>'SC-Retro'!S173</f>
        <v>1.242195444771545E-2</v>
      </c>
      <c r="Z40" s="635">
        <f>'SC-Retro'!T173</f>
        <v>4.8922683364397094E-3</v>
      </c>
      <c r="AA40" s="635">
        <f>'SC-Retro'!U173</f>
        <v>1.8304345823866007E-3</v>
      </c>
      <c r="AB40" s="635">
        <f>'SC-Retro'!V173</f>
        <v>6.5224214247713939E-4</v>
      </c>
      <c r="AC40" s="635">
        <f>'SC-Retro'!W173</f>
        <v>2.218503475250436E-4</v>
      </c>
      <c r="AD40" s="635">
        <f>'SC-Retro'!X173</f>
        <v>7.2178227980293402E-5</v>
      </c>
      <c r="AE40" s="635">
        <f>'SC-Retro'!Y173</f>
        <v>25.217393790951281</v>
      </c>
      <c r="AF40" s="636">
        <f t="shared" si="2"/>
        <v>318.30323821207105</v>
      </c>
      <c r="AG40" s="636">
        <f t="shared" si="3"/>
        <v>230.99636336032185</v>
      </c>
      <c r="AH40" s="636">
        <f t="shared" si="4"/>
        <v>208.02182636440591</v>
      </c>
      <c r="AI40" s="636">
        <f t="shared" si="5"/>
        <v>166.10716676804097</v>
      </c>
      <c r="AJ40" s="636">
        <f t="shared" si="6"/>
        <v>68.433783055364302</v>
      </c>
      <c r="AK40" s="636">
        <f t="shared" si="7"/>
        <v>19.125113108966488</v>
      </c>
      <c r="AL40" s="636">
        <f t="shared" si="8"/>
        <v>4.6744216599954163</v>
      </c>
      <c r="AM40" s="636">
        <f t="shared" si="9"/>
        <v>3.9203053296544166</v>
      </c>
      <c r="AN40" s="636">
        <f t="shared" si="10"/>
        <v>37.13399398271541</v>
      </c>
      <c r="AO40" s="636">
        <f t="shared" si="11"/>
        <v>127.42382796612334</v>
      </c>
      <c r="AP40" s="636">
        <f t="shared" si="12"/>
        <v>202.91884628539441</v>
      </c>
      <c r="AQ40" s="636">
        <f t="shared" si="13"/>
        <v>369.99430877837091</v>
      </c>
      <c r="AR40" s="636"/>
      <c r="AS40" s="636">
        <f t="shared" si="14"/>
        <v>200.44739668700365</v>
      </c>
      <c r="AT40" s="636">
        <f t="shared" si="15"/>
        <v>149.76603287733039</v>
      </c>
      <c r="AU40" s="636">
        <f t="shared" si="16"/>
        <v>115.64099077254623</v>
      </c>
      <c r="AV40" s="636">
        <f t="shared" si="17"/>
        <v>98.681640865694789</v>
      </c>
      <c r="AW40" s="636">
        <f t="shared" si="18"/>
        <v>38.761785020676179</v>
      </c>
      <c r="AX40" s="636">
        <f t="shared" si="19"/>
        <v>9.6197752594798764</v>
      </c>
      <c r="AY40" s="636">
        <f t="shared" si="20"/>
        <v>2.5940179559495009</v>
      </c>
      <c r="AZ40" s="636">
        <f t="shared" si="21"/>
        <v>1.7360493336039615</v>
      </c>
      <c r="BA40" s="636">
        <f t="shared" si="22"/>
        <v>21.170196148849637</v>
      </c>
      <c r="BB40" s="636">
        <f t="shared" si="23"/>
        <v>65.475933931050463</v>
      </c>
      <c r="BC40" s="636">
        <f t="shared" si="24"/>
        <v>132.18277276423984</v>
      </c>
      <c r="BD40" s="636">
        <f t="shared" si="25"/>
        <v>235.87155868951729</v>
      </c>
    </row>
    <row r="41" spans="1:56" ht="15">
      <c r="A41" s="631" t="str">
        <f>VLOOKUP(CONCATENATE($C41," - ",$B41),[3]ACHIEV!$B$12:$C$100,2,FALSE)</f>
        <v>Retro12Med</v>
      </c>
      <c r="B41" s="631" t="str">
        <f>'SC-Retro'!$C$7</f>
        <v>Retro</v>
      </c>
      <c r="C41" s="631" t="str">
        <f>'SC-Retro'!$C$8</f>
        <v>ResWx</v>
      </c>
      <c r="D41" s="631" t="s">
        <v>314</v>
      </c>
      <c r="E41" s="631" t="s">
        <v>215</v>
      </c>
      <c r="F41" s="632">
        <f t="shared" si="1"/>
        <v>0.91377363146991153</v>
      </c>
      <c r="G41" s="633">
        <f>'SC-Retro'!A174</f>
        <v>1752.8373326611568</v>
      </c>
      <c r="H41" s="633">
        <f>'SC-Retro'!B174</f>
        <v>105.02847416676336</v>
      </c>
      <c r="I41" s="634" t="str">
        <f>'SC-Retro'!C174</f>
        <v>Multifamily - Low Rise</v>
      </c>
      <c r="J41" s="637" t="str">
        <f>'SC-Retro'!D174</f>
        <v>WINDOW CL30 Prime Window Replacement of Double Pane Base_Heat Pump</v>
      </c>
      <c r="K41" s="635">
        <f>'SC-Retro'!E174</f>
        <v>9.2720934826711598</v>
      </c>
      <c r="L41" s="635">
        <f>'SC-Retro'!F174</f>
        <v>10.572654319882467</v>
      </c>
      <c r="M41" s="635">
        <f>'SC-Retro'!G174</f>
        <v>11.53753853153288</v>
      </c>
      <c r="N41" s="635">
        <f>'SC-Retro'!H174</f>
        <v>12.040247299653034</v>
      </c>
      <c r="O41" s="635">
        <f>'SC-Retro'!I174</f>
        <v>11.536471938796844</v>
      </c>
      <c r="P41" s="635">
        <f>'SC-Retro'!J174</f>
        <v>9.5918955940370978</v>
      </c>
      <c r="Q41" s="635">
        <f>'SC-Retro'!K174</f>
        <v>7.1775856100121782</v>
      </c>
      <c r="R41" s="635">
        <f>'SC-Retro'!L174</f>
        <v>4.8826954232525859</v>
      </c>
      <c r="S41" s="635">
        <f>'SC-Retro'!M174</f>
        <v>3.0447548197005045</v>
      </c>
      <c r="T41" s="635">
        <f>'SC-Retro'!N174</f>
        <v>1.7526004247460094</v>
      </c>
      <c r="U41" s="635">
        <f>'SC-Retro'!O174</f>
        <v>0.93676102954623808</v>
      </c>
      <c r="V41" s="635">
        <f>'SC-Retro'!P174</f>
        <v>0.46731690795794895</v>
      </c>
      <c r="W41" s="635">
        <f>'SC-Retro'!Q174</f>
        <v>0.21855736706252191</v>
      </c>
      <c r="X41" s="635">
        <f>'SC-Retro'!R174</f>
        <v>9.6203410191499861E-2</v>
      </c>
      <c r="Y41" s="635">
        <f>'SC-Retro'!S174</f>
        <v>3.9993729072571919E-2</v>
      </c>
      <c r="Z41" s="635">
        <f>'SC-Retro'!T174</f>
        <v>1.5751148921164831E-2</v>
      </c>
      <c r="AA41" s="635">
        <f>'SC-Retro'!U174</f>
        <v>5.89326784936806E-3</v>
      </c>
      <c r="AB41" s="635">
        <f>'SC-Retro'!V174</f>
        <v>2.0999590399191992E-3</v>
      </c>
      <c r="AC41" s="635">
        <f>'SC-Retro'!W174</f>
        <v>7.142694598436804E-4</v>
      </c>
      <c r="AD41" s="635">
        <f>'SC-Retro'!X174</f>
        <v>2.3238504914281665E-4</v>
      </c>
      <c r="AE41" s="635">
        <f>'SC-Retro'!Y174</f>
        <v>81.189930251043975</v>
      </c>
      <c r="AF41" s="636">
        <f t="shared" si="2"/>
        <v>197.2193473842535</v>
      </c>
      <c r="AG41" s="636">
        <f t="shared" si="3"/>
        <v>143.1243750015073</v>
      </c>
      <c r="AH41" s="636">
        <f t="shared" si="4"/>
        <v>128.88944852623496</v>
      </c>
      <c r="AI41" s="636">
        <f t="shared" si="5"/>
        <v>102.91930176347813</v>
      </c>
      <c r="AJ41" s="636">
        <f t="shared" si="6"/>
        <v>42.401284099480158</v>
      </c>
      <c r="AK41" s="636">
        <f t="shared" si="7"/>
        <v>11.849839628359025</v>
      </c>
      <c r="AL41" s="636">
        <f t="shared" si="8"/>
        <v>2.8962519965596574</v>
      </c>
      <c r="AM41" s="636">
        <f t="shared" si="9"/>
        <v>2.4290046906350771</v>
      </c>
      <c r="AN41" s="636">
        <f t="shared" si="10"/>
        <v>23.008066459451427</v>
      </c>
      <c r="AO41" s="636">
        <f t="shared" si="11"/>
        <v>78.951267771705673</v>
      </c>
      <c r="AP41" s="636">
        <f t="shared" si="12"/>
        <v>125.72766353607734</v>
      </c>
      <c r="AQ41" s="636">
        <f t="shared" si="13"/>
        <v>229.2469172573785</v>
      </c>
      <c r="AR41" s="636"/>
      <c r="AS41" s="636">
        <f t="shared" si="14"/>
        <v>124.1963637616058</v>
      </c>
      <c r="AT41" s="636">
        <f t="shared" si="15"/>
        <v>92.794403947335127</v>
      </c>
      <c r="AU41" s="636">
        <f t="shared" si="16"/>
        <v>71.650671413638008</v>
      </c>
      <c r="AV41" s="636">
        <f t="shared" si="17"/>
        <v>61.142729554554535</v>
      </c>
      <c r="AW41" s="636">
        <f t="shared" si="18"/>
        <v>24.016638938914145</v>
      </c>
      <c r="AX41" s="636">
        <f t="shared" si="19"/>
        <v>5.9603722830924735</v>
      </c>
      <c r="AY41" s="636">
        <f t="shared" si="20"/>
        <v>1.6072426132044131</v>
      </c>
      <c r="AZ41" s="636">
        <f t="shared" si="21"/>
        <v>1.075648864031121</v>
      </c>
      <c r="BA41" s="636">
        <f t="shared" si="22"/>
        <v>13.116964476783092</v>
      </c>
      <c r="BB41" s="636">
        <f t="shared" si="23"/>
        <v>40.568613224892317</v>
      </c>
      <c r="BC41" s="636">
        <f t="shared" si="24"/>
        <v>81.899889949080148</v>
      </c>
      <c r="BD41" s="636">
        <f t="shared" si="25"/>
        <v>146.1450255189051</v>
      </c>
    </row>
    <row r="42" spans="1:56" ht="15">
      <c r="A42" s="631"/>
      <c r="B42" s="631"/>
      <c r="C42" s="631"/>
      <c r="D42" s="631"/>
      <c r="E42" s="631"/>
      <c r="F42" s="632"/>
      <c r="G42" s="633"/>
      <c r="H42" s="633"/>
      <c r="I42" s="634"/>
      <c r="J42" s="637"/>
      <c r="K42" s="635"/>
      <c r="L42" s="635"/>
      <c r="M42" s="635"/>
      <c r="N42" s="635"/>
      <c r="O42" s="635"/>
      <c r="P42" s="635"/>
      <c r="Q42" s="635"/>
      <c r="R42" s="635"/>
      <c r="S42" s="635"/>
      <c r="T42" s="635"/>
      <c r="U42" s="635"/>
      <c r="V42" s="635"/>
      <c r="W42" s="635"/>
      <c r="X42" s="635"/>
      <c r="Y42" s="635"/>
      <c r="Z42" s="635"/>
      <c r="AA42" s="635"/>
      <c r="AB42" s="635"/>
      <c r="AC42" s="635"/>
      <c r="AD42" s="635"/>
      <c r="AE42" s="635"/>
      <c r="AF42" s="636"/>
      <c r="AG42" s="636"/>
      <c r="AH42" s="636"/>
      <c r="AI42" s="636"/>
      <c r="AJ42" s="636"/>
      <c r="AK42" s="636"/>
      <c r="AL42" s="636"/>
      <c r="AM42" s="636"/>
      <c r="AN42" s="636"/>
      <c r="AO42" s="636"/>
      <c r="AP42" s="636"/>
      <c r="AQ42" s="636"/>
      <c r="AR42" s="636"/>
      <c r="AS42" s="636"/>
      <c r="AT42" s="636"/>
      <c r="AU42" s="636"/>
      <c r="AV42" s="636"/>
      <c r="AW42" s="636"/>
      <c r="AX42" s="636"/>
      <c r="AY42" s="636"/>
      <c r="AZ42" s="636"/>
      <c r="BA42" s="636"/>
      <c r="BB42" s="636"/>
      <c r="BC42" s="636"/>
      <c r="BD42" s="63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5" tint="0.79998168889431442"/>
  </sheetPr>
  <dimension ref="A1:N143"/>
  <sheetViews>
    <sheetView topLeftCell="A70" workbookViewId="0">
      <selection activeCell="J102" sqref="J102"/>
    </sheetView>
  </sheetViews>
  <sheetFormatPr defaultRowHeight="12.75"/>
  <cols>
    <col min="1" max="1" width="15.85546875" style="141" bestFit="1" customWidth="1"/>
    <col min="2" max="2" width="15.7109375" style="141" bestFit="1" customWidth="1"/>
    <col min="3" max="3" width="54.85546875" style="141" bestFit="1" customWidth="1"/>
    <col min="4" max="4" width="13.7109375" style="141" hidden="1" customWidth="1"/>
    <col min="5" max="5" width="14.140625" style="141" hidden="1" customWidth="1"/>
    <col min="6" max="6" width="13.140625" style="141" hidden="1" customWidth="1"/>
    <col min="7" max="7" width="20" style="141" hidden="1" customWidth="1"/>
    <col min="8" max="8" width="15.140625" style="141" hidden="1" customWidth="1"/>
    <col min="9" max="9" width="14.140625" style="164" bestFit="1" customWidth="1"/>
    <col min="10" max="10" width="14" style="165" customWidth="1"/>
    <col min="11" max="11" width="15.5703125" style="141" customWidth="1"/>
    <col min="12" max="12" width="12.85546875" style="141" customWidth="1"/>
    <col min="13" max="13" width="11.42578125" style="141" customWidth="1"/>
    <col min="14" max="14" width="12.5703125" style="141" customWidth="1"/>
    <col min="15" max="256" width="9.140625" style="141"/>
    <col min="257" max="257" width="15.85546875" style="141" bestFit="1" customWidth="1"/>
    <col min="258" max="258" width="15.7109375" style="141" bestFit="1" customWidth="1"/>
    <col min="259" max="259" width="54.85546875" style="141" bestFit="1" customWidth="1"/>
    <col min="260" max="264" width="0" style="141" hidden="1" customWidth="1"/>
    <col min="265" max="265" width="14.140625" style="141" bestFit="1" customWidth="1"/>
    <col min="266" max="266" width="14" style="141" customWidth="1"/>
    <col min="267" max="267" width="15.5703125" style="141" customWidth="1"/>
    <col min="268" max="268" width="12.85546875" style="141" customWidth="1"/>
    <col min="269" max="269" width="11.42578125" style="141" customWidth="1"/>
    <col min="270" max="270" width="12.5703125" style="141" customWidth="1"/>
    <col min="271" max="512" width="9.140625" style="141"/>
    <col min="513" max="513" width="15.85546875" style="141" bestFit="1" customWidth="1"/>
    <col min="514" max="514" width="15.7109375" style="141" bestFit="1" customWidth="1"/>
    <col min="515" max="515" width="54.85546875" style="141" bestFit="1" customWidth="1"/>
    <col min="516" max="520" width="0" style="141" hidden="1" customWidth="1"/>
    <col min="521" max="521" width="14.140625" style="141" bestFit="1" customWidth="1"/>
    <col min="522" max="522" width="14" style="141" customWidth="1"/>
    <col min="523" max="523" width="15.5703125" style="141" customWidth="1"/>
    <col min="524" max="524" width="12.85546875" style="141" customWidth="1"/>
    <col min="525" max="525" width="11.42578125" style="141" customWidth="1"/>
    <col min="526" max="526" width="12.5703125" style="141" customWidth="1"/>
    <col min="527" max="768" width="9.140625" style="141"/>
    <col min="769" max="769" width="15.85546875" style="141" bestFit="1" customWidth="1"/>
    <col min="770" max="770" width="15.7109375" style="141" bestFit="1" customWidth="1"/>
    <col min="771" max="771" width="54.85546875" style="141" bestFit="1" customWidth="1"/>
    <col min="772" max="776" width="0" style="141" hidden="1" customWidth="1"/>
    <col min="777" max="777" width="14.140625" style="141" bestFit="1" customWidth="1"/>
    <col min="778" max="778" width="14" style="141" customWidth="1"/>
    <col min="779" max="779" width="15.5703125" style="141" customWidth="1"/>
    <col min="780" max="780" width="12.85546875" style="141" customWidth="1"/>
    <col min="781" max="781" width="11.42578125" style="141" customWidth="1"/>
    <col min="782" max="782" width="12.5703125" style="141" customWidth="1"/>
    <col min="783" max="1024" width="9.140625" style="141"/>
    <col min="1025" max="1025" width="15.85546875" style="141" bestFit="1" customWidth="1"/>
    <col min="1026" max="1026" width="15.7109375" style="141" bestFit="1" customWidth="1"/>
    <col min="1027" max="1027" width="54.85546875" style="141" bestFit="1" customWidth="1"/>
    <col min="1028" max="1032" width="0" style="141" hidden="1" customWidth="1"/>
    <col min="1033" max="1033" width="14.140625" style="141" bestFit="1" customWidth="1"/>
    <col min="1034" max="1034" width="14" style="141" customWidth="1"/>
    <col min="1035" max="1035" width="15.5703125" style="141" customWidth="1"/>
    <col min="1036" max="1036" width="12.85546875" style="141" customWidth="1"/>
    <col min="1037" max="1037" width="11.42578125" style="141" customWidth="1"/>
    <col min="1038" max="1038" width="12.5703125" style="141" customWidth="1"/>
    <col min="1039" max="1280" width="9.140625" style="141"/>
    <col min="1281" max="1281" width="15.85546875" style="141" bestFit="1" customWidth="1"/>
    <col min="1282" max="1282" width="15.7109375" style="141" bestFit="1" customWidth="1"/>
    <col min="1283" max="1283" width="54.85546875" style="141" bestFit="1" customWidth="1"/>
    <col min="1284" max="1288" width="0" style="141" hidden="1" customWidth="1"/>
    <col min="1289" max="1289" width="14.140625" style="141" bestFit="1" customWidth="1"/>
    <col min="1290" max="1290" width="14" style="141" customWidth="1"/>
    <col min="1291" max="1291" width="15.5703125" style="141" customWidth="1"/>
    <col min="1292" max="1292" width="12.85546875" style="141" customWidth="1"/>
    <col min="1293" max="1293" width="11.42578125" style="141" customWidth="1"/>
    <col min="1294" max="1294" width="12.5703125" style="141" customWidth="1"/>
    <col min="1295" max="1536" width="9.140625" style="141"/>
    <col min="1537" max="1537" width="15.85546875" style="141" bestFit="1" customWidth="1"/>
    <col min="1538" max="1538" width="15.7109375" style="141" bestFit="1" customWidth="1"/>
    <col min="1539" max="1539" width="54.85546875" style="141" bestFit="1" customWidth="1"/>
    <col min="1540" max="1544" width="0" style="141" hidden="1" customWidth="1"/>
    <col min="1545" max="1545" width="14.140625" style="141" bestFit="1" customWidth="1"/>
    <col min="1546" max="1546" width="14" style="141" customWidth="1"/>
    <col min="1547" max="1547" width="15.5703125" style="141" customWidth="1"/>
    <col min="1548" max="1548" width="12.85546875" style="141" customWidth="1"/>
    <col min="1549" max="1549" width="11.42578125" style="141" customWidth="1"/>
    <col min="1550" max="1550" width="12.5703125" style="141" customWidth="1"/>
    <col min="1551" max="1792" width="9.140625" style="141"/>
    <col min="1793" max="1793" width="15.85546875" style="141" bestFit="1" customWidth="1"/>
    <col min="1794" max="1794" width="15.7109375" style="141" bestFit="1" customWidth="1"/>
    <col min="1795" max="1795" width="54.85546875" style="141" bestFit="1" customWidth="1"/>
    <col min="1796" max="1800" width="0" style="141" hidden="1" customWidth="1"/>
    <col min="1801" max="1801" width="14.140625" style="141" bestFit="1" customWidth="1"/>
    <col min="1802" max="1802" width="14" style="141" customWidth="1"/>
    <col min="1803" max="1803" width="15.5703125" style="141" customWidth="1"/>
    <col min="1804" max="1804" width="12.85546875" style="141" customWidth="1"/>
    <col min="1805" max="1805" width="11.42578125" style="141" customWidth="1"/>
    <col min="1806" max="1806" width="12.5703125" style="141" customWidth="1"/>
    <col min="1807" max="2048" width="9.140625" style="141"/>
    <col min="2049" max="2049" width="15.85546875" style="141" bestFit="1" customWidth="1"/>
    <col min="2050" max="2050" width="15.7109375" style="141" bestFit="1" customWidth="1"/>
    <col min="2051" max="2051" width="54.85546875" style="141" bestFit="1" customWidth="1"/>
    <col min="2052" max="2056" width="0" style="141" hidden="1" customWidth="1"/>
    <col min="2057" max="2057" width="14.140625" style="141" bestFit="1" customWidth="1"/>
    <col min="2058" max="2058" width="14" style="141" customWidth="1"/>
    <col min="2059" max="2059" width="15.5703125" style="141" customWidth="1"/>
    <col min="2060" max="2060" width="12.85546875" style="141" customWidth="1"/>
    <col min="2061" max="2061" width="11.42578125" style="141" customWidth="1"/>
    <col min="2062" max="2062" width="12.5703125" style="141" customWidth="1"/>
    <col min="2063" max="2304" width="9.140625" style="141"/>
    <col min="2305" max="2305" width="15.85546875" style="141" bestFit="1" customWidth="1"/>
    <col min="2306" max="2306" width="15.7109375" style="141" bestFit="1" customWidth="1"/>
    <col min="2307" max="2307" width="54.85546875" style="141" bestFit="1" customWidth="1"/>
    <col min="2308" max="2312" width="0" style="141" hidden="1" customWidth="1"/>
    <col min="2313" max="2313" width="14.140625" style="141" bestFit="1" customWidth="1"/>
    <col min="2314" max="2314" width="14" style="141" customWidth="1"/>
    <col min="2315" max="2315" width="15.5703125" style="141" customWidth="1"/>
    <col min="2316" max="2316" width="12.85546875" style="141" customWidth="1"/>
    <col min="2317" max="2317" width="11.42578125" style="141" customWidth="1"/>
    <col min="2318" max="2318" width="12.5703125" style="141" customWidth="1"/>
    <col min="2319" max="2560" width="9.140625" style="141"/>
    <col min="2561" max="2561" width="15.85546875" style="141" bestFit="1" customWidth="1"/>
    <col min="2562" max="2562" width="15.7109375" style="141" bestFit="1" customWidth="1"/>
    <col min="2563" max="2563" width="54.85546875" style="141" bestFit="1" customWidth="1"/>
    <col min="2564" max="2568" width="0" style="141" hidden="1" customWidth="1"/>
    <col min="2569" max="2569" width="14.140625" style="141" bestFit="1" customWidth="1"/>
    <col min="2570" max="2570" width="14" style="141" customWidth="1"/>
    <col min="2571" max="2571" width="15.5703125" style="141" customWidth="1"/>
    <col min="2572" max="2572" width="12.85546875" style="141" customWidth="1"/>
    <col min="2573" max="2573" width="11.42578125" style="141" customWidth="1"/>
    <col min="2574" max="2574" width="12.5703125" style="141" customWidth="1"/>
    <col min="2575" max="2816" width="9.140625" style="141"/>
    <col min="2817" max="2817" width="15.85546875" style="141" bestFit="1" customWidth="1"/>
    <col min="2818" max="2818" width="15.7109375" style="141" bestFit="1" customWidth="1"/>
    <col min="2819" max="2819" width="54.85546875" style="141" bestFit="1" customWidth="1"/>
    <col min="2820" max="2824" width="0" style="141" hidden="1" customWidth="1"/>
    <col min="2825" max="2825" width="14.140625" style="141" bestFit="1" customWidth="1"/>
    <col min="2826" max="2826" width="14" style="141" customWidth="1"/>
    <col min="2827" max="2827" width="15.5703125" style="141" customWidth="1"/>
    <col min="2828" max="2828" width="12.85546875" style="141" customWidth="1"/>
    <col min="2829" max="2829" width="11.42578125" style="141" customWidth="1"/>
    <col min="2830" max="2830" width="12.5703125" style="141" customWidth="1"/>
    <col min="2831" max="3072" width="9.140625" style="141"/>
    <col min="3073" max="3073" width="15.85546875" style="141" bestFit="1" customWidth="1"/>
    <col min="3074" max="3074" width="15.7109375" style="141" bestFit="1" customWidth="1"/>
    <col min="3075" max="3075" width="54.85546875" style="141" bestFit="1" customWidth="1"/>
    <col min="3076" max="3080" width="0" style="141" hidden="1" customWidth="1"/>
    <col min="3081" max="3081" width="14.140625" style="141" bestFit="1" customWidth="1"/>
    <col min="3082" max="3082" width="14" style="141" customWidth="1"/>
    <col min="3083" max="3083" width="15.5703125" style="141" customWidth="1"/>
    <col min="3084" max="3084" width="12.85546875" style="141" customWidth="1"/>
    <col min="3085" max="3085" width="11.42578125" style="141" customWidth="1"/>
    <col min="3086" max="3086" width="12.5703125" style="141" customWidth="1"/>
    <col min="3087" max="3328" width="9.140625" style="141"/>
    <col min="3329" max="3329" width="15.85546875" style="141" bestFit="1" customWidth="1"/>
    <col min="3330" max="3330" width="15.7109375" style="141" bestFit="1" customWidth="1"/>
    <col min="3331" max="3331" width="54.85546875" style="141" bestFit="1" customWidth="1"/>
    <col min="3332" max="3336" width="0" style="141" hidden="1" customWidth="1"/>
    <col min="3337" max="3337" width="14.140625" style="141" bestFit="1" customWidth="1"/>
    <col min="3338" max="3338" width="14" style="141" customWidth="1"/>
    <col min="3339" max="3339" width="15.5703125" style="141" customWidth="1"/>
    <col min="3340" max="3340" width="12.85546875" style="141" customWidth="1"/>
    <col min="3341" max="3341" width="11.42578125" style="141" customWidth="1"/>
    <col min="3342" max="3342" width="12.5703125" style="141" customWidth="1"/>
    <col min="3343" max="3584" width="9.140625" style="141"/>
    <col min="3585" max="3585" width="15.85546875" style="141" bestFit="1" customWidth="1"/>
    <col min="3586" max="3586" width="15.7109375" style="141" bestFit="1" customWidth="1"/>
    <col min="3587" max="3587" width="54.85546875" style="141" bestFit="1" customWidth="1"/>
    <col min="3588" max="3592" width="0" style="141" hidden="1" customWidth="1"/>
    <col min="3593" max="3593" width="14.140625" style="141" bestFit="1" customWidth="1"/>
    <col min="3594" max="3594" width="14" style="141" customWidth="1"/>
    <col min="3595" max="3595" width="15.5703125" style="141" customWidth="1"/>
    <col min="3596" max="3596" width="12.85546875" style="141" customWidth="1"/>
    <col min="3597" max="3597" width="11.42578125" style="141" customWidth="1"/>
    <col min="3598" max="3598" width="12.5703125" style="141" customWidth="1"/>
    <col min="3599" max="3840" width="9.140625" style="141"/>
    <col min="3841" max="3841" width="15.85546875" style="141" bestFit="1" customWidth="1"/>
    <col min="3842" max="3842" width="15.7109375" style="141" bestFit="1" customWidth="1"/>
    <col min="3843" max="3843" width="54.85546875" style="141" bestFit="1" customWidth="1"/>
    <col min="3844" max="3848" width="0" style="141" hidden="1" customWidth="1"/>
    <col min="3849" max="3849" width="14.140625" style="141" bestFit="1" customWidth="1"/>
    <col min="3850" max="3850" width="14" style="141" customWidth="1"/>
    <col min="3851" max="3851" width="15.5703125" style="141" customWidth="1"/>
    <col min="3852" max="3852" width="12.85546875" style="141" customWidth="1"/>
    <col min="3853" max="3853" width="11.42578125" style="141" customWidth="1"/>
    <col min="3854" max="3854" width="12.5703125" style="141" customWidth="1"/>
    <col min="3855" max="4096" width="9.140625" style="141"/>
    <col min="4097" max="4097" width="15.85546875" style="141" bestFit="1" customWidth="1"/>
    <col min="4098" max="4098" width="15.7109375" style="141" bestFit="1" customWidth="1"/>
    <col min="4099" max="4099" width="54.85546875" style="141" bestFit="1" customWidth="1"/>
    <col min="4100" max="4104" width="0" style="141" hidden="1" customWidth="1"/>
    <col min="4105" max="4105" width="14.140625" style="141" bestFit="1" customWidth="1"/>
    <col min="4106" max="4106" width="14" style="141" customWidth="1"/>
    <col min="4107" max="4107" width="15.5703125" style="141" customWidth="1"/>
    <col min="4108" max="4108" width="12.85546875" style="141" customWidth="1"/>
    <col min="4109" max="4109" width="11.42578125" style="141" customWidth="1"/>
    <col min="4110" max="4110" width="12.5703125" style="141" customWidth="1"/>
    <col min="4111" max="4352" width="9.140625" style="141"/>
    <col min="4353" max="4353" width="15.85546875" style="141" bestFit="1" customWidth="1"/>
    <col min="4354" max="4354" width="15.7109375" style="141" bestFit="1" customWidth="1"/>
    <col min="4355" max="4355" width="54.85546875" style="141" bestFit="1" customWidth="1"/>
    <col min="4356" max="4360" width="0" style="141" hidden="1" customWidth="1"/>
    <col min="4361" max="4361" width="14.140625" style="141" bestFit="1" customWidth="1"/>
    <col min="4362" max="4362" width="14" style="141" customWidth="1"/>
    <col min="4363" max="4363" width="15.5703125" style="141" customWidth="1"/>
    <col min="4364" max="4364" width="12.85546875" style="141" customWidth="1"/>
    <col min="4365" max="4365" width="11.42578125" style="141" customWidth="1"/>
    <col min="4366" max="4366" width="12.5703125" style="141" customWidth="1"/>
    <col min="4367" max="4608" width="9.140625" style="141"/>
    <col min="4609" max="4609" width="15.85546875" style="141" bestFit="1" customWidth="1"/>
    <col min="4610" max="4610" width="15.7109375" style="141" bestFit="1" customWidth="1"/>
    <col min="4611" max="4611" width="54.85546875" style="141" bestFit="1" customWidth="1"/>
    <col min="4612" max="4616" width="0" style="141" hidden="1" customWidth="1"/>
    <col min="4617" max="4617" width="14.140625" style="141" bestFit="1" customWidth="1"/>
    <col min="4618" max="4618" width="14" style="141" customWidth="1"/>
    <col min="4619" max="4619" width="15.5703125" style="141" customWidth="1"/>
    <col min="4620" max="4620" width="12.85546875" style="141" customWidth="1"/>
    <col min="4621" max="4621" width="11.42578125" style="141" customWidth="1"/>
    <col min="4622" max="4622" width="12.5703125" style="141" customWidth="1"/>
    <col min="4623" max="4864" width="9.140625" style="141"/>
    <col min="4865" max="4865" width="15.85546875" style="141" bestFit="1" customWidth="1"/>
    <col min="4866" max="4866" width="15.7109375" style="141" bestFit="1" customWidth="1"/>
    <col min="4867" max="4867" width="54.85546875" style="141" bestFit="1" customWidth="1"/>
    <col min="4868" max="4872" width="0" style="141" hidden="1" customWidth="1"/>
    <col min="4873" max="4873" width="14.140625" style="141" bestFit="1" customWidth="1"/>
    <col min="4874" max="4874" width="14" style="141" customWidth="1"/>
    <col min="4875" max="4875" width="15.5703125" style="141" customWidth="1"/>
    <col min="4876" max="4876" width="12.85546875" style="141" customWidth="1"/>
    <col min="4877" max="4877" width="11.42578125" style="141" customWidth="1"/>
    <col min="4878" max="4878" width="12.5703125" style="141" customWidth="1"/>
    <col min="4879" max="5120" width="9.140625" style="141"/>
    <col min="5121" max="5121" width="15.85546875" style="141" bestFit="1" customWidth="1"/>
    <col min="5122" max="5122" width="15.7109375" style="141" bestFit="1" customWidth="1"/>
    <col min="5123" max="5123" width="54.85546875" style="141" bestFit="1" customWidth="1"/>
    <col min="5124" max="5128" width="0" style="141" hidden="1" customWidth="1"/>
    <col min="5129" max="5129" width="14.140625" style="141" bestFit="1" customWidth="1"/>
    <col min="5130" max="5130" width="14" style="141" customWidth="1"/>
    <col min="5131" max="5131" width="15.5703125" style="141" customWidth="1"/>
    <col min="5132" max="5132" width="12.85546875" style="141" customWidth="1"/>
    <col min="5133" max="5133" width="11.42578125" style="141" customWidth="1"/>
    <col min="5134" max="5134" width="12.5703125" style="141" customWidth="1"/>
    <col min="5135" max="5376" width="9.140625" style="141"/>
    <col min="5377" max="5377" width="15.85546875" style="141" bestFit="1" customWidth="1"/>
    <col min="5378" max="5378" width="15.7109375" style="141" bestFit="1" customWidth="1"/>
    <col min="5379" max="5379" width="54.85546875" style="141" bestFit="1" customWidth="1"/>
    <col min="5380" max="5384" width="0" style="141" hidden="1" customWidth="1"/>
    <col min="5385" max="5385" width="14.140625" style="141" bestFit="1" customWidth="1"/>
    <col min="5386" max="5386" width="14" style="141" customWidth="1"/>
    <col min="5387" max="5387" width="15.5703125" style="141" customWidth="1"/>
    <col min="5388" max="5388" width="12.85546875" style="141" customWidth="1"/>
    <col min="5389" max="5389" width="11.42578125" style="141" customWidth="1"/>
    <col min="5390" max="5390" width="12.5703125" style="141" customWidth="1"/>
    <col min="5391" max="5632" width="9.140625" style="141"/>
    <col min="5633" max="5633" width="15.85546875" style="141" bestFit="1" customWidth="1"/>
    <col min="5634" max="5634" width="15.7109375" style="141" bestFit="1" customWidth="1"/>
    <col min="5635" max="5635" width="54.85546875" style="141" bestFit="1" customWidth="1"/>
    <col min="5636" max="5640" width="0" style="141" hidden="1" customWidth="1"/>
    <col min="5641" max="5641" width="14.140625" style="141" bestFit="1" customWidth="1"/>
    <col min="5642" max="5642" width="14" style="141" customWidth="1"/>
    <col min="5643" max="5643" width="15.5703125" style="141" customWidth="1"/>
    <col min="5644" max="5644" width="12.85546875" style="141" customWidth="1"/>
    <col min="5645" max="5645" width="11.42578125" style="141" customWidth="1"/>
    <col min="5646" max="5646" width="12.5703125" style="141" customWidth="1"/>
    <col min="5647" max="5888" width="9.140625" style="141"/>
    <col min="5889" max="5889" width="15.85546875" style="141" bestFit="1" customWidth="1"/>
    <col min="5890" max="5890" width="15.7109375" style="141" bestFit="1" customWidth="1"/>
    <col min="5891" max="5891" width="54.85546875" style="141" bestFit="1" customWidth="1"/>
    <col min="5892" max="5896" width="0" style="141" hidden="1" customWidth="1"/>
    <col min="5897" max="5897" width="14.140625" style="141" bestFit="1" customWidth="1"/>
    <col min="5898" max="5898" width="14" style="141" customWidth="1"/>
    <col min="5899" max="5899" width="15.5703125" style="141" customWidth="1"/>
    <col min="5900" max="5900" width="12.85546875" style="141" customWidth="1"/>
    <col min="5901" max="5901" width="11.42578125" style="141" customWidth="1"/>
    <col min="5902" max="5902" width="12.5703125" style="141" customWidth="1"/>
    <col min="5903" max="6144" width="9.140625" style="141"/>
    <col min="6145" max="6145" width="15.85546875" style="141" bestFit="1" customWidth="1"/>
    <col min="6146" max="6146" width="15.7109375" style="141" bestFit="1" customWidth="1"/>
    <col min="6147" max="6147" width="54.85546875" style="141" bestFit="1" customWidth="1"/>
    <col min="6148" max="6152" width="0" style="141" hidden="1" customWidth="1"/>
    <col min="6153" max="6153" width="14.140625" style="141" bestFit="1" customWidth="1"/>
    <col min="6154" max="6154" width="14" style="141" customWidth="1"/>
    <col min="6155" max="6155" width="15.5703125" style="141" customWidth="1"/>
    <col min="6156" max="6156" width="12.85546875" style="141" customWidth="1"/>
    <col min="6157" max="6157" width="11.42578125" style="141" customWidth="1"/>
    <col min="6158" max="6158" width="12.5703125" style="141" customWidth="1"/>
    <col min="6159" max="6400" width="9.140625" style="141"/>
    <col min="6401" max="6401" width="15.85546875" style="141" bestFit="1" customWidth="1"/>
    <col min="6402" max="6402" width="15.7109375" style="141" bestFit="1" customWidth="1"/>
    <col min="6403" max="6403" width="54.85546875" style="141" bestFit="1" customWidth="1"/>
    <col min="6404" max="6408" width="0" style="141" hidden="1" customWidth="1"/>
    <col min="6409" max="6409" width="14.140625" style="141" bestFit="1" customWidth="1"/>
    <col min="6410" max="6410" width="14" style="141" customWidth="1"/>
    <col min="6411" max="6411" width="15.5703125" style="141" customWidth="1"/>
    <col min="6412" max="6412" width="12.85546875" style="141" customWidth="1"/>
    <col min="6413" max="6413" width="11.42578125" style="141" customWidth="1"/>
    <col min="6414" max="6414" width="12.5703125" style="141" customWidth="1"/>
    <col min="6415" max="6656" width="9.140625" style="141"/>
    <col min="6657" max="6657" width="15.85546875" style="141" bestFit="1" customWidth="1"/>
    <col min="6658" max="6658" width="15.7109375" style="141" bestFit="1" customWidth="1"/>
    <col min="6659" max="6659" width="54.85546875" style="141" bestFit="1" customWidth="1"/>
    <col min="6660" max="6664" width="0" style="141" hidden="1" customWidth="1"/>
    <col min="6665" max="6665" width="14.140625" style="141" bestFit="1" customWidth="1"/>
    <col min="6666" max="6666" width="14" style="141" customWidth="1"/>
    <col min="6667" max="6667" width="15.5703125" style="141" customWidth="1"/>
    <col min="6668" max="6668" width="12.85546875" style="141" customWidth="1"/>
    <col min="6669" max="6669" width="11.42578125" style="141" customWidth="1"/>
    <col min="6670" max="6670" width="12.5703125" style="141" customWidth="1"/>
    <col min="6671" max="6912" width="9.140625" style="141"/>
    <col min="6913" max="6913" width="15.85546875" style="141" bestFit="1" customWidth="1"/>
    <col min="6914" max="6914" width="15.7109375" style="141" bestFit="1" customWidth="1"/>
    <col min="6915" max="6915" width="54.85546875" style="141" bestFit="1" customWidth="1"/>
    <col min="6916" max="6920" width="0" style="141" hidden="1" customWidth="1"/>
    <col min="6921" max="6921" width="14.140625" style="141" bestFit="1" customWidth="1"/>
    <col min="6922" max="6922" width="14" style="141" customWidth="1"/>
    <col min="6923" max="6923" width="15.5703125" style="141" customWidth="1"/>
    <col min="6924" max="6924" width="12.85546875" style="141" customWidth="1"/>
    <col min="6925" max="6925" width="11.42578125" style="141" customWidth="1"/>
    <col min="6926" max="6926" width="12.5703125" style="141" customWidth="1"/>
    <col min="6927" max="7168" width="9.140625" style="141"/>
    <col min="7169" max="7169" width="15.85546875" style="141" bestFit="1" customWidth="1"/>
    <col min="7170" max="7170" width="15.7109375" style="141" bestFit="1" customWidth="1"/>
    <col min="7171" max="7171" width="54.85546875" style="141" bestFit="1" customWidth="1"/>
    <col min="7172" max="7176" width="0" style="141" hidden="1" customWidth="1"/>
    <col min="7177" max="7177" width="14.140625" style="141" bestFit="1" customWidth="1"/>
    <col min="7178" max="7178" width="14" style="141" customWidth="1"/>
    <col min="7179" max="7179" width="15.5703125" style="141" customWidth="1"/>
    <col min="7180" max="7180" width="12.85546875" style="141" customWidth="1"/>
    <col min="7181" max="7181" width="11.42578125" style="141" customWidth="1"/>
    <col min="7182" max="7182" width="12.5703125" style="141" customWidth="1"/>
    <col min="7183" max="7424" width="9.140625" style="141"/>
    <col min="7425" max="7425" width="15.85546875" style="141" bestFit="1" customWidth="1"/>
    <col min="7426" max="7426" width="15.7109375" style="141" bestFit="1" customWidth="1"/>
    <col min="7427" max="7427" width="54.85546875" style="141" bestFit="1" customWidth="1"/>
    <col min="7428" max="7432" width="0" style="141" hidden="1" customWidth="1"/>
    <col min="7433" max="7433" width="14.140625" style="141" bestFit="1" customWidth="1"/>
    <col min="7434" max="7434" width="14" style="141" customWidth="1"/>
    <col min="7435" max="7435" width="15.5703125" style="141" customWidth="1"/>
    <col min="7436" max="7436" width="12.85546875" style="141" customWidth="1"/>
    <col min="7437" max="7437" width="11.42578125" style="141" customWidth="1"/>
    <col min="7438" max="7438" width="12.5703125" style="141" customWidth="1"/>
    <col min="7439" max="7680" width="9.140625" style="141"/>
    <col min="7681" max="7681" width="15.85546875" style="141" bestFit="1" customWidth="1"/>
    <col min="7682" max="7682" width="15.7109375" style="141" bestFit="1" customWidth="1"/>
    <col min="7683" max="7683" width="54.85546875" style="141" bestFit="1" customWidth="1"/>
    <col min="7684" max="7688" width="0" style="141" hidden="1" customWidth="1"/>
    <col min="7689" max="7689" width="14.140625" style="141" bestFit="1" customWidth="1"/>
    <col min="7690" max="7690" width="14" style="141" customWidth="1"/>
    <col min="7691" max="7691" width="15.5703125" style="141" customWidth="1"/>
    <col min="7692" max="7692" width="12.85546875" style="141" customWidth="1"/>
    <col min="7693" max="7693" width="11.42578125" style="141" customWidth="1"/>
    <col min="7694" max="7694" width="12.5703125" style="141" customWidth="1"/>
    <col min="7695" max="7936" width="9.140625" style="141"/>
    <col min="7937" max="7937" width="15.85546875" style="141" bestFit="1" customWidth="1"/>
    <col min="7938" max="7938" width="15.7109375" style="141" bestFit="1" customWidth="1"/>
    <col min="7939" max="7939" width="54.85546875" style="141" bestFit="1" customWidth="1"/>
    <col min="7940" max="7944" width="0" style="141" hidden="1" customWidth="1"/>
    <col min="7945" max="7945" width="14.140625" style="141" bestFit="1" customWidth="1"/>
    <col min="7946" max="7946" width="14" style="141" customWidth="1"/>
    <col min="7947" max="7947" width="15.5703125" style="141" customWidth="1"/>
    <col min="7948" max="7948" width="12.85546875" style="141" customWidth="1"/>
    <col min="7949" max="7949" width="11.42578125" style="141" customWidth="1"/>
    <col min="7950" max="7950" width="12.5703125" style="141" customWidth="1"/>
    <col min="7951" max="8192" width="9.140625" style="141"/>
    <col min="8193" max="8193" width="15.85546875" style="141" bestFit="1" customWidth="1"/>
    <col min="8194" max="8194" width="15.7109375" style="141" bestFit="1" customWidth="1"/>
    <col min="8195" max="8195" width="54.85546875" style="141" bestFit="1" customWidth="1"/>
    <col min="8196" max="8200" width="0" style="141" hidden="1" customWidth="1"/>
    <col min="8201" max="8201" width="14.140625" style="141" bestFit="1" customWidth="1"/>
    <col min="8202" max="8202" width="14" style="141" customWidth="1"/>
    <col min="8203" max="8203" width="15.5703125" style="141" customWidth="1"/>
    <col min="8204" max="8204" width="12.85546875" style="141" customWidth="1"/>
    <col min="8205" max="8205" width="11.42578125" style="141" customWidth="1"/>
    <col min="8206" max="8206" width="12.5703125" style="141" customWidth="1"/>
    <col min="8207" max="8448" width="9.140625" style="141"/>
    <col min="8449" max="8449" width="15.85546875" style="141" bestFit="1" customWidth="1"/>
    <col min="8450" max="8450" width="15.7109375" style="141" bestFit="1" customWidth="1"/>
    <col min="8451" max="8451" width="54.85546875" style="141" bestFit="1" customWidth="1"/>
    <col min="8452" max="8456" width="0" style="141" hidden="1" customWidth="1"/>
    <col min="8457" max="8457" width="14.140625" style="141" bestFit="1" customWidth="1"/>
    <col min="8458" max="8458" width="14" style="141" customWidth="1"/>
    <col min="8459" max="8459" width="15.5703125" style="141" customWidth="1"/>
    <col min="8460" max="8460" width="12.85546875" style="141" customWidth="1"/>
    <col min="8461" max="8461" width="11.42578125" style="141" customWidth="1"/>
    <col min="8462" max="8462" width="12.5703125" style="141" customWidth="1"/>
    <col min="8463" max="8704" width="9.140625" style="141"/>
    <col min="8705" max="8705" width="15.85546875" style="141" bestFit="1" customWidth="1"/>
    <col min="8706" max="8706" width="15.7109375" style="141" bestFit="1" customWidth="1"/>
    <col min="8707" max="8707" width="54.85546875" style="141" bestFit="1" customWidth="1"/>
    <col min="8708" max="8712" width="0" style="141" hidden="1" customWidth="1"/>
    <col min="8713" max="8713" width="14.140625" style="141" bestFit="1" customWidth="1"/>
    <col min="8714" max="8714" width="14" style="141" customWidth="1"/>
    <col min="8715" max="8715" width="15.5703125" style="141" customWidth="1"/>
    <col min="8716" max="8716" width="12.85546875" style="141" customWidth="1"/>
    <col min="8717" max="8717" width="11.42578125" style="141" customWidth="1"/>
    <col min="8718" max="8718" width="12.5703125" style="141" customWidth="1"/>
    <col min="8719" max="8960" width="9.140625" style="141"/>
    <col min="8961" max="8961" width="15.85546875" style="141" bestFit="1" customWidth="1"/>
    <col min="8962" max="8962" width="15.7109375" style="141" bestFit="1" customWidth="1"/>
    <col min="8963" max="8963" width="54.85546875" style="141" bestFit="1" customWidth="1"/>
    <col min="8964" max="8968" width="0" style="141" hidden="1" customWidth="1"/>
    <col min="8969" max="8969" width="14.140625" style="141" bestFit="1" customWidth="1"/>
    <col min="8970" max="8970" width="14" style="141" customWidth="1"/>
    <col min="8971" max="8971" width="15.5703125" style="141" customWidth="1"/>
    <col min="8972" max="8972" width="12.85546875" style="141" customWidth="1"/>
    <col min="8973" max="8973" width="11.42578125" style="141" customWidth="1"/>
    <col min="8974" max="8974" width="12.5703125" style="141" customWidth="1"/>
    <col min="8975" max="9216" width="9.140625" style="141"/>
    <col min="9217" max="9217" width="15.85546875" style="141" bestFit="1" customWidth="1"/>
    <col min="9218" max="9218" width="15.7109375" style="141" bestFit="1" customWidth="1"/>
    <col min="9219" max="9219" width="54.85546875" style="141" bestFit="1" customWidth="1"/>
    <col min="9220" max="9224" width="0" style="141" hidden="1" customWidth="1"/>
    <col min="9225" max="9225" width="14.140625" style="141" bestFit="1" customWidth="1"/>
    <col min="9226" max="9226" width="14" style="141" customWidth="1"/>
    <col min="9227" max="9227" width="15.5703125" style="141" customWidth="1"/>
    <col min="9228" max="9228" width="12.85546875" style="141" customWidth="1"/>
    <col min="9229" max="9229" width="11.42578125" style="141" customWidth="1"/>
    <col min="9230" max="9230" width="12.5703125" style="141" customWidth="1"/>
    <col min="9231" max="9472" width="9.140625" style="141"/>
    <col min="9473" max="9473" width="15.85546875" style="141" bestFit="1" customWidth="1"/>
    <col min="9474" max="9474" width="15.7109375" style="141" bestFit="1" customWidth="1"/>
    <col min="9475" max="9475" width="54.85546875" style="141" bestFit="1" customWidth="1"/>
    <col min="9476" max="9480" width="0" style="141" hidden="1" customWidth="1"/>
    <col min="9481" max="9481" width="14.140625" style="141" bestFit="1" customWidth="1"/>
    <col min="9482" max="9482" width="14" style="141" customWidth="1"/>
    <col min="9483" max="9483" width="15.5703125" style="141" customWidth="1"/>
    <col min="9484" max="9484" width="12.85546875" style="141" customWidth="1"/>
    <col min="9485" max="9485" width="11.42578125" style="141" customWidth="1"/>
    <col min="9486" max="9486" width="12.5703125" style="141" customWidth="1"/>
    <col min="9487" max="9728" width="9.140625" style="141"/>
    <col min="9729" max="9729" width="15.85546875" style="141" bestFit="1" customWidth="1"/>
    <col min="9730" max="9730" width="15.7109375" style="141" bestFit="1" customWidth="1"/>
    <col min="9731" max="9731" width="54.85546875" style="141" bestFit="1" customWidth="1"/>
    <col min="9732" max="9736" width="0" style="141" hidden="1" customWidth="1"/>
    <col min="9737" max="9737" width="14.140625" style="141" bestFit="1" customWidth="1"/>
    <col min="9738" max="9738" width="14" style="141" customWidth="1"/>
    <col min="9739" max="9739" width="15.5703125" style="141" customWidth="1"/>
    <col min="9740" max="9740" width="12.85546875" style="141" customWidth="1"/>
    <col min="9741" max="9741" width="11.42578125" style="141" customWidth="1"/>
    <col min="9742" max="9742" width="12.5703125" style="141" customWidth="1"/>
    <col min="9743" max="9984" width="9.140625" style="141"/>
    <col min="9985" max="9985" width="15.85546875" style="141" bestFit="1" customWidth="1"/>
    <col min="9986" max="9986" width="15.7109375" style="141" bestFit="1" customWidth="1"/>
    <col min="9987" max="9987" width="54.85546875" style="141" bestFit="1" customWidth="1"/>
    <col min="9988" max="9992" width="0" style="141" hidden="1" customWidth="1"/>
    <col min="9993" max="9993" width="14.140625" style="141" bestFit="1" customWidth="1"/>
    <col min="9994" max="9994" width="14" style="141" customWidth="1"/>
    <col min="9995" max="9995" width="15.5703125" style="141" customWidth="1"/>
    <col min="9996" max="9996" width="12.85546875" style="141" customWidth="1"/>
    <col min="9997" max="9997" width="11.42578125" style="141" customWidth="1"/>
    <col min="9998" max="9998" width="12.5703125" style="141" customWidth="1"/>
    <col min="9999" max="10240" width="9.140625" style="141"/>
    <col min="10241" max="10241" width="15.85546875" style="141" bestFit="1" customWidth="1"/>
    <col min="10242" max="10242" width="15.7109375" style="141" bestFit="1" customWidth="1"/>
    <col min="10243" max="10243" width="54.85546875" style="141" bestFit="1" customWidth="1"/>
    <col min="10244" max="10248" width="0" style="141" hidden="1" customWidth="1"/>
    <col min="10249" max="10249" width="14.140625" style="141" bestFit="1" customWidth="1"/>
    <col min="10250" max="10250" width="14" style="141" customWidth="1"/>
    <col min="10251" max="10251" width="15.5703125" style="141" customWidth="1"/>
    <col min="10252" max="10252" width="12.85546875" style="141" customWidth="1"/>
    <col min="10253" max="10253" width="11.42578125" style="141" customWidth="1"/>
    <col min="10254" max="10254" width="12.5703125" style="141" customWidth="1"/>
    <col min="10255" max="10496" width="9.140625" style="141"/>
    <col min="10497" max="10497" width="15.85546875" style="141" bestFit="1" customWidth="1"/>
    <col min="10498" max="10498" width="15.7109375" style="141" bestFit="1" customWidth="1"/>
    <col min="10499" max="10499" width="54.85546875" style="141" bestFit="1" customWidth="1"/>
    <col min="10500" max="10504" width="0" style="141" hidden="1" customWidth="1"/>
    <col min="10505" max="10505" width="14.140625" style="141" bestFit="1" customWidth="1"/>
    <col min="10506" max="10506" width="14" style="141" customWidth="1"/>
    <col min="10507" max="10507" width="15.5703125" style="141" customWidth="1"/>
    <col min="10508" max="10508" width="12.85546875" style="141" customWidth="1"/>
    <col min="10509" max="10509" width="11.42578125" style="141" customWidth="1"/>
    <col min="10510" max="10510" width="12.5703125" style="141" customWidth="1"/>
    <col min="10511" max="10752" width="9.140625" style="141"/>
    <col min="10753" max="10753" width="15.85546875" style="141" bestFit="1" customWidth="1"/>
    <col min="10754" max="10754" width="15.7109375" style="141" bestFit="1" customWidth="1"/>
    <col min="10755" max="10755" width="54.85546875" style="141" bestFit="1" customWidth="1"/>
    <col min="10756" max="10760" width="0" style="141" hidden="1" customWidth="1"/>
    <col min="10761" max="10761" width="14.140625" style="141" bestFit="1" customWidth="1"/>
    <col min="10762" max="10762" width="14" style="141" customWidth="1"/>
    <col min="10763" max="10763" width="15.5703125" style="141" customWidth="1"/>
    <col min="10764" max="10764" width="12.85546875" style="141" customWidth="1"/>
    <col min="10765" max="10765" width="11.42578125" style="141" customWidth="1"/>
    <col min="10766" max="10766" width="12.5703125" style="141" customWidth="1"/>
    <col min="10767" max="11008" width="9.140625" style="141"/>
    <col min="11009" max="11009" width="15.85546875" style="141" bestFit="1" customWidth="1"/>
    <col min="11010" max="11010" width="15.7109375" style="141" bestFit="1" customWidth="1"/>
    <col min="11011" max="11011" width="54.85546875" style="141" bestFit="1" customWidth="1"/>
    <col min="11012" max="11016" width="0" style="141" hidden="1" customWidth="1"/>
    <col min="11017" max="11017" width="14.140625" style="141" bestFit="1" customWidth="1"/>
    <col min="11018" max="11018" width="14" style="141" customWidth="1"/>
    <col min="11019" max="11019" width="15.5703125" style="141" customWidth="1"/>
    <col min="11020" max="11020" width="12.85546875" style="141" customWidth="1"/>
    <col min="11021" max="11021" width="11.42578125" style="141" customWidth="1"/>
    <col min="11022" max="11022" width="12.5703125" style="141" customWidth="1"/>
    <col min="11023" max="11264" width="9.140625" style="141"/>
    <col min="11265" max="11265" width="15.85546875" style="141" bestFit="1" customWidth="1"/>
    <col min="11266" max="11266" width="15.7109375" style="141" bestFit="1" customWidth="1"/>
    <col min="11267" max="11267" width="54.85546875" style="141" bestFit="1" customWidth="1"/>
    <col min="11268" max="11272" width="0" style="141" hidden="1" customWidth="1"/>
    <col min="11273" max="11273" width="14.140625" style="141" bestFit="1" customWidth="1"/>
    <col min="11274" max="11274" width="14" style="141" customWidth="1"/>
    <col min="11275" max="11275" width="15.5703125" style="141" customWidth="1"/>
    <col min="11276" max="11276" width="12.85546875" style="141" customWidth="1"/>
    <col min="11277" max="11277" width="11.42578125" style="141" customWidth="1"/>
    <col min="11278" max="11278" width="12.5703125" style="141" customWidth="1"/>
    <col min="11279" max="11520" width="9.140625" style="141"/>
    <col min="11521" max="11521" width="15.85546875" style="141" bestFit="1" customWidth="1"/>
    <col min="11522" max="11522" width="15.7109375" style="141" bestFit="1" customWidth="1"/>
    <col min="11523" max="11523" width="54.85546875" style="141" bestFit="1" customWidth="1"/>
    <col min="11524" max="11528" width="0" style="141" hidden="1" customWidth="1"/>
    <col min="11529" max="11529" width="14.140625" style="141" bestFit="1" customWidth="1"/>
    <col min="11530" max="11530" width="14" style="141" customWidth="1"/>
    <col min="11531" max="11531" width="15.5703125" style="141" customWidth="1"/>
    <col min="11532" max="11532" width="12.85546875" style="141" customWidth="1"/>
    <col min="11533" max="11533" width="11.42578125" style="141" customWidth="1"/>
    <col min="11534" max="11534" width="12.5703125" style="141" customWidth="1"/>
    <col min="11535" max="11776" width="9.140625" style="141"/>
    <col min="11777" max="11777" width="15.85546875" style="141" bestFit="1" customWidth="1"/>
    <col min="11778" max="11778" width="15.7109375" style="141" bestFit="1" customWidth="1"/>
    <col min="11779" max="11779" width="54.85546875" style="141" bestFit="1" customWidth="1"/>
    <col min="11780" max="11784" width="0" style="141" hidden="1" customWidth="1"/>
    <col min="11785" max="11785" width="14.140625" style="141" bestFit="1" customWidth="1"/>
    <col min="11786" max="11786" width="14" style="141" customWidth="1"/>
    <col min="11787" max="11787" width="15.5703125" style="141" customWidth="1"/>
    <col min="11788" max="11788" width="12.85546875" style="141" customWidth="1"/>
    <col min="11789" max="11789" width="11.42578125" style="141" customWidth="1"/>
    <col min="11790" max="11790" width="12.5703125" style="141" customWidth="1"/>
    <col min="11791" max="12032" width="9.140625" style="141"/>
    <col min="12033" max="12033" width="15.85546875" style="141" bestFit="1" customWidth="1"/>
    <col min="12034" max="12034" width="15.7109375" style="141" bestFit="1" customWidth="1"/>
    <col min="12035" max="12035" width="54.85546875" style="141" bestFit="1" customWidth="1"/>
    <col min="12036" max="12040" width="0" style="141" hidden="1" customWidth="1"/>
    <col min="12041" max="12041" width="14.140625" style="141" bestFit="1" customWidth="1"/>
    <col min="12042" max="12042" width="14" style="141" customWidth="1"/>
    <col min="12043" max="12043" width="15.5703125" style="141" customWidth="1"/>
    <col min="12044" max="12044" width="12.85546875" style="141" customWidth="1"/>
    <col min="12045" max="12045" width="11.42578125" style="141" customWidth="1"/>
    <col min="12046" max="12046" width="12.5703125" style="141" customWidth="1"/>
    <col min="12047" max="12288" width="9.140625" style="141"/>
    <col min="12289" max="12289" width="15.85546875" style="141" bestFit="1" customWidth="1"/>
    <col min="12290" max="12290" width="15.7109375" style="141" bestFit="1" customWidth="1"/>
    <col min="12291" max="12291" width="54.85546875" style="141" bestFit="1" customWidth="1"/>
    <col min="12292" max="12296" width="0" style="141" hidden="1" customWidth="1"/>
    <col min="12297" max="12297" width="14.140625" style="141" bestFit="1" customWidth="1"/>
    <col min="12298" max="12298" width="14" style="141" customWidth="1"/>
    <col min="12299" max="12299" width="15.5703125" style="141" customWidth="1"/>
    <col min="12300" max="12300" width="12.85546875" style="141" customWidth="1"/>
    <col min="12301" max="12301" width="11.42578125" style="141" customWidth="1"/>
    <col min="12302" max="12302" width="12.5703125" style="141" customWidth="1"/>
    <col min="12303" max="12544" width="9.140625" style="141"/>
    <col min="12545" max="12545" width="15.85546875" style="141" bestFit="1" customWidth="1"/>
    <col min="12546" max="12546" width="15.7109375" style="141" bestFit="1" customWidth="1"/>
    <col min="12547" max="12547" width="54.85546875" style="141" bestFit="1" customWidth="1"/>
    <col min="12548" max="12552" width="0" style="141" hidden="1" customWidth="1"/>
    <col min="12553" max="12553" width="14.140625" style="141" bestFit="1" customWidth="1"/>
    <col min="12554" max="12554" width="14" style="141" customWidth="1"/>
    <col min="12555" max="12555" width="15.5703125" style="141" customWidth="1"/>
    <col min="12556" max="12556" width="12.85546875" style="141" customWidth="1"/>
    <col min="12557" max="12557" width="11.42578125" style="141" customWidth="1"/>
    <col min="12558" max="12558" width="12.5703125" style="141" customWidth="1"/>
    <col min="12559" max="12800" width="9.140625" style="141"/>
    <col min="12801" max="12801" width="15.85546875" style="141" bestFit="1" customWidth="1"/>
    <col min="12802" max="12802" width="15.7109375" style="141" bestFit="1" customWidth="1"/>
    <col min="12803" max="12803" width="54.85546875" style="141" bestFit="1" customWidth="1"/>
    <col min="12804" max="12808" width="0" style="141" hidden="1" customWidth="1"/>
    <col min="12809" max="12809" width="14.140625" style="141" bestFit="1" customWidth="1"/>
    <col min="12810" max="12810" width="14" style="141" customWidth="1"/>
    <col min="12811" max="12811" width="15.5703125" style="141" customWidth="1"/>
    <col min="12812" max="12812" width="12.85546875" style="141" customWidth="1"/>
    <col min="12813" max="12813" width="11.42578125" style="141" customWidth="1"/>
    <col min="12814" max="12814" width="12.5703125" style="141" customWidth="1"/>
    <col min="12815" max="13056" width="9.140625" style="141"/>
    <col min="13057" max="13057" width="15.85546875" style="141" bestFit="1" customWidth="1"/>
    <col min="13058" max="13058" width="15.7109375" style="141" bestFit="1" customWidth="1"/>
    <col min="13059" max="13059" width="54.85546875" style="141" bestFit="1" customWidth="1"/>
    <col min="13060" max="13064" width="0" style="141" hidden="1" customWidth="1"/>
    <col min="13065" max="13065" width="14.140625" style="141" bestFit="1" customWidth="1"/>
    <col min="13066" max="13066" width="14" style="141" customWidth="1"/>
    <col min="13067" max="13067" width="15.5703125" style="141" customWidth="1"/>
    <col min="13068" max="13068" width="12.85546875" style="141" customWidth="1"/>
    <col min="13069" max="13069" width="11.42578125" style="141" customWidth="1"/>
    <col min="13070" max="13070" width="12.5703125" style="141" customWidth="1"/>
    <col min="13071" max="13312" width="9.140625" style="141"/>
    <col min="13313" max="13313" width="15.85546875" style="141" bestFit="1" customWidth="1"/>
    <col min="13314" max="13314" width="15.7109375" style="141" bestFit="1" customWidth="1"/>
    <col min="13315" max="13315" width="54.85546875" style="141" bestFit="1" customWidth="1"/>
    <col min="13316" max="13320" width="0" style="141" hidden="1" customWidth="1"/>
    <col min="13321" max="13321" width="14.140625" style="141" bestFit="1" customWidth="1"/>
    <col min="13322" max="13322" width="14" style="141" customWidth="1"/>
    <col min="13323" max="13323" width="15.5703125" style="141" customWidth="1"/>
    <col min="13324" max="13324" width="12.85546875" style="141" customWidth="1"/>
    <col min="13325" max="13325" width="11.42578125" style="141" customWidth="1"/>
    <col min="13326" max="13326" width="12.5703125" style="141" customWidth="1"/>
    <col min="13327" max="13568" width="9.140625" style="141"/>
    <col min="13569" max="13569" width="15.85546875" style="141" bestFit="1" customWidth="1"/>
    <col min="13570" max="13570" width="15.7109375" style="141" bestFit="1" customWidth="1"/>
    <col min="13571" max="13571" width="54.85546875" style="141" bestFit="1" customWidth="1"/>
    <col min="13572" max="13576" width="0" style="141" hidden="1" customWidth="1"/>
    <col min="13577" max="13577" width="14.140625" style="141" bestFit="1" customWidth="1"/>
    <col min="13578" max="13578" width="14" style="141" customWidth="1"/>
    <col min="13579" max="13579" width="15.5703125" style="141" customWidth="1"/>
    <col min="13580" max="13580" width="12.85546875" style="141" customWidth="1"/>
    <col min="13581" max="13581" width="11.42578125" style="141" customWidth="1"/>
    <col min="13582" max="13582" width="12.5703125" style="141" customWidth="1"/>
    <col min="13583" max="13824" width="9.140625" style="141"/>
    <col min="13825" max="13825" width="15.85546875" style="141" bestFit="1" customWidth="1"/>
    <col min="13826" max="13826" width="15.7109375" style="141" bestFit="1" customWidth="1"/>
    <col min="13827" max="13827" width="54.85546875" style="141" bestFit="1" customWidth="1"/>
    <col min="13828" max="13832" width="0" style="141" hidden="1" customWidth="1"/>
    <col min="13833" max="13833" width="14.140625" style="141" bestFit="1" customWidth="1"/>
    <col min="13834" max="13834" width="14" style="141" customWidth="1"/>
    <col min="13835" max="13835" width="15.5703125" style="141" customWidth="1"/>
    <col min="13836" max="13836" width="12.85546875" style="141" customWidth="1"/>
    <col min="13837" max="13837" width="11.42578125" style="141" customWidth="1"/>
    <col min="13838" max="13838" width="12.5703125" style="141" customWidth="1"/>
    <col min="13839" max="14080" width="9.140625" style="141"/>
    <col min="14081" max="14081" width="15.85546875" style="141" bestFit="1" customWidth="1"/>
    <col min="14082" max="14082" width="15.7109375" style="141" bestFit="1" customWidth="1"/>
    <col min="14083" max="14083" width="54.85546875" style="141" bestFit="1" customWidth="1"/>
    <col min="14084" max="14088" width="0" style="141" hidden="1" customWidth="1"/>
    <col min="14089" max="14089" width="14.140625" style="141" bestFit="1" customWidth="1"/>
    <col min="14090" max="14090" width="14" style="141" customWidth="1"/>
    <col min="14091" max="14091" width="15.5703125" style="141" customWidth="1"/>
    <col min="14092" max="14092" width="12.85546875" style="141" customWidth="1"/>
    <col min="14093" max="14093" width="11.42578125" style="141" customWidth="1"/>
    <col min="14094" max="14094" width="12.5703125" style="141" customWidth="1"/>
    <col min="14095" max="14336" width="9.140625" style="141"/>
    <col min="14337" max="14337" width="15.85546875" style="141" bestFit="1" customWidth="1"/>
    <col min="14338" max="14338" width="15.7109375" style="141" bestFit="1" customWidth="1"/>
    <col min="14339" max="14339" width="54.85546875" style="141" bestFit="1" customWidth="1"/>
    <col min="14340" max="14344" width="0" style="141" hidden="1" customWidth="1"/>
    <col min="14345" max="14345" width="14.140625" style="141" bestFit="1" customWidth="1"/>
    <col min="14346" max="14346" width="14" style="141" customWidth="1"/>
    <col min="14347" max="14347" width="15.5703125" style="141" customWidth="1"/>
    <col min="14348" max="14348" width="12.85546875" style="141" customWidth="1"/>
    <col min="14349" max="14349" width="11.42578125" style="141" customWidth="1"/>
    <col min="14350" max="14350" width="12.5703125" style="141" customWidth="1"/>
    <col min="14351" max="14592" width="9.140625" style="141"/>
    <col min="14593" max="14593" width="15.85546875" style="141" bestFit="1" customWidth="1"/>
    <col min="14594" max="14594" width="15.7109375" style="141" bestFit="1" customWidth="1"/>
    <col min="14595" max="14595" width="54.85546875" style="141" bestFit="1" customWidth="1"/>
    <col min="14596" max="14600" width="0" style="141" hidden="1" customWidth="1"/>
    <col min="14601" max="14601" width="14.140625" style="141" bestFit="1" customWidth="1"/>
    <col min="14602" max="14602" width="14" style="141" customWidth="1"/>
    <col min="14603" max="14603" width="15.5703125" style="141" customWidth="1"/>
    <col min="14604" max="14604" width="12.85546875" style="141" customWidth="1"/>
    <col min="14605" max="14605" width="11.42578125" style="141" customWidth="1"/>
    <col min="14606" max="14606" width="12.5703125" style="141" customWidth="1"/>
    <col min="14607" max="14848" width="9.140625" style="141"/>
    <col min="14849" max="14849" width="15.85546875" style="141" bestFit="1" customWidth="1"/>
    <col min="14850" max="14850" width="15.7109375" style="141" bestFit="1" customWidth="1"/>
    <col min="14851" max="14851" width="54.85546875" style="141" bestFit="1" customWidth="1"/>
    <col min="14852" max="14856" width="0" style="141" hidden="1" customWidth="1"/>
    <col min="14857" max="14857" width="14.140625" style="141" bestFit="1" customWidth="1"/>
    <col min="14858" max="14858" width="14" style="141" customWidth="1"/>
    <col min="14859" max="14859" width="15.5703125" style="141" customWidth="1"/>
    <col min="14860" max="14860" width="12.85546875" style="141" customWidth="1"/>
    <col min="14861" max="14861" width="11.42578125" style="141" customWidth="1"/>
    <col min="14862" max="14862" width="12.5703125" style="141" customWidth="1"/>
    <col min="14863" max="15104" width="9.140625" style="141"/>
    <col min="15105" max="15105" width="15.85546875" style="141" bestFit="1" customWidth="1"/>
    <col min="15106" max="15106" width="15.7109375" style="141" bestFit="1" customWidth="1"/>
    <col min="15107" max="15107" width="54.85546875" style="141" bestFit="1" customWidth="1"/>
    <col min="15108" max="15112" width="0" style="141" hidden="1" customWidth="1"/>
    <col min="15113" max="15113" width="14.140625" style="141" bestFit="1" customWidth="1"/>
    <col min="15114" max="15114" width="14" style="141" customWidth="1"/>
    <col min="15115" max="15115" width="15.5703125" style="141" customWidth="1"/>
    <col min="15116" max="15116" width="12.85546875" style="141" customWidth="1"/>
    <col min="15117" max="15117" width="11.42578125" style="141" customWidth="1"/>
    <col min="15118" max="15118" width="12.5703125" style="141" customWidth="1"/>
    <col min="15119" max="15360" width="9.140625" style="141"/>
    <col min="15361" max="15361" width="15.85546875" style="141" bestFit="1" customWidth="1"/>
    <col min="15362" max="15362" width="15.7109375" style="141" bestFit="1" customWidth="1"/>
    <col min="15363" max="15363" width="54.85546875" style="141" bestFit="1" customWidth="1"/>
    <col min="15364" max="15368" width="0" style="141" hidden="1" customWidth="1"/>
    <col min="15369" max="15369" width="14.140625" style="141" bestFit="1" customWidth="1"/>
    <col min="15370" max="15370" width="14" style="141" customWidth="1"/>
    <col min="15371" max="15371" width="15.5703125" style="141" customWidth="1"/>
    <col min="15372" max="15372" width="12.85546875" style="141" customWidth="1"/>
    <col min="15373" max="15373" width="11.42578125" style="141" customWidth="1"/>
    <col min="15374" max="15374" width="12.5703125" style="141" customWidth="1"/>
    <col min="15375" max="15616" width="9.140625" style="141"/>
    <col min="15617" max="15617" width="15.85546875" style="141" bestFit="1" customWidth="1"/>
    <col min="15618" max="15618" width="15.7109375" style="141" bestFit="1" customWidth="1"/>
    <col min="15619" max="15619" width="54.85546875" style="141" bestFit="1" customWidth="1"/>
    <col min="15620" max="15624" width="0" style="141" hidden="1" customWidth="1"/>
    <col min="15625" max="15625" width="14.140625" style="141" bestFit="1" customWidth="1"/>
    <col min="15626" max="15626" width="14" style="141" customWidth="1"/>
    <col min="15627" max="15627" width="15.5703125" style="141" customWidth="1"/>
    <col min="15628" max="15628" width="12.85546875" style="141" customWidth="1"/>
    <col min="15629" max="15629" width="11.42578125" style="141" customWidth="1"/>
    <col min="15630" max="15630" width="12.5703125" style="141" customWidth="1"/>
    <col min="15631" max="15872" width="9.140625" style="141"/>
    <col min="15873" max="15873" width="15.85546875" style="141" bestFit="1" customWidth="1"/>
    <col min="15874" max="15874" width="15.7109375" style="141" bestFit="1" customWidth="1"/>
    <col min="15875" max="15875" width="54.85546875" style="141" bestFit="1" customWidth="1"/>
    <col min="15876" max="15880" width="0" style="141" hidden="1" customWidth="1"/>
    <col min="15881" max="15881" width="14.140625" style="141" bestFit="1" customWidth="1"/>
    <col min="15882" max="15882" width="14" style="141" customWidth="1"/>
    <col min="15883" max="15883" width="15.5703125" style="141" customWidth="1"/>
    <col min="15884" max="15884" width="12.85546875" style="141" customWidth="1"/>
    <col min="15885" max="15885" width="11.42578125" style="141" customWidth="1"/>
    <col min="15886" max="15886" width="12.5703125" style="141" customWidth="1"/>
    <col min="15887" max="16128" width="9.140625" style="141"/>
    <col min="16129" max="16129" width="15.85546875" style="141" bestFit="1" customWidth="1"/>
    <col min="16130" max="16130" width="15.7109375" style="141" bestFit="1" customWidth="1"/>
    <col min="16131" max="16131" width="54.85546875" style="141" bestFit="1" customWidth="1"/>
    <col min="16132" max="16136" width="0" style="141" hidden="1" customWidth="1"/>
    <col min="16137" max="16137" width="14.140625" style="141" bestFit="1" customWidth="1"/>
    <col min="16138" max="16138" width="14" style="141" customWidth="1"/>
    <col min="16139" max="16139" width="15.5703125" style="141" customWidth="1"/>
    <col min="16140" max="16140" width="12.85546875" style="141" customWidth="1"/>
    <col min="16141" max="16141" width="11.42578125" style="141" customWidth="1"/>
    <col min="16142" max="16142" width="12.5703125" style="141" customWidth="1"/>
    <col min="16143" max="16384" width="9.140625" style="141"/>
  </cols>
  <sheetData>
    <row r="1" spans="1:14" ht="12.75" customHeight="1" thickBot="1">
      <c r="A1" s="136" t="s">
        <v>346</v>
      </c>
      <c r="B1" s="136" t="s">
        <v>347</v>
      </c>
      <c r="C1" s="137" t="s">
        <v>348</v>
      </c>
      <c r="D1" s="136" t="s">
        <v>349</v>
      </c>
      <c r="E1" s="136" t="s">
        <v>350</v>
      </c>
      <c r="F1" s="136" t="s">
        <v>351</v>
      </c>
      <c r="G1" s="138" t="s">
        <v>352</v>
      </c>
      <c r="H1" s="136" t="s">
        <v>353</v>
      </c>
      <c r="I1" s="139" t="s">
        <v>354</v>
      </c>
      <c r="J1" s="140" t="s">
        <v>355</v>
      </c>
      <c r="K1" s="136" t="s">
        <v>356</v>
      </c>
      <c r="L1" s="136" t="s">
        <v>357</v>
      </c>
      <c r="M1" s="136" t="s">
        <v>358</v>
      </c>
      <c r="N1" s="136" t="s">
        <v>359</v>
      </c>
    </row>
    <row r="2" spans="1:14" ht="12.75" customHeight="1">
      <c r="A2" s="142" t="s">
        <v>360</v>
      </c>
      <c r="B2" s="143" t="s">
        <v>361</v>
      </c>
      <c r="C2" s="143" t="s">
        <v>362</v>
      </c>
      <c r="D2" s="143" t="s">
        <v>363</v>
      </c>
      <c r="E2" s="144">
        <v>39198</v>
      </c>
      <c r="F2" s="143">
        <v>61135</v>
      </c>
      <c r="G2" s="143">
        <v>0</v>
      </c>
      <c r="H2" s="143">
        <v>3268.5</v>
      </c>
      <c r="I2" s="145">
        <v>13074</v>
      </c>
      <c r="J2" s="146">
        <v>13074</v>
      </c>
      <c r="K2" s="147">
        <v>1</v>
      </c>
      <c r="L2" s="148">
        <v>0</v>
      </c>
      <c r="M2" s="149">
        <v>38</v>
      </c>
      <c r="N2" s="150">
        <v>2.6315789473684209E-2</v>
      </c>
    </row>
    <row r="3" spans="1:14" ht="12.75" customHeight="1">
      <c r="A3" s="151" t="s">
        <v>360</v>
      </c>
      <c r="B3" s="152" t="s">
        <v>361</v>
      </c>
      <c r="C3" s="152" t="s">
        <v>362</v>
      </c>
      <c r="D3" s="152" t="s">
        <v>364</v>
      </c>
      <c r="E3" s="153">
        <v>39198</v>
      </c>
      <c r="F3" s="152">
        <v>13208</v>
      </c>
      <c r="G3" s="152">
        <v>0</v>
      </c>
      <c r="H3" s="152">
        <v>3395.75</v>
      </c>
      <c r="I3" s="154">
        <v>17014</v>
      </c>
      <c r="J3" s="155">
        <v>13583</v>
      </c>
      <c r="K3" s="147">
        <v>1.2525951557093427</v>
      </c>
      <c r="L3" s="148">
        <v>11</v>
      </c>
      <c r="M3" s="149">
        <v>38</v>
      </c>
      <c r="N3" s="150">
        <v>4.6392413174420097E-2</v>
      </c>
    </row>
    <row r="4" spans="1:14" ht="12.75" customHeight="1">
      <c r="A4" s="151" t="s">
        <v>360</v>
      </c>
      <c r="B4" s="152" t="s">
        <v>361</v>
      </c>
      <c r="C4" s="152" t="s">
        <v>362</v>
      </c>
      <c r="D4" s="152" t="s">
        <v>365</v>
      </c>
      <c r="E4" s="153">
        <v>39219</v>
      </c>
      <c r="F4" s="152">
        <v>5704</v>
      </c>
      <c r="G4" s="152">
        <v>0</v>
      </c>
      <c r="H4" s="152">
        <v>902.5</v>
      </c>
      <c r="I4" s="154">
        <v>2902</v>
      </c>
      <c r="J4" s="155">
        <v>3610</v>
      </c>
      <c r="K4" s="147">
        <v>0.80387811634349027</v>
      </c>
      <c r="L4" s="148">
        <v>2</v>
      </c>
      <c r="M4" s="149">
        <v>38</v>
      </c>
      <c r="N4" s="150">
        <v>2.2329947676208065E-2</v>
      </c>
    </row>
    <row r="5" spans="1:14" ht="12.75" customHeight="1">
      <c r="A5" s="151" t="s">
        <v>360</v>
      </c>
      <c r="B5" s="152" t="s">
        <v>361</v>
      </c>
      <c r="C5" s="152" t="s">
        <v>362</v>
      </c>
      <c r="D5" s="152" t="s">
        <v>366</v>
      </c>
      <c r="E5" s="153">
        <v>39282</v>
      </c>
      <c r="F5" s="152">
        <v>35591</v>
      </c>
      <c r="G5" s="152">
        <v>0</v>
      </c>
      <c r="H5" s="152">
        <v>1902.75</v>
      </c>
      <c r="I5" s="154">
        <v>9082</v>
      </c>
      <c r="J5" s="155">
        <v>7611</v>
      </c>
      <c r="K5" s="147">
        <v>1.1932728944948101</v>
      </c>
      <c r="L5" s="148">
        <v>0</v>
      </c>
      <c r="M5" s="149">
        <v>38</v>
      </c>
      <c r="N5" s="150">
        <v>3.1401918276179212E-2</v>
      </c>
    </row>
    <row r="6" spans="1:14" ht="12.75" customHeight="1">
      <c r="A6" s="151" t="s">
        <v>360</v>
      </c>
      <c r="B6" s="152" t="s">
        <v>361</v>
      </c>
      <c r="C6" s="152" t="s">
        <v>362</v>
      </c>
      <c r="D6" s="152" t="s">
        <v>367</v>
      </c>
      <c r="E6" s="153">
        <v>39317</v>
      </c>
      <c r="F6" s="152">
        <v>8192</v>
      </c>
      <c r="G6" s="152">
        <v>0</v>
      </c>
      <c r="H6" s="152">
        <v>2100</v>
      </c>
      <c r="I6" s="154">
        <v>6580</v>
      </c>
      <c r="J6" s="155">
        <v>8400</v>
      </c>
      <c r="K6" s="147">
        <v>0.78333333333333333</v>
      </c>
      <c r="L6" s="148">
        <v>11</v>
      </c>
      <c r="M6" s="149">
        <v>38</v>
      </c>
      <c r="N6" s="150">
        <v>2.9012345679012345E-2</v>
      </c>
    </row>
    <row r="7" spans="1:14" ht="12.75" customHeight="1">
      <c r="A7" s="151" t="s">
        <v>360</v>
      </c>
      <c r="B7" s="152" t="s">
        <v>361</v>
      </c>
      <c r="C7" s="152" t="s">
        <v>362</v>
      </c>
      <c r="D7" s="152" t="s">
        <v>368</v>
      </c>
      <c r="E7" s="153">
        <v>39407</v>
      </c>
      <c r="F7" s="152">
        <v>37129</v>
      </c>
      <c r="G7" s="152">
        <v>0</v>
      </c>
      <c r="H7" s="152">
        <v>2000</v>
      </c>
      <c r="I7" s="154">
        <v>4400</v>
      </c>
      <c r="J7" s="155">
        <v>8000</v>
      </c>
      <c r="K7" s="147">
        <v>0.55000000000000004</v>
      </c>
      <c r="L7" s="148">
        <v>0</v>
      </c>
      <c r="M7" s="149">
        <v>38</v>
      </c>
      <c r="N7" s="150">
        <v>1.4473684210526317E-2</v>
      </c>
    </row>
    <row r="8" spans="1:14" ht="12.75" customHeight="1">
      <c r="A8" s="151" t="s">
        <v>360</v>
      </c>
      <c r="B8" s="152" t="s">
        <v>361</v>
      </c>
      <c r="C8" s="152" t="s">
        <v>362</v>
      </c>
      <c r="D8" s="152" t="s">
        <v>369</v>
      </c>
      <c r="E8" s="153">
        <v>39353</v>
      </c>
      <c r="F8" s="152">
        <v>3394</v>
      </c>
      <c r="G8" s="152">
        <v>0</v>
      </c>
      <c r="H8" s="152">
        <v>872.25</v>
      </c>
      <c r="I8" s="154">
        <v>5624.25</v>
      </c>
      <c r="J8" s="155">
        <v>3489</v>
      </c>
      <c r="K8" s="147">
        <v>1.6119948409286329</v>
      </c>
      <c r="L8" s="148">
        <v>15</v>
      </c>
      <c r="M8" s="149">
        <v>38</v>
      </c>
      <c r="N8" s="150">
        <v>7.0086732214288391E-2</v>
      </c>
    </row>
    <row r="9" spans="1:14" ht="12.75" customHeight="1">
      <c r="A9" s="151" t="s">
        <v>360</v>
      </c>
      <c r="B9" s="152" t="s">
        <v>361</v>
      </c>
      <c r="C9" s="152" t="s">
        <v>362</v>
      </c>
      <c r="D9" s="152" t="s">
        <v>370</v>
      </c>
      <c r="E9" s="153">
        <v>39353</v>
      </c>
      <c r="F9" s="152">
        <v>12962</v>
      </c>
      <c r="G9" s="152">
        <v>0</v>
      </c>
      <c r="H9" s="152">
        <v>2050.75</v>
      </c>
      <c r="I9" s="154">
        <v>6253</v>
      </c>
      <c r="J9" s="155">
        <v>8203</v>
      </c>
      <c r="K9" s="147">
        <v>0.76228209191759111</v>
      </c>
      <c r="L9" s="148">
        <v>0</v>
      </c>
      <c r="M9" s="149">
        <v>25</v>
      </c>
      <c r="N9" s="150">
        <v>3.0491283676703645E-2</v>
      </c>
    </row>
    <row r="10" spans="1:14" ht="12.75" customHeight="1">
      <c r="A10" s="151" t="s">
        <v>360</v>
      </c>
      <c r="B10" s="152" t="s">
        <v>361</v>
      </c>
      <c r="C10" s="152" t="s">
        <v>362</v>
      </c>
      <c r="D10" s="152" t="s">
        <v>371</v>
      </c>
      <c r="E10" s="153">
        <v>39359</v>
      </c>
      <c r="F10" s="152">
        <v>19604</v>
      </c>
      <c r="G10" s="152">
        <v>0</v>
      </c>
      <c r="H10" s="152">
        <v>5040</v>
      </c>
      <c r="I10" s="154">
        <v>9269</v>
      </c>
      <c r="J10" s="155">
        <v>20160</v>
      </c>
      <c r="K10" s="147">
        <v>0.45977182539682537</v>
      </c>
      <c r="L10" s="148">
        <v>12</v>
      </c>
      <c r="M10" s="149">
        <v>38</v>
      </c>
      <c r="N10" s="150">
        <v>1.7683531746031746E-2</v>
      </c>
    </row>
    <row r="11" spans="1:14" ht="12.75" customHeight="1">
      <c r="A11" s="151" t="s">
        <v>360</v>
      </c>
      <c r="B11" s="152" t="s">
        <v>361</v>
      </c>
      <c r="C11" s="152" t="s">
        <v>362</v>
      </c>
      <c r="D11" s="152" t="s">
        <v>372</v>
      </c>
      <c r="E11" s="153">
        <v>39366</v>
      </c>
      <c r="F11" s="152">
        <v>13431</v>
      </c>
      <c r="G11" s="152">
        <v>0</v>
      </c>
      <c r="H11" s="152">
        <v>2125</v>
      </c>
      <c r="I11" s="154">
        <v>9147.69</v>
      </c>
      <c r="J11" s="155">
        <v>8500</v>
      </c>
      <c r="K11" s="147">
        <v>1.0761988235294118</v>
      </c>
      <c r="L11" s="148">
        <v>0</v>
      </c>
      <c r="M11" s="149">
        <v>30</v>
      </c>
      <c r="N11" s="150">
        <v>3.5873294117647059E-2</v>
      </c>
    </row>
    <row r="12" spans="1:14" ht="12.75" customHeight="1">
      <c r="A12" s="151" t="s">
        <v>360</v>
      </c>
      <c r="B12" s="152" t="s">
        <v>361</v>
      </c>
      <c r="C12" s="152" t="s">
        <v>362</v>
      </c>
      <c r="D12" s="152" t="s">
        <v>373</v>
      </c>
      <c r="E12" s="153">
        <v>39366</v>
      </c>
      <c r="F12" s="152">
        <v>18942</v>
      </c>
      <c r="G12" s="152">
        <v>0</v>
      </c>
      <c r="H12" s="152">
        <v>2997</v>
      </c>
      <c r="I12" s="154">
        <v>13066.49</v>
      </c>
      <c r="J12" s="155">
        <v>11988</v>
      </c>
      <c r="K12" s="147">
        <v>1.0899641307974641</v>
      </c>
      <c r="L12" s="148">
        <v>0</v>
      </c>
      <c r="M12" s="149">
        <v>38</v>
      </c>
      <c r="N12" s="150">
        <v>2.8683266599933265E-2</v>
      </c>
    </row>
    <row r="13" spans="1:14" ht="12.75" customHeight="1">
      <c r="A13" s="151" t="s">
        <v>360</v>
      </c>
      <c r="B13" s="152" t="s">
        <v>361</v>
      </c>
      <c r="C13" s="152" t="s">
        <v>362</v>
      </c>
      <c r="D13" s="152" t="s">
        <v>374</v>
      </c>
      <c r="E13" s="153">
        <v>39395</v>
      </c>
      <c r="F13" s="152">
        <v>59153</v>
      </c>
      <c r="G13" s="152">
        <v>0</v>
      </c>
      <c r="H13" s="152">
        <v>3332.5</v>
      </c>
      <c r="I13" s="154">
        <v>8390.9699999999993</v>
      </c>
      <c r="J13" s="155">
        <v>13330</v>
      </c>
      <c r="K13" s="147">
        <v>0.62948012003000742</v>
      </c>
      <c r="L13" s="148">
        <v>0</v>
      </c>
      <c r="M13" s="149">
        <v>38</v>
      </c>
      <c r="N13" s="150">
        <v>1.6565266316579143E-2</v>
      </c>
    </row>
    <row r="14" spans="1:14" ht="12.75" customHeight="1">
      <c r="A14" s="151" t="s">
        <v>360</v>
      </c>
      <c r="B14" s="152" t="s">
        <v>361</v>
      </c>
      <c r="C14" s="152" t="s">
        <v>362</v>
      </c>
      <c r="D14" s="152" t="s">
        <v>375</v>
      </c>
      <c r="E14" s="153">
        <v>39387</v>
      </c>
      <c r="F14" s="152">
        <v>5470</v>
      </c>
      <c r="G14" s="152">
        <v>0</v>
      </c>
      <c r="H14" s="152">
        <v>1406.25</v>
      </c>
      <c r="I14" s="154">
        <v>2945</v>
      </c>
      <c r="J14" s="155">
        <v>5625</v>
      </c>
      <c r="K14" s="147">
        <v>0.52355555555555555</v>
      </c>
      <c r="L14" s="148">
        <v>15</v>
      </c>
      <c r="M14" s="149">
        <v>38</v>
      </c>
      <c r="N14" s="150">
        <v>2.2763285024154589E-2</v>
      </c>
    </row>
    <row r="15" spans="1:14" ht="12.75" customHeight="1">
      <c r="A15" s="151" t="s">
        <v>360</v>
      </c>
      <c r="B15" s="152" t="s">
        <v>361</v>
      </c>
      <c r="C15" s="152" t="s">
        <v>362</v>
      </c>
      <c r="D15" s="152" t="s">
        <v>376</v>
      </c>
      <c r="E15" s="153">
        <v>39407</v>
      </c>
      <c r="F15" s="152">
        <v>9724</v>
      </c>
      <c r="G15" s="152">
        <v>0</v>
      </c>
      <c r="H15" s="152">
        <v>1538.5</v>
      </c>
      <c r="I15" s="154">
        <v>6620</v>
      </c>
      <c r="J15" s="155">
        <v>6154</v>
      </c>
      <c r="K15" s="147">
        <v>1.075723106922327</v>
      </c>
      <c r="L15" s="148">
        <v>8</v>
      </c>
      <c r="M15" s="149">
        <v>38</v>
      </c>
      <c r="N15" s="150">
        <v>3.5857436897410902E-2</v>
      </c>
    </row>
    <row r="16" spans="1:14" ht="12.75" customHeight="1">
      <c r="A16" s="151" t="s">
        <v>360</v>
      </c>
      <c r="B16" s="152" t="s">
        <v>361</v>
      </c>
      <c r="C16" s="152" t="s">
        <v>362</v>
      </c>
      <c r="D16" s="152" t="s">
        <v>377</v>
      </c>
      <c r="E16" s="153">
        <v>39407</v>
      </c>
      <c r="F16" s="152">
        <v>2237</v>
      </c>
      <c r="G16" s="152">
        <v>0</v>
      </c>
      <c r="H16" s="152">
        <v>575</v>
      </c>
      <c r="I16" s="154">
        <v>1495</v>
      </c>
      <c r="J16" s="155">
        <v>2300</v>
      </c>
      <c r="K16" s="147">
        <v>0.65</v>
      </c>
      <c r="L16" s="148">
        <v>11</v>
      </c>
      <c r="M16" s="149">
        <v>38</v>
      </c>
      <c r="N16" s="150">
        <v>2.4074074074074074E-2</v>
      </c>
    </row>
    <row r="17" spans="1:14" ht="12.75" customHeight="1">
      <c r="A17" s="151" t="s">
        <v>360</v>
      </c>
      <c r="B17" s="152" t="s">
        <v>361</v>
      </c>
      <c r="C17" s="152" t="s">
        <v>362</v>
      </c>
      <c r="D17" s="152" t="s">
        <v>378</v>
      </c>
      <c r="E17" s="153">
        <v>39429</v>
      </c>
      <c r="F17" s="152">
        <v>13226</v>
      </c>
      <c r="G17" s="152">
        <v>0</v>
      </c>
      <c r="H17" s="152">
        <v>2092.5</v>
      </c>
      <c r="I17" s="154">
        <v>4197</v>
      </c>
      <c r="J17" s="155">
        <v>8370</v>
      </c>
      <c r="K17" s="147">
        <v>0.50143369175627239</v>
      </c>
      <c r="L17" s="148">
        <v>8</v>
      </c>
      <c r="M17" s="149">
        <v>38</v>
      </c>
      <c r="N17" s="150">
        <v>1.6714456391875746E-2</v>
      </c>
    </row>
    <row r="18" spans="1:14" ht="12.75" customHeight="1">
      <c r="A18" s="151" t="s">
        <v>360</v>
      </c>
      <c r="B18" s="152" t="s">
        <v>361</v>
      </c>
      <c r="C18" s="152" t="s">
        <v>362</v>
      </c>
      <c r="D18" s="152" t="s">
        <v>379</v>
      </c>
      <c r="E18" s="153">
        <v>39429</v>
      </c>
      <c r="F18" s="152">
        <v>27977</v>
      </c>
      <c r="G18" s="152">
        <v>0</v>
      </c>
      <c r="H18" s="152">
        <v>7192.75</v>
      </c>
      <c r="I18" s="154">
        <v>17050</v>
      </c>
      <c r="J18" s="155">
        <v>28771</v>
      </c>
      <c r="K18" s="147">
        <v>0.59261061485523614</v>
      </c>
      <c r="L18" s="148">
        <v>15</v>
      </c>
      <c r="M18" s="149">
        <v>38</v>
      </c>
      <c r="N18" s="150">
        <v>2.5765678906749398E-2</v>
      </c>
    </row>
    <row r="19" spans="1:14" ht="12.75" customHeight="1">
      <c r="A19" s="151" t="s">
        <v>360</v>
      </c>
      <c r="B19" s="152" t="s">
        <v>361</v>
      </c>
      <c r="C19" s="152" t="s">
        <v>362</v>
      </c>
      <c r="D19" s="152" t="s">
        <v>380</v>
      </c>
      <c r="E19" s="153">
        <v>39429</v>
      </c>
      <c r="F19" s="152">
        <v>10282</v>
      </c>
      <c r="G19" s="152">
        <v>0</v>
      </c>
      <c r="H19" s="152">
        <v>1626.75</v>
      </c>
      <c r="I19" s="154">
        <v>8806</v>
      </c>
      <c r="J19" s="155">
        <v>6507</v>
      </c>
      <c r="K19" s="147">
        <v>1.3533118180421084</v>
      </c>
      <c r="L19" s="148">
        <v>15</v>
      </c>
      <c r="M19" s="149">
        <v>38</v>
      </c>
      <c r="N19" s="150">
        <v>5.8839644262700365E-2</v>
      </c>
    </row>
    <row r="20" spans="1:14" ht="12.75" customHeight="1">
      <c r="A20" s="151" t="s">
        <v>360</v>
      </c>
      <c r="B20" s="152" t="s">
        <v>361</v>
      </c>
      <c r="C20" s="152" t="s">
        <v>362</v>
      </c>
      <c r="D20" s="152" t="s">
        <v>381</v>
      </c>
      <c r="E20" s="153">
        <v>39443</v>
      </c>
      <c r="F20" s="152">
        <v>6097</v>
      </c>
      <c r="G20" s="152">
        <v>0</v>
      </c>
      <c r="H20" s="152">
        <v>1567.5</v>
      </c>
      <c r="I20" s="154">
        <v>8709.77</v>
      </c>
      <c r="J20" s="155">
        <v>6270</v>
      </c>
      <c r="K20" s="147">
        <v>1.3891180223285486</v>
      </c>
      <c r="L20" s="148">
        <v>11</v>
      </c>
      <c r="M20" s="149">
        <v>38</v>
      </c>
      <c r="N20" s="150">
        <v>5.1448815641798096E-2</v>
      </c>
    </row>
    <row r="21" spans="1:14" ht="12.75" customHeight="1">
      <c r="A21" s="151" t="s">
        <v>360</v>
      </c>
      <c r="B21" s="152" t="s">
        <v>361</v>
      </c>
      <c r="C21" s="152" t="s">
        <v>362</v>
      </c>
      <c r="D21" s="152" t="s">
        <v>382</v>
      </c>
      <c r="E21" s="153">
        <v>39443</v>
      </c>
      <c r="F21" s="152">
        <v>5348</v>
      </c>
      <c r="G21" s="152">
        <v>0</v>
      </c>
      <c r="H21" s="152">
        <v>1375</v>
      </c>
      <c r="I21" s="154">
        <v>109.12</v>
      </c>
      <c r="J21" s="155">
        <v>5500</v>
      </c>
      <c r="K21" s="147">
        <v>1.984E-2</v>
      </c>
      <c r="L21" s="148">
        <v>11</v>
      </c>
      <c r="M21" s="149">
        <v>38</v>
      </c>
      <c r="N21" s="150">
        <v>7.3481481481481477E-4</v>
      </c>
    </row>
    <row r="22" spans="1:14" ht="12.75" customHeight="1">
      <c r="A22" s="151" t="s">
        <v>360</v>
      </c>
      <c r="B22" s="152" t="s">
        <v>361</v>
      </c>
      <c r="C22" s="152" t="s">
        <v>362</v>
      </c>
      <c r="D22" s="152" t="s">
        <v>383</v>
      </c>
      <c r="E22" s="153">
        <v>39443</v>
      </c>
      <c r="F22" s="152">
        <v>6321</v>
      </c>
      <c r="G22" s="152">
        <v>0</v>
      </c>
      <c r="H22" s="152">
        <v>1625</v>
      </c>
      <c r="I22" s="154">
        <v>2410</v>
      </c>
      <c r="J22" s="155">
        <v>6500</v>
      </c>
      <c r="K22" s="147">
        <v>0.3707692307692308</v>
      </c>
      <c r="L22" s="148">
        <v>13</v>
      </c>
      <c r="M22" s="149">
        <v>38</v>
      </c>
      <c r="N22" s="150">
        <v>1.4830769230769232E-2</v>
      </c>
    </row>
    <row r="23" spans="1:14" ht="12.75" customHeight="1">
      <c r="A23" s="151" t="s">
        <v>360</v>
      </c>
      <c r="B23" s="152" t="s">
        <v>361</v>
      </c>
      <c r="C23" s="152" t="s">
        <v>362</v>
      </c>
      <c r="D23" s="152" t="s">
        <v>384</v>
      </c>
      <c r="E23" s="153">
        <v>39447</v>
      </c>
      <c r="F23" s="152">
        <v>6053</v>
      </c>
      <c r="G23" s="152">
        <v>0</v>
      </c>
      <c r="H23" s="152">
        <v>1556.25</v>
      </c>
      <c r="I23" s="154">
        <v>5100</v>
      </c>
      <c r="J23" s="155">
        <v>6225</v>
      </c>
      <c r="K23" s="147">
        <v>0.81927710843373491</v>
      </c>
      <c r="L23" s="148">
        <v>11</v>
      </c>
      <c r="M23" s="149">
        <v>38</v>
      </c>
      <c r="N23" s="150">
        <v>3.0343596608656848E-2</v>
      </c>
    </row>
    <row r="24" spans="1:14" ht="12.75" customHeight="1">
      <c r="A24" s="151" t="s">
        <v>360</v>
      </c>
      <c r="B24" s="152" t="s">
        <v>361</v>
      </c>
      <c r="C24" s="152" t="s">
        <v>362</v>
      </c>
      <c r="D24" s="152" t="s">
        <v>385</v>
      </c>
      <c r="E24" s="153">
        <v>39447</v>
      </c>
      <c r="F24" s="152">
        <v>5689</v>
      </c>
      <c r="G24" s="152">
        <v>0</v>
      </c>
      <c r="H24" s="152">
        <v>900</v>
      </c>
      <c r="I24" s="154">
        <v>3240</v>
      </c>
      <c r="J24" s="155">
        <v>3600</v>
      </c>
      <c r="K24" s="147">
        <v>0.9</v>
      </c>
      <c r="L24" s="148">
        <v>8</v>
      </c>
      <c r="M24" s="149">
        <v>38</v>
      </c>
      <c r="N24" s="150">
        <v>0.03</v>
      </c>
    </row>
    <row r="25" spans="1:14" ht="12.75" customHeight="1">
      <c r="A25" s="151" t="s">
        <v>360</v>
      </c>
      <c r="B25" s="152" t="s">
        <v>361</v>
      </c>
      <c r="C25" s="152" t="s">
        <v>362</v>
      </c>
      <c r="D25" s="152" t="s">
        <v>386</v>
      </c>
      <c r="E25" s="153">
        <v>39447</v>
      </c>
      <c r="F25" s="152">
        <v>3792</v>
      </c>
      <c r="G25" s="152">
        <v>0</v>
      </c>
      <c r="H25" s="152">
        <v>600</v>
      </c>
      <c r="I25" s="154">
        <v>12242.56</v>
      </c>
      <c r="J25" s="155">
        <v>2400</v>
      </c>
      <c r="K25" s="147">
        <v>5.1010666666666662</v>
      </c>
      <c r="L25" s="148">
        <v>8</v>
      </c>
      <c r="M25" s="149">
        <v>38</v>
      </c>
      <c r="N25" s="150">
        <v>0.17003555555555555</v>
      </c>
    </row>
    <row r="26" spans="1:14" ht="12.75" customHeight="1">
      <c r="A26" s="151" t="s">
        <v>360</v>
      </c>
      <c r="B26" s="152" t="s">
        <v>361</v>
      </c>
      <c r="C26" s="152" t="s">
        <v>362</v>
      </c>
      <c r="D26" s="152" t="s">
        <v>387</v>
      </c>
      <c r="E26" s="153">
        <v>39447</v>
      </c>
      <c r="F26" s="152">
        <v>3556</v>
      </c>
      <c r="G26" s="152">
        <v>0</v>
      </c>
      <c r="H26" s="152">
        <v>562.5</v>
      </c>
      <c r="I26" s="154">
        <v>11477.4</v>
      </c>
      <c r="J26" s="155">
        <v>2250</v>
      </c>
      <c r="K26" s="147">
        <v>5.1010666666666662</v>
      </c>
      <c r="L26" s="148">
        <v>8</v>
      </c>
      <c r="M26" s="149">
        <v>38</v>
      </c>
      <c r="N26" s="150">
        <v>0.17003555555555555</v>
      </c>
    </row>
    <row r="27" spans="1:14" ht="12.75" customHeight="1">
      <c r="A27" s="151" t="s">
        <v>360</v>
      </c>
      <c r="B27" s="152" t="s">
        <v>361</v>
      </c>
      <c r="C27" s="152" t="s">
        <v>362</v>
      </c>
      <c r="D27" s="152" t="s">
        <v>388</v>
      </c>
      <c r="E27" s="153">
        <v>39447</v>
      </c>
      <c r="F27" s="152">
        <v>4266</v>
      </c>
      <c r="G27" s="152">
        <v>0</v>
      </c>
      <c r="H27" s="152">
        <v>675</v>
      </c>
      <c r="I27" s="154">
        <v>13772.88</v>
      </c>
      <c r="J27" s="155">
        <v>2700</v>
      </c>
      <c r="K27" s="147">
        <v>5.1010666666666662</v>
      </c>
      <c r="L27" s="148">
        <v>8</v>
      </c>
      <c r="M27" s="149">
        <v>38</v>
      </c>
      <c r="N27" s="150">
        <v>0.17003555555555555</v>
      </c>
    </row>
    <row r="28" spans="1:14" ht="12.75" customHeight="1">
      <c r="A28" s="151" t="s">
        <v>360</v>
      </c>
      <c r="B28" s="152" t="s">
        <v>361</v>
      </c>
      <c r="C28" s="152" t="s">
        <v>362</v>
      </c>
      <c r="D28" s="152" t="s">
        <v>389</v>
      </c>
      <c r="E28" s="153">
        <v>39447</v>
      </c>
      <c r="F28" s="152">
        <v>3792</v>
      </c>
      <c r="G28" s="152">
        <v>0</v>
      </c>
      <c r="H28" s="152">
        <v>600</v>
      </c>
      <c r="I28" s="154">
        <v>12242.56</v>
      </c>
      <c r="J28" s="155">
        <v>2400</v>
      </c>
      <c r="K28" s="147">
        <v>5.1010666666666662</v>
      </c>
      <c r="L28" s="148">
        <v>8</v>
      </c>
      <c r="M28" s="149">
        <v>38</v>
      </c>
      <c r="N28" s="150">
        <v>0.17003555555555555</v>
      </c>
    </row>
    <row r="29" spans="1:14" ht="12.75" customHeight="1">
      <c r="A29" s="151" t="s">
        <v>360</v>
      </c>
      <c r="B29" s="152" t="s">
        <v>361</v>
      </c>
      <c r="C29" s="152" t="s">
        <v>362</v>
      </c>
      <c r="D29" s="152" t="s">
        <v>390</v>
      </c>
      <c r="E29" s="153">
        <v>39447</v>
      </c>
      <c r="F29" s="152">
        <v>4266</v>
      </c>
      <c r="G29" s="152">
        <v>0</v>
      </c>
      <c r="H29" s="152">
        <v>675</v>
      </c>
      <c r="I29" s="154">
        <v>13772.88</v>
      </c>
      <c r="J29" s="155">
        <v>2700</v>
      </c>
      <c r="K29" s="147">
        <v>5.1010666666666662</v>
      </c>
      <c r="L29" s="148">
        <v>8</v>
      </c>
      <c r="M29" s="149">
        <v>38</v>
      </c>
      <c r="N29" s="150">
        <v>0.17003555555555555</v>
      </c>
    </row>
    <row r="30" spans="1:14" ht="12.75" customHeight="1">
      <c r="A30" s="151" t="s">
        <v>360</v>
      </c>
      <c r="B30" s="152" t="s">
        <v>361</v>
      </c>
      <c r="C30" s="152" t="s">
        <v>362</v>
      </c>
      <c r="D30" s="152" t="s">
        <v>391</v>
      </c>
      <c r="E30" s="153">
        <v>39447</v>
      </c>
      <c r="F30" s="152">
        <v>4030</v>
      </c>
      <c r="G30" s="152">
        <v>0</v>
      </c>
      <c r="H30" s="152">
        <v>637.5</v>
      </c>
      <c r="I30" s="154">
        <v>13007.72</v>
      </c>
      <c r="J30" s="155">
        <v>2550</v>
      </c>
      <c r="K30" s="147">
        <v>5.1010666666666662</v>
      </c>
      <c r="L30" s="148">
        <v>8</v>
      </c>
      <c r="M30" s="149">
        <v>38</v>
      </c>
      <c r="N30" s="150">
        <v>0.17003555555555555</v>
      </c>
    </row>
    <row r="31" spans="1:14" ht="12.75" customHeight="1">
      <c r="A31" s="151" t="s">
        <v>360</v>
      </c>
      <c r="B31" s="152" t="s">
        <v>361</v>
      </c>
      <c r="C31" s="152" t="s">
        <v>362</v>
      </c>
      <c r="D31" s="152" t="s">
        <v>392</v>
      </c>
      <c r="E31" s="153">
        <v>39447</v>
      </c>
      <c r="F31" s="152">
        <v>6400</v>
      </c>
      <c r="G31" s="152">
        <v>0</v>
      </c>
      <c r="H31" s="152">
        <v>1012.5</v>
      </c>
      <c r="I31" s="154">
        <v>20659.32</v>
      </c>
      <c r="J31" s="155">
        <v>4050</v>
      </c>
      <c r="K31" s="147">
        <v>5.1010666666666662</v>
      </c>
      <c r="L31" s="148">
        <v>8</v>
      </c>
      <c r="M31" s="149">
        <v>38</v>
      </c>
      <c r="N31" s="150">
        <v>0.17003555555555555</v>
      </c>
    </row>
    <row r="32" spans="1:14" ht="12.75" customHeight="1">
      <c r="A32" s="151" t="s">
        <v>360</v>
      </c>
      <c r="B32" s="152" t="s">
        <v>361</v>
      </c>
      <c r="C32" s="152" t="s">
        <v>362</v>
      </c>
      <c r="D32" s="152" t="s">
        <v>393</v>
      </c>
      <c r="E32" s="153">
        <v>39447</v>
      </c>
      <c r="F32" s="152">
        <v>14680</v>
      </c>
      <c r="G32" s="152">
        <v>0</v>
      </c>
      <c r="H32" s="152">
        <v>2322.5</v>
      </c>
      <c r="I32" s="154">
        <v>5805.15</v>
      </c>
      <c r="J32" s="155">
        <v>9290</v>
      </c>
      <c r="K32" s="147">
        <v>0.62488159311087188</v>
      </c>
      <c r="L32" s="148">
        <v>8</v>
      </c>
      <c r="M32" s="149">
        <v>38</v>
      </c>
      <c r="N32" s="150">
        <v>2.0829386437029064E-2</v>
      </c>
    </row>
    <row r="33" spans="1:14" ht="12.75" customHeight="1">
      <c r="A33" s="151" t="s">
        <v>360</v>
      </c>
      <c r="B33" s="152" t="s">
        <v>361</v>
      </c>
      <c r="C33" s="152" t="s">
        <v>362</v>
      </c>
      <c r="D33" s="152" t="s">
        <v>394</v>
      </c>
      <c r="E33" s="153">
        <v>39447</v>
      </c>
      <c r="F33" s="152">
        <v>2705</v>
      </c>
      <c r="G33" s="152">
        <v>0</v>
      </c>
      <c r="H33" s="152">
        <v>775</v>
      </c>
      <c r="I33" s="154">
        <v>4500</v>
      </c>
      <c r="J33" s="155">
        <v>3100</v>
      </c>
      <c r="K33" s="147">
        <v>1.4516129032258065</v>
      </c>
      <c r="L33" s="148">
        <v>13</v>
      </c>
      <c r="M33" s="149">
        <v>38</v>
      </c>
      <c r="N33" s="150">
        <v>5.8064516129032261E-2</v>
      </c>
    </row>
    <row r="34" spans="1:14" ht="12.75" customHeight="1">
      <c r="A34" s="151" t="s">
        <v>360</v>
      </c>
      <c r="B34" s="152" t="s">
        <v>361</v>
      </c>
      <c r="C34" s="152" t="s">
        <v>362</v>
      </c>
      <c r="D34" s="152" t="s">
        <v>395</v>
      </c>
      <c r="E34" s="153">
        <v>39447</v>
      </c>
      <c r="F34" s="152">
        <v>16628</v>
      </c>
      <c r="G34" s="152">
        <v>0</v>
      </c>
      <c r="H34" s="152">
        <v>4275</v>
      </c>
      <c r="I34" s="154">
        <v>5775</v>
      </c>
      <c r="J34" s="155">
        <v>17100</v>
      </c>
      <c r="K34" s="147">
        <v>0.33771929824561403</v>
      </c>
      <c r="L34" s="148">
        <v>15</v>
      </c>
      <c r="M34" s="149">
        <v>38</v>
      </c>
      <c r="N34" s="150">
        <v>1.4683447749809305E-2</v>
      </c>
    </row>
    <row r="35" spans="1:14" ht="12.75" customHeight="1">
      <c r="A35" s="151" t="s">
        <v>360</v>
      </c>
      <c r="B35" s="152" t="s">
        <v>361</v>
      </c>
      <c r="C35" s="152" t="s">
        <v>362</v>
      </c>
      <c r="D35" s="152" t="s">
        <v>396</v>
      </c>
      <c r="E35" s="153">
        <v>39447</v>
      </c>
      <c r="F35" s="152">
        <v>12384</v>
      </c>
      <c r="G35" s="152">
        <v>0</v>
      </c>
      <c r="H35" s="152">
        <v>1959.25</v>
      </c>
      <c r="I35" s="154">
        <v>4500</v>
      </c>
      <c r="J35" s="155">
        <v>7837</v>
      </c>
      <c r="K35" s="147">
        <v>0.57419931096082688</v>
      </c>
      <c r="L35" s="148">
        <v>2</v>
      </c>
      <c r="M35" s="149">
        <v>38</v>
      </c>
      <c r="N35" s="150">
        <v>1.5949980860022969E-2</v>
      </c>
    </row>
    <row r="36" spans="1:14" ht="12.75" customHeight="1">
      <c r="A36" s="151" t="s">
        <v>360</v>
      </c>
      <c r="B36" s="152" t="s">
        <v>361</v>
      </c>
      <c r="C36" s="152" t="s">
        <v>362</v>
      </c>
      <c r="D36" s="152" t="s">
        <v>397</v>
      </c>
      <c r="E36" s="153">
        <v>39447</v>
      </c>
      <c r="F36" s="152">
        <v>18921</v>
      </c>
      <c r="G36" s="152">
        <v>0</v>
      </c>
      <c r="H36" s="152">
        <v>466.5</v>
      </c>
      <c r="I36" s="154">
        <v>2396.5</v>
      </c>
      <c r="J36" s="155">
        <v>1866</v>
      </c>
      <c r="K36" s="147">
        <v>1.2842979635584137</v>
      </c>
      <c r="L36" s="148">
        <v>2</v>
      </c>
      <c r="M36" s="149">
        <v>38</v>
      </c>
      <c r="N36" s="150">
        <v>3.5674943432178162E-2</v>
      </c>
    </row>
    <row r="37" spans="1:14" ht="12.75" customHeight="1">
      <c r="A37" s="151" t="s">
        <v>360</v>
      </c>
      <c r="B37" s="152" t="s">
        <v>361</v>
      </c>
      <c r="C37" s="152" t="s">
        <v>362</v>
      </c>
      <c r="D37" s="152" t="s">
        <v>398</v>
      </c>
      <c r="E37" s="153">
        <v>39447</v>
      </c>
      <c r="F37" s="152">
        <v>18117</v>
      </c>
      <c r="G37" s="152">
        <v>0</v>
      </c>
      <c r="H37" s="152">
        <v>2866.25</v>
      </c>
      <c r="I37" s="154">
        <v>5445</v>
      </c>
      <c r="J37" s="155">
        <v>11465</v>
      </c>
      <c r="K37" s="147">
        <v>0.47492368076755342</v>
      </c>
      <c r="L37" s="148">
        <v>8</v>
      </c>
      <c r="M37" s="149">
        <v>38</v>
      </c>
      <c r="N37" s="150">
        <v>1.5830789358918448E-2</v>
      </c>
    </row>
    <row r="38" spans="1:14" ht="12.75" customHeight="1">
      <c r="A38" s="151" t="s">
        <v>360</v>
      </c>
      <c r="B38" s="152" t="s">
        <v>361</v>
      </c>
      <c r="C38" s="152" t="s">
        <v>362</v>
      </c>
      <c r="D38" s="152" t="s">
        <v>399</v>
      </c>
      <c r="E38" s="153">
        <v>39447</v>
      </c>
      <c r="F38" s="152">
        <v>18568</v>
      </c>
      <c r="G38" s="152">
        <v>0</v>
      </c>
      <c r="H38" s="152">
        <v>4773.75</v>
      </c>
      <c r="I38" s="154">
        <v>8265</v>
      </c>
      <c r="J38" s="155">
        <v>19095</v>
      </c>
      <c r="K38" s="147">
        <v>0.43283582089552236</v>
      </c>
      <c r="L38" s="148">
        <v>15</v>
      </c>
      <c r="M38" s="149">
        <v>38</v>
      </c>
      <c r="N38" s="150">
        <v>1.8818948734587927E-2</v>
      </c>
    </row>
    <row r="39" spans="1:14" ht="12.75" customHeight="1">
      <c r="A39" s="151" t="s">
        <v>360</v>
      </c>
      <c r="B39" s="152" t="s">
        <v>361</v>
      </c>
      <c r="C39" s="152" t="s">
        <v>362</v>
      </c>
      <c r="D39" s="152" t="s">
        <v>400</v>
      </c>
      <c r="E39" s="153">
        <v>39499</v>
      </c>
      <c r="F39" s="152">
        <v>7706</v>
      </c>
      <c r="G39" s="152">
        <v>0</v>
      </c>
      <c r="H39" s="152">
        <v>1219</v>
      </c>
      <c r="I39" s="154">
        <v>3231.58</v>
      </c>
      <c r="J39" s="155">
        <v>4876</v>
      </c>
      <c r="K39" s="147">
        <v>0.66275225594749798</v>
      </c>
      <c r="L39" s="148">
        <v>8</v>
      </c>
      <c r="M39" s="149">
        <v>38</v>
      </c>
      <c r="N39" s="150">
        <v>2.2091741864916598E-2</v>
      </c>
    </row>
    <row r="40" spans="1:14" ht="12.75" customHeight="1">
      <c r="A40" s="151" t="s">
        <v>360</v>
      </c>
      <c r="B40" s="152" t="s">
        <v>361</v>
      </c>
      <c r="C40" s="152" t="s">
        <v>362</v>
      </c>
      <c r="D40" s="152" t="s">
        <v>401</v>
      </c>
      <c r="E40" s="153">
        <v>39534</v>
      </c>
      <c r="F40" s="152">
        <v>8197</v>
      </c>
      <c r="G40" s="152">
        <v>0</v>
      </c>
      <c r="H40" s="152">
        <v>2107.5</v>
      </c>
      <c r="I40" s="154">
        <v>6600</v>
      </c>
      <c r="J40" s="155">
        <v>8430</v>
      </c>
      <c r="K40" s="147">
        <v>0.7829181494661922</v>
      </c>
      <c r="L40" s="148">
        <v>14</v>
      </c>
      <c r="M40" s="149">
        <v>38</v>
      </c>
      <c r="N40" s="150">
        <v>3.262158956109134E-2</v>
      </c>
    </row>
    <row r="41" spans="1:14" ht="12.75" customHeight="1">
      <c r="A41" s="151" t="s">
        <v>360</v>
      </c>
      <c r="B41" s="152" t="s">
        <v>361</v>
      </c>
      <c r="C41" s="152" t="s">
        <v>362</v>
      </c>
      <c r="D41" s="152" t="s">
        <v>402</v>
      </c>
      <c r="E41" s="153">
        <v>39555</v>
      </c>
      <c r="F41" s="152">
        <v>3744</v>
      </c>
      <c r="G41" s="152">
        <v>0</v>
      </c>
      <c r="H41" s="152">
        <v>962.5</v>
      </c>
      <c r="I41" s="154">
        <v>2970</v>
      </c>
      <c r="J41" s="155">
        <v>3850</v>
      </c>
      <c r="K41" s="147">
        <v>0.77142857142857146</v>
      </c>
      <c r="L41" s="148">
        <v>11</v>
      </c>
      <c r="M41" s="149">
        <v>38</v>
      </c>
      <c r="N41" s="150">
        <v>2.8571428571428574E-2</v>
      </c>
    </row>
    <row r="42" spans="1:14" ht="12.75" customHeight="1">
      <c r="A42" s="151" t="s">
        <v>360</v>
      </c>
      <c r="B42" s="152" t="s">
        <v>361</v>
      </c>
      <c r="C42" s="152" t="s">
        <v>362</v>
      </c>
      <c r="D42" s="152" t="s">
        <v>403</v>
      </c>
      <c r="E42" s="153">
        <v>39534</v>
      </c>
      <c r="F42" s="152">
        <v>18472</v>
      </c>
      <c r="G42" s="152">
        <v>0</v>
      </c>
      <c r="H42" s="152">
        <v>2922.5</v>
      </c>
      <c r="I42" s="154">
        <v>6995</v>
      </c>
      <c r="J42" s="155">
        <v>11690</v>
      </c>
      <c r="K42" s="147">
        <v>0.59837467921300258</v>
      </c>
      <c r="L42" s="148">
        <v>8</v>
      </c>
      <c r="M42" s="149">
        <v>38</v>
      </c>
      <c r="N42" s="150">
        <v>1.994582264043342E-2</v>
      </c>
    </row>
    <row r="43" spans="1:14" ht="12.75" customHeight="1">
      <c r="A43" s="151" t="s">
        <v>360</v>
      </c>
      <c r="B43" s="152" t="s">
        <v>361</v>
      </c>
      <c r="C43" s="152" t="s">
        <v>362</v>
      </c>
      <c r="D43" s="152" t="s">
        <v>404</v>
      </c>
      <c r="E43" s="153">
        <v>39568</v>
      </c>
      <c r="F43" s="152">
        <v>5574</v>
      </c>
      <c r="G43" s="152">
        <v>0</v>
      </c>
      <c r="H43" s="152">
        <v>882</v>
      </c>
      <c r="I43" s="154">
        <v>1774.58</v>
      </c>
      <c r="J43" s="155">
        <v>3528</v>
      </c>
      <c r="K43" s="147">
        <v>0.50299886621315193</v>
      </c>
      <c r="L43" s="148">
        <v>0</v>
      </c>
      <c r="M43" s="149">
        <v>38</v>
      </c>
      <c r="N43" s="150">
        <v>1.3236812268767157E-2</v>
      </c>
    </row>
    <row r="44" spans="1:14" ht="12.75" customHeight="1">
      <c r="A44" s="151" t="s">
        <v>360</v>
      </c>
      <c r="B44" s="152" t="s">
        <v>361</v>
      </c>
      <c r="C44" s="152" t="s">
        <v>362</v>
      </c>
      <c r="D44" s="152" t="s">
        <v>405</v>
      </c>
      <c r="E44" s="153">
        <v>39611</v>
      </c>
      <c r="F44" s="152">
        <v>7367</v>
      </c>
      <c r="G44" s="152">
        <v>0</v>
      </c>
      <c r="H44" s="152">
        <v>1165.5</v>
      </c>
      <c r="I44" s="154">
        <v>2095</v>
      </c>
      <c r="J44" s="155">
        <v>4662</v>
      </c>
      <c r="K44" s="147">
        <v>0.44937794937794939</v>
      </c>
      <c r="L44" s="148">
        <v>10</v>
      </c>
      <c r="M44" s="149">
        <v>38</v>
      </c>
      <c r="N44" s="150">
        <v>1.6049212477783906E-2</v>
      </c>
    </row>
    <row r="45" spans="1:14" ht="12.75" customHeight="1">
      <c r="A45" s="151" t="s">
        <v>360</v>
      </c>
      <c r="B45" s="152" t="s">
        <v>361</v>
      </c>
      <c r="C45" s="152" t="s">
        <v>362</v>
      </c>
      <c r="D45" s="152" t="s">
        <v>406</v>
      </c>
      <c r="E45" s="153">
        <v>39625</v>
      </c>
      <c r="F45" s="152">
        <v>35411</v>
      </c>
      <c r="G45" s="152">
        <v>0</v>
      </c>
      <c r="H45" s="152">
        <v>5602.5</v>
      </c>
      <c r="I45" s="154">
        <v>11645</v>
      </c>
      <c r="J45" s="155">
        <v>22410</v>
      </c>
      <c r="K45" s="147">
        <v>0.5196340919232485</v>
      </c>
      <c r="L45" s="148">
        <v>8</v>
      </c>
      <c r="M45" s="149">
        <v>38</v>
      </c>
      <c r="N45" s="150">
        <v>1.7321136397441615E-2</v>
      </c>
    </row>
    <row r="46" spans="1:14" ht="12.75" customHeight="1">
      <c r="A46" s="151" t="s">
        <v>360</v>
      </c>
      <c r="B46" s="152" t="s">
        <v>361</v>
      </c>
      <c r="C46" s="152" t="s">
        <v>362</v>
      </c>
      <c r="D46" s="152" t="s">
        <v>407</v>
      </c>
      <c r="E46" s="153">
        <v>39646</v>
      </c>
      <c r="F46" s="152">
        <v>1373</v>
      </c>
      <c r="G46" s="152">
        <v>0</v>
      </c>
      <c r="H46" s="152">
        <v>800</v>
      </c>
      <c r="I46" s="154">
        <v>1637</v>
      </c>
      <c r="J46" s="155">
        <v>3200</v>
      </c>
      <c r="K46" s="147">
        <v>0.51156250000000003</v>
      </c>
      <c r="L46" s="148">
        <v>22</v>
      </c>
      <c r="M46" s="149">
        <v>38</v>
      </c>
      <c r="N46" s="150">
        <v>3.1972656250000002E-2</v>
      </c>
    </row>
    <row r="47" spans="1:14" ht="12.75" customHeight="1">
      <c r="A47" s="151" t="s">
        <v>360</v>
      </c>
      <c r="B47" s="152" t="s">
        <v>408</v>
      </c>
      <c r="C47" s="152" t="s">
        <v>409</v>
      </c>
      <c r="D47" s="152" t="s">
        <v>410</v>
      </c>
      <c r="E47" s="153">
        <v>39247</v>
      </c>
      <c r="F47" s="152">
        <v>0</v>
      </c>
      <c r="G47" s="152">
        <v>258.7</v>
      </c>
      <c r="H47" s="152">
        <v>855</v>
      </c>
      <c r="I47" s="154">
        <v>2214</v>
      </c>
      <c r="J47" s="155">
        <v>3420</v>
      </c>
      <c r="K47" s="147">
        <v>0.64736842105263159</v>
      </c>
      <c r="L47" s="148">
        <v>7</v>
      </c>
      <c r="M47" s="149">
        <v>38</v>
      </c>
      <c r="N47" s="150">
        <v>2.0882852292020374E-2</v>
      </c>
    </row>
    <row r="48" spans="1:14" ht="12.75" customHeight="1">
      <c r="A48" s="151" t="s">
        <v>360</v>
      </c>
      <c r="B48" s="152" t="s">
        <v>408</v>
      </c>
      <c r="C48" s="152" t="s">
        <v>409</v>
      </c>
      <c r="D48" s="152" t="s">
        <v>411</v>
      </c>
      <c r="E48" s="153">
        <v>39380</v>
      </c>
      <c r="F48" s="152">
        <v>0</v>
      </c>
      <c r="G48" s="152">
        <v>52.65</v>
      </c>
      <c r="H48" s="152">
        <v>655.5</v>
      </c>
      <c r="I48" s="154">
        <v>2097</v>
      </c>
      <c r="J48" s="155">
        <v>2622</v>
      </c>
      <c r="K48" s="147">
        <v>0.79977116704805495</v>
      </c>
      <c r="L48" s="148">
        <v>11</v>
      </c>
      <c r="M48" s="149">
        <v>38</v>
      </c>
      <c r="N48" s="150">
        <v>2.9621154335113146E-2</v>
      </c>
    </row>
    <row r="49" spans="1:14" ht="12.75" customHeight="1">
      <c r="A49" s="151" t="s">
        <v>360</v>
      </c>
      <c r="B49" s="152" t="s">
        <v>408</v>
      </c>
      <c r="C49" s="152" t="s">
        <v>409</v>
      </c>
      <c r="D49" s="152" t="s">
        <v>412</v>
      </c>
      <c r="E49" s="153">
        <v>39395</v>
      </c>
      <c r="F49" s="152">
        <v>0</v>
      </c>
      <c r="G49" s="152">
        <v>160.55000000000001</v>
      </c>
      <c r="H49" s="152">
        <v>600</v>
      </c>
      <c r="I49" s="154">
        <v>1700</v>
      </c>
      <c r="J49" s="155">
        <v>2400</v>
      </c>
      <c r="K49" s="147">
        <v>0.70833333333333337</v>
      </c>
      <c r="L49" s="148">
        <v>8</v>
      </c>
      <c r="M49" s="149">
        <v>38</v>
      </c>
      <c r="N49" s="150">
        <v>2.3611111111111114E-2</v>
      </c>
    </row>
    <row r="50" spans="1:14" ht="12.75" customHeight="1">
      <c r="A50" s="151" t="s">
        <v>360</v>
      </c>
      <c r="B50" s="152" t="s">
        <v>408</v>
      </c>
      <c r="C50" s="152" t="s">
        <v>409</v>
      </c>
      <c r="D50" s="152" t="s">
        <v>413</v>
      </c>
      <c r="E50" s="153">
        <v>39447</v>
      </c>
      <c r="F50" s="152">
        <v>0</v>
      </c>
      <c r="G50" s="152">
        <v>38.35</v>
      </c>
      <c r="H50" s="152">
        <v>408.75</v>
      </c>
      <c r="I50" s="154">
        <v>688</v>
      </c>
      <c r="J50" s="155">
        <v>1635</v>
      </c>
      <c r="K50" s="147">
        <v>0.42079510703363915</v>
      </c>
      <c r="L50" s="148">
        <v>15</v>
      </c>
      <c r="M50" s="149">
        <v>38</v>
      </c>
      <c r="N50" s="150">
        <v>1.8295439436245179E-2</v>
      </c>
    </row>
    <row r="51" spans="1:14" ht="12.75" customHeight="1">
      <c r="A51" s="151" t="s">
        <v>360</v>
      </c>
      <c r="B51" s="152" t="s">
        <v>408</v>
      </c>
      <c r="C51" s="152" t="s">
        <v>409</v>
      </c>
      <c r="D51" s="152" t="s">
        <v>414</v>
      </c>
      <c r="E51" s="153">
        <v>39513</v>
      </c>
      <c r="F51" s="152">
        <v>0</v>
      </c>
      <c r="G51" s="152">
        <v>1722.5</v>
      </c>
      <c r="H51" s="152">
        <v>1308.75</v>
      </c>
      <c r="I51" s="154">
        <v>2980</v>
      </c>
      <c r="J51" s="155">
        <v>5235</v>
      </c>
      <c r="K51" s="147">
        <v>0.5692454632282713</v>
      </c>
      <c r="L51" s="148">
        <v>2</v>
      </c>
      <c r="M51" s="149">
        <v>38</v>
      </c>
      <c r="N51" s="150">
        <v>1.5812373978563093E-2</v>
      </c>
    </row>
    <row r="52" spans="1:14" ht="12.75" customHeight="1">
      <c r="A52" s="151" t="s">
        <v>360</v>
      </c>
      <c r="B52" s="152" t="s">
        <v>408</v>
      </c>
      <c r="C52" s="152" t="s">
        <v>409</v>
      </c>
      <c r="D52" s="152" t="s">
        <v>415</v>
      </c>
      <c r="E52" s="153">
        <v>39562</v>
      </c>
      <c r="F52" s="152">
        <v>0</v>
      </c>
      <c r="G52" s="152">
        <v>60.45</v>
      </c>
      <c r="H52" s="152">
        <v>724</v>
      </c>
      <c r="I52" s="154">
        <v>2295.4</v>
      </c>
      <c r="J52" s="155">
        <v>2896</v>
      </c>
      <c r="K52" s="147">
        <v>0.79261049723756904</v>
      </c>
      <c r="L52" s="148">
        <v>11</v>
      </c>
      <c r="M52" s="149">
        <v>38</v>
      </c>
      <c r="N52" s="150">
        <v>2.9355944342132186E-2</v>
      </c>
    </row>
    <row r="53" spans="1:14" ht="12.75" customHeight="1">
      <c r="A53" s="151" t="s">
        <v>360</v>
      </c>
      <c r="B53" s="152" t="s">
        <v>408</v>
      </c>
      <c r="C53" s="152" t="s">
        <v>409</v>
      </c>
      <c r="D53" s="152" t="s">
        <v>416</v>
      </c>
      <c r="E53" s="153">
        <v>39568</v>
      </c>
      <c r="F53" s="152">
        <v>0</v>
      </c>
      <c r="G53" s="152">
        <v>15308.15</v>
      </c>
      <c r="H53" s="152">
        <v>17419.5</v>
      </c>
      <c r="I53" s="154">
        <v>35073.300000000003</v>
      </c>
      <c r="J53" s="155">
        <v>69678</v>
      </c>
      <c r="K53" s="147">
        <v>0.50336261086713174</v>
      </c>
      <c r="L53" s="148">
        <v>0</v>
      </c>
      <c r="M53" s="149">
        <v>38</v>
      </c>
      <c r="N53" s="150">
        <v>1.3246384496503467E-2</v>
      </c>
    </row>
    <row r="54" spans="1:14" ht="12.75" customHeight="1">
      <c r="A54" s="151" t="s">
        <v>360</v>
      </c>
      <c r="B54" s="152" t="s">
        <v>408</v>
      </c>
      <c r="C54" s="152" t="s">
        <v>409</v>
      </c>
      <c r="D54" s="152" t="s">
        <v>417</v>
      </c>
      <c r="E54" s="153">
        <v>39568</v>
      </c>
      <c r="F54" s="152">
        <v>0</v>
      </c>
      <c r="G54" s="152">
        <v>815.75</v>
      </c>
      <c r="H54" s="152">
        <v>928</v>
      </c>
      <c r="I54" s="154">
        <v>1867.12</v>
      </c>
      <c r="J54" s="155">
        <v>3712</v>
      </c>
      <c r="K54" s="147">
        <v>0.50299568965517238</v>
      </c>
      <c r="L54" s="148">
        <v>0</v>
      </c>
      <c r="M54" s="149">
        <v>38</v>
      </c>
      <c r="N54" s="150">
        <v>1.3236728675136115E-2</v>
      </c>
    </row>
    <row r="55" spans="1:14" ht="12.75" customHeight="1">
      <c r="A55" s="151" t="s">
        <v>360</v>
      </c>
      <c r="B55" s="152" t="s">
        <v>408</v>
      </c>
      <c r="C55" s="152" t="s">
        <v>409</v>
      </c>
      <c r="D55" s="152" t="s">
        <v>418</v>
      </c>
      <c r="E55" s="153">
        <v>39568</v>
      </c>
      <c r="F55" s="152">
        <v>0</v>
      </c>
      <c r="G55" s="152">
        <v>126.75</v>
      </c>
      <c r="H55" s="152">
        <v>1031</v>
      </c>
      <c r="I55" s="154">
        <v>3641</v>
      </c>
      <c r="J55" s="155">
        <v>4124</v>
      </c>
      <c r="K55" s="147">
        <v>0.88288069835111538</v>
      </c>
      <c r="L55" s="148">
        <v>8</v>
      </c>
      <c r="M55" s="149">
        <v>38</v>
      </c>
      <c r="N55" s="150">
        <v>2.9429356611703848E-2</v>
      </c>
    </row>
    <row r="56" spans="1:14" ht="12.75" customHeight="1">
      <c r="A56" s="151" t="s">
        <v>360</v>
      </c>
      <c r="B56" s="152" t="s">
        <v>408</v>
      </c>
      <c r="C56" s="152" t="s">
        <v>409</v>
      </c>
      <c r="D56" s="152" t="s">
        <v>419</v>
      </c>
      <c r="E56" s="153">
        <v>39625</v>
      </c>
      <c r="F56" s="152">
        <v>0</v>
      </c>
      <c r="G56" s="152">
        <v>43.55</v>
      </c>
      <c r="H56" s="152">
        <v>438.75</v>
      </c>
      <c r="I56" s="154">
        <v>1318</v>
      </c>
      <c r="J56" s="155">
        <v>1755</v>
      </c>
      <c r="K56" s="147">
        <v>0.75099715099715103</v>
      </c>
      <c r="L56" s="148">
        <v>12</v>
      </c>
      <c r="M56" s="149">
        <v>38</v>
      </c>
      <c r="N56" s="150">
        <v>2.8884505807582731E-2</v>
      </c>
    </row>
    <row r="57" spans="1:14" ht="12.75" customHeight="1" thickBot="1">
      <c r="A57" s="156" t="s">
        <v>360</v>
      </c>
      <c r="B57" s="157" t="s">
        <v>408</v>
      </c>
      <c r="C57" s="157" t="s">
        <v>409</v>
      </c>
      <c r="D57" s="157" t="s">
        <v>420</v>
      </c>
      <c r="E57" s="158">
        <v>39646</v>
      </c>
      <c r="F57" s="157">
        <v>0</v>
      </c>
      <c r="G57" s="157">
        <v>68.25</v>
      </c>
      <c r="H57" s="157">
        <v>683.5</v>
      </c>
      <c r="I57" s="159">
        <v>2420</v>
      </c>
      <c r="J57" s="160">
        <v>2734</v>
      </c>
      <c r="K57" s="161">
        <v>0.88514996342355523</v>
      </c>
      <c r="L57" s="162">
        <v>11</v>
      </c>
      <c r="M57" s="163">
        <v>38</v>
      </c>
      <c r="N57" s="150">
        <v>3.2783331978650194E-2</v>
      </c>
    </row>
    <row r="58" spans="1:14" ht="12.75" customHeight="1">
      <c r="A58" s="142" t="s">
        <v>360</v>
      </c>
      <c r="B58" s="143" t="s">
        <v>421</v>
      </c>
      <c r="C58" s="143" t="s">
        <v>422</v>
      </c>
      <c r="D58" s="143" t="s">
        <v>423</v>
      </c>
      <c r="E58" s="144">
        <v>39247</v>
      </c>
      <c r="F58" s="143">
        <v>22400</v>
      </c>
      <c r="G58" s="143">
        <v>0</v>
      </c>
      <c r="H58" s="143">
        <v>4607.1000000000004</v>
      </c>
      <c r="I58" s="145">
        <v>17395.2</v>
      </c>
      <c r="J58" s="146">
        <v>10238</v>
      </c>
      <c r="K58" s="147">
        <v>1.6990818519242039</v>
      </c>
      <c r="L58" s="148">
        <v>0</v>
      </c>
      <c r="M58" s="149">
        <v>25</v>
      </c>
      <c r="N58" s="150">
        <v>6.7963274076968158E-2</v>
      </c>
    </row>
    <row r="59" spans="1:14" ht="12.75" customHeight="1">
      <c r="A59" s="151" t="s">
        <v>360</v>
      </c>
      <c r="B59" s="152" t="s">
        <v>421</v>
      </c>
      <c r="C59" s="152" t="s">
        <v>422</v>
      </c>
      <c r="D59" s="152" t="s">
        <v>424</v>
      </c>
      <c r="E59" s="153">
        <v>39282</v>
      </c>
      <c r="F59" s="152">
        <v>22034</v>
      </c>
      <c r="G59" s="152">
        <v>0</v>
      </c>
      <c r="H59" s="152">
        <v>4531.95</v>
      </c>
      <c r="I59" s="154">
        <v>12812</v>
      </c>
      <c r="J59" s="155">
        <v>10071</v>
      </c>
      <c r="K59" s="147">
        <v>1.2721676099692185</v>
      </c>
      <c r="L59" s="148">
        <v>0</v>
      </c>
      <c r="M59" s="149">
        <v>25</v>
      </c>
      <c r="N59" s="150">
        <v>5.0886704398768738E-2</v>
      </c>
    </row>
    <row r="60" spans="1:14" ht="12.75" customHeight="1">
      <c r="A60" s="151" t="s">
        <v>360</v>
      </c>
      <c r="B60" s="152" t="s">
        <v>421</v>
      </c>
      <c r="C60" s="152" t="s">
        <v>422</v>
      </c>
      <c r="D60" s="152" t="s">
        <v>425</v>
      </c>
      <c r="E60" s="153">
        <v>39282</v>
      </c>
      <c r="F60" s="152">
        <v>8325</v>
      </c>
      <c r="G60" s="152">
        <v>0</v>
      </c>
      <c r="H60" s="152">
        <v>1712.25</v>
      </c>
      <c r="I60" s="154">
        <v>6181</v>
      </c>
      <c r="J60" s="155">
        <v>3805</v>
      </c>
      <c r="K60" s="147">
        <v>1.6244415243101182</v>
      </c>
      <c r="L60" s="148">
        <v>0</v>
      </c>
      <c r="M60" s="149">
        <v>25</v>
      </c>
      <c r="N60" s="150">
        <v>6.4977660972404733E-2</v>
      </c>
    </row>
    <row r="61" spans="1:14" ht="12.75" customHeight="1">
      <c r="A61" s="151" t="s">
        <v>360</v>
      </c>
      <c r="B61" s="152" t="s">
        <v>421</v>
      </c>
      <c r="C61" s="152" t="s">
        <v>422</v>
      </c>
      <c r="D61" s="152" t="s">
        <v>426</v>
      </c>
      <c r="E61" s="153">
        <v>39317</v>
      </c>
      <c r="F61" s="152">
        <v>9395</v>
      </c>
      <c r="G61" s="152">
        <v>0</v>
      </c>
      <c r="H61" s="152">
        <v>1890</v>
      </c>
      <c r="I61" s="154">
        <v>5544</v>
      </c>
      <c r="J61" s="155">
        <v>4200</v>
      </c>
      <c r="K61" s="147">
        <v>1.32</v>
      </c>
      <c r="L61" s="148">
        <v>0</v>
      </c>
      <c r="M61" s="149">
        <v>25</v>
      </c>
      <c r="N61" s="150">
        <v>5.28E-2</v>
      </c>
    </row>
    <row r="62" spans="1:14" ht="12.75" customHeight="1">
      <c r="A62" s="151" t="s">
        <v>360</v>
      </c>
      <c r="B62" s="152" t="s">
        <v>421</v>
      </c>
      <c r="C62" s="152" t="s">
        <v>422</v>
      </c>
      <c r="D62" s="152" t="s">
        <v>427</v>
      </c>
      <c r="E62" s="153">
        <v>39345</v>
      </c>
      <c r="F62" s="152">
        <v>13729</v>
      </c>
      <c r="G62" s="152">
        <v>0</v>
      </c>
      <c r="H62" s="152">
        <v>2823.75</v>
      </c>
      <c r="I62" s="154">
        <v>9620</v>
      </c>
      <c r="J62" s="155">
        <v>6275</v>
      </c>
      <c r="K62" s="147">
        <v>1.5330677290836654</v>
      </c>
      <c r="L62" s="148">
        <v>0</v>
      </c>
      <c r="M62" s="149">
        <v>25</v>
      </c>
      <c r="N62" s="150">
        <v>6.1322709163346617E-2</v>
      </c>
    </row>
    <row r="63" spans="1:14" ht="12.75" customHeight="1">
      <c r="A63" s="151" t="s">
        <v>360</v>
      </c>
      <c r="B63" s="152" t="s">
        <v>421</v>
      </c>
      <c r="C63" s="152" t="s">
        <v>422</v>
      </c>
      <c r="D63" s="152" t="s">
        <v>428</v>
      </c>
      <c r="E63" s="153">
        <v>39407</v>
      </c>
      <c r="F63" s="152">
        <v>18087</v>
      </c>
      <c r="G63" s="152">
        <v>0</v>
      </c>
      <c r="H63" s="152">
        <v>3600</v>
      </c>
      <c r="I63" s="154">
        <v>2570</v>
      </c>
      <c r="J63" s="155">
        <v>8000</v>
      </c>
      <c r="K63" s="147">
        <v>0.32124999999999998</v>
      </c>
      <c r="L63" s="148">
        <v>0</v>
      </c>
      <c r="M63" s="149">
        <v>25</v>
      </c>
      <c r="N63" s="150">
        <v>1.2849999999999999E-2</v>
      </c>
    </row>
    <row r="64" spans="1:14" ht="12.75" customHeight="1">
      <c r="A64" s="151" t="s">
        <v>360</v>
      </c>
      <c r="B64" s="152" t="s">
        <v>421</v>
      </c>
      <c r="C64" s="152" t="s">
        <v>422</v>
      </c>
      <c r="D64" s="152" t="s">
        <v>429</v>
      </c>
      <c r="E64" s="153">
        <v>39359</v>
      </c>
      <c r="F64" s="152">
        <v>9026</v>
      </c>
      <c r="G64" s="152">
        <v>0</v>
      </c>
      <c r="H64" s="152">
        <v>1856.25</v>
      </c>
      <c r="I64" s="154">
        <v>1110</v>
      </c>
      <c r="J64" s="155">
        <v>4125</v>
      </c>
      <c r="K64" s="147">
        <v>0.2690909090909091</v>
      </c>
      <c r="L64" s="148">
        <v>0</v>
      </c>
      <c r="M64" s="149">
        <v>19</v>
      </c>
      <c r="N64" s="150">
        <v>1.4162679425837321E-2</v>
      </c>
    </row>
    <row r="65" spans="1:14" ht="12.75" customHeight="1">
      <c r="A65" s="151" t="s">
        <v>360</v>
      </c>
      <c r="B65" s="152" t="s">
        <v>421</v>
      </c>
      <c r="C65" s="152" t="s">
        <v>422</v>
      </c>
      <c r="D65" s="152" t="s">
        <v>430</v>
      </c>
      <c r="E65" s="153">
        <v>39353</v>
      </c>
      <c r="F65" s="152">
        <v>7633</v>
      </c>
      <c r="G65" s="152">
        <v>0</v>
      </c>
      <c r="H65" s="152">
        <v>1570.05</v>
      </c>
      <c r="I65" s="154">
        <v>4800</v>
      </c>
      <c r="J65" s="155">
        <v>3489</v>
      </c>
      <c r="K65" s="147">
        <v>1.3757523645743766</v>
      </c>
      <c r="L65" s="148">
        <v>0</v>
      </c>
      <c r="M65" s="149">
        <v>25</v>
      </c>
      <c r="N65" s="150">
        <v>5.5030094582975059E-2</v>
      </c>
    </row>
    <row r="66" spans="1:14" ht="12.75" customHeight="1">
      <c r="A66" s="151" t="s">
        <v>360</v>
      </c>
      <c r="B66" s="152" t="s">
        <v>421</v>
      </c>
      <c r="C66" s="152" t="s">
        <v>422</v>
      </c>
      <c r="D66" s="152" t="s">
        <v>431</v>
      </c>
      <c r="E66" s="153">
        <v>39353</v>
      </c>
      <c r="F66" s="152">
        <v>16187</v>
      </c>
      <c r="G66" s="152">
        <v>0</v>
      </c>
      <c r="H66" s="152">
        <v>3329.1</v>
      </c>
      <c r="I66" s="154">
        <v>12925</v>
      </c>
      <c r="J66" s="155">
        <v>7398</v>
      </c>
      <c r="K66" s="147">
        <v>1.7470938091376047</v>
      </c>
      <c r="L66" s="148">
        <v>0</v>
      </c>
      <c r="M66" s="149">
        <v>25</v>
      </c>
      <c r="N66" s="150">
        <v>6.988375236550419E-2</v>
      </c>
    </row>
    <row r="67" spans="1:14" ht="12.75" customHeight="1">
      <c r="A67" s="151" t="s">
        <v>360</v>
      </c>
      <c r="B67" s="152" t="s">
        <v>421</v>
      </c>
      <c r="C67" s="152" t="s">
        <v>422</v>
      </c>
      <c r="D67" s="152" t="s">
        <v>432</v>
      </c>
      <c r="E67" s="153">
        <v>39359</v>
      </c>
      <c r="F67" s="152">
        <v>44108</v>
      </c>
      <c r="G67" s="152">
        <v>0</v>
      </c>
      <c r="H67" s="152">
        <v>9072</v>
      </c>
      <c r="I67" s="154">
        <v>13500</v>
      </c>
      <c r="J67" s="155">
        <v>20160</v>
      </c>
      <c r="K67" s="147">
        <v>0.6696428571428571</v>
      </c>
      <c r="L67" s="148">
        <v>0</v>
      </c>
      <c r="M67" s="149">
        <v>19</v>
      </c>
      <c r="N67" s="150">
        <v>3.5244360902255634E-2</v>
      </c>
    </row>
    <row r="68" spans="1:14" ht="12.75" customHeight="1">
      <c r="A68" s="151" t="s">
        <v>360</v>
      </c>
      <c r="B68" s="152" t="s">
        <v>421</v>
      </c>
      <c r="C68" s="152" t="s">
        <v>422</v>
      </c>
      <c r="D68" s="152" t="s">
        <v>433</v>
      </c>
      <c r="E68" s="153">
        <v>39366</v>
      </c>
      <c r="F68" s="152">
        <v>13009</v>
      </c>
      <c r="G68" s="152">
        <v>0</v>
      </c>
      <c r="H68" s="152">
        <v>2675.7</v>
      </c>
      <c r="I68" s="154">
        <v>8078</v>
      </c>
      <c r="J68" s="155">
        <v>5946</v>
      </c>
      <c r="K68" s="147">
        <v>1.3585603767238479</v>
      </c>
      <c r="L68" s="148">
        <v>0</v>
      </c>
      <c r="M68" s="149">
        <v>25</v>
      </c>
      <c r="N68" s="150">
        <v>5.4342415068953917E-2</v>
      </c>
    </row>
    <row r="69" spans="1:14" ht="12.75" customHeight="1">
      <c r="A69" s="151" t="s">
        <v>360</v>
      </c>
      <c r="B69" s="152" t="s">
        <v>421</v>
      </c>
      <c r="C69" s="152" t="s">
        <v>422</v>
      </c>
      <c r="D69" s="152" t="s">
        <v>434</v>
      </c>
      <c r="E69" s="153">
        <v>39380</v>
      </c>
      <c r="F69" s="152">
        <v>8752</v>
      </c>
      <c r="G69" s="152">
        <v>0</v>
      </c>
      <c r="H69" s="152">
        <v>1800</v>
      </c>
      <c r="I69" s="154">
        <v>4345</v>
      </c>
      <c r="J69" s="155">
        <v>4000</v>
      </c>
      <c r="K69" s="147">
        <v>1.0862499999999999</v>
      </c>
      <c r="L69" s="148">
        <v>0</v>
      </c>
      <c r="M69" s="149">
        <v>25</v>
      </c>
      <c r="N69" s="150">
        <v>4.3449999999999996E-2</v>
      </c>
    </row>
    <row r="70" spans="1:14" ht="12.75" customHeight="1">
      <c r="A70" s="151" t="s">
        <v>360</v>
      </c>
      <c r="B70" s="152" t="s">
        <v>421</v>
      </c>
      <c r="C70" s="152" t="s">
        <v>422</v>
      </c>
      <c r="D70" s="152" t="s">
        <v>435</v>
      </c>
      <c r="E70" s="153">
        <v>39395</v>
      </c>
      <c r="F70" s="152">
        <v>27866</v>
      </c>
      <c r="G70" s="152">
        <v>0</v>
      </c>
      <c r="H70" s="152">
        <v>5850</v>
      </c>
      <c r="I70" s="154">
        <v>14917.28</v>
      </c>
      <c r="J70" s="155">
        <v>13000</v>
      </c>
      <c r="K70" s="147">
        <v>1.147483076923077</v>
      </c>
      <c r="L70" s="148">
        <v>0</v>
      </c>
      <c r="M70" s="149">
        <v>30</v>
      </c>
      <c r="N70" s="150">
        <v>3.8249435897435902E-2</v>
      </c>
    </row>
    <row r="71" spans="1:14" ht="12.75" customHeight="1">
      <c r="A71" s="151" t="s">
        <v>360</v>
      </c>
      <c r="B71" s="152" t="s">
        <v>421</v>
      </c>
      <c r="C71" s="152" t="s">
        <v>422</v>
      </c>
      <c r="D71" s="152" t="s">
        <v>436</v>
      </c>
      <c r="E71" s="153">
        <v>39407</v>
      </c>
      <c r="F71" s="152">
        <v>10064</v>
      </c>
      <c r="G71" s="152">
        <v>0</v>
      </c>
      <c r="H71" s="152">
        <v>2070</v>
      </c>
      <c r="I71" s="154">
        <v>5630</v>
      </c>
      <c r="J71" s="155">
        <v>4600</v>
      </c>
      <c r="K71" s="147">
        <v>1.2239130434782608</v>
      </c>
      <c r="L71" s="148">
        <v>0</v>
      </c>
      <c r="M71" s="149">
        <v>25</v>
      </c>
      <c r="N71" s="150">
        <v>4.8956521739130433E-2</v>
      </c>
    </row>
    <row r="72" spans="1:14" ht="12.75" customHeight="1">
      <c r="A72" s="151" t="s">
        <v>360</v>
      </c>
      <c r="B72" s="152" t="s">
        <v>421</v>
      </c>
      <c r="C72" s="152" t="s">
        <v>422</v>
      </c>
      <c r="D72" s="152" t="s">
        <v>437</v>
      </c>
      <c r="E72" s="153">
        <v>39407</v>
      </c>
      <c r="F72" s="152">
        <v>57988</v>
      </c>
      <c r="G72" s="152">
        <v>0</v>
      </c>
      <c r="H72" s="152">
        <v>11926.8</v>
      </c>
      <c r="I72" s="154">
        <v>44367</v>
      </c>
      <c r="J72" s="155">
        <v>26504</v>
      </c>
      <c r="K72" s="147">
        <v>1.6739737398128585</v>
      </c>
      <c r="L72" s="148">
        <v>0</v>
      </c>
      <c r="M72" s="149">
        <v>20</v>
      </c>
      <c r="N72" s="150">
        <v>8.3698686990642923E-2</v>
      </c>
    </row>
    <row r="73" spans="1:14" ht="12.75" customHeight="1">
      <c r="A73" s="151" t="s">
        <v>360</v>
      </c>
      <c r="B73" s="152" t="s">
        <v>421</v>
      </c>
      <c r="C73" s="152" t="s">
        <v>422</v>
      </c>
      <c r="D73" s="152" t="s">
        <v>438</v>
      </c>
      <c r="E73" s="153">
        <v>39429</v>
      </c>
      <c r="F73" s="152">
        <v>2166</v>
      </c>
      <c r="G73" s="152">
        <v>0</v>
      </c>
      <c r="H73" s="152">
        <v>445.5</v>
      </c>
      <c r="I73" s="154">
        <v>798</v>
      </c>
      <c r="J73" s="155">
        <v>990</v>
      </c>
      <c r="K73" s="147">
        <v>0.80606060606060603</v>
      </c>
      <c r="L73" s="148">
        <v>0</v>
      </c>
      <c r="M73" s="149">
        <v>19</v>
      </c>
      <c r="N73" s="150">
        <v>4.242424242424242E-2</v>
      </c>
    </row>
    <row r="74" spans="1:14" ht="12.75" customHeight="1">
      <c r="A74" s="151" t="s">
        <v>360</v>
      </c>
      <c r="B74" s="152" t="s">
        <v>421</v>
      </c>
      <c r="C74" s="152" t="s">
        <v>422</v>
      </c>
      <c r="D74" s="152" t="s">
        <v>439</v>
      </c>
      <c r="E74" s="153">
        <v>39429</v>
      </c>
      <c r="F74" s="152">
        <v>62948</v>
      </c>
      <c r="G74" s="152">
        <v>0</v>
      </c>
      <c r="H74" s="152">
        <v>12946.95</v>
      </c>
      <c r="I74" s="154">
        <v>24240</v>
      </c>
      <c r="J74" s="155">
        <v>28771</v>
      </c>
      <c r="K74" s="147">
        <v>0.84251503249800141</v>
      </c>
      <c r="L74" s="148">
        <v>0</v>
      </c>
      <c r="M74" s="149">
        <v>21</v>
      </c>
      <c r="N74" s="150">
        <v>4.0119763452285781E-2</v>
      </c>
    </row>
    <row r="75" spans="1:14" ht="12.75" customHeight="1">
      <c r="A75" s="151" t="s">
        <v>360</v>
      </c>
      <c r="B75" s="152" t="s">
        <v>421</v>
      </c>
      <c r="C75" s="152" t="s">
        <v>422</v>
      </c>
      <c r="D75" s="152" t="s">
        <v>440</v>
      </c>
      <c r="E75" s="153">
        <v>39429</v>
      </c>
      <c r="F75" s="152">
        <v>14236</v>
      </c>
      <c r="G75" s="152">
        <v>0</v>
      </c>
      <c r="H75" s="152">
        <v>2928.15</v>
      </c>
      <c r="I75" s="154">
        <v>11046</v>
      </c>
      <c r="J75" s="155">
        <v>6507</v>
      </c>
      <c r="K75" s="147">
        <v>1.6975564776394652</v>
      </c>
      <c r="L75" s="148">
        <v>0</v>
      </c>
      <c r="M75" s="149">
        <v>25</v>
      </c>
      <c r="N75" s="150">
        <v>6.7902259105578608E-2</v>
      </c>
    </row>
    <row r="76" spans="1:14" ht="12.75" customHeight="1">
      <c r="A76" s="151" t="s">
        <v>360</v>
      </c>
      <c r="B76" s="152" t="s">
        <v>421</v>
      </c>
      <c r="C76" s="152" t="s">
        <v>422</v>
      </c>
      <c r="D76" s="152" t="s">
        <v>441</v>
      </c>
      <c r="E76" s="153">
        <v>39436</v>
      </c>
      <c r="F76" s="152">
        <v>16628</v>
      </c>
      <c r="G76" s="152">
        <v>0</v>
      </c>
      <c r="H76" s="152">
        <v>3420</v>
      </c>
      <c r="I76" s="154">
        <v>4538.79</v>
      </c>
      <c r="J76" s="155">
        <v>7600</v>
      </c>
      <c r="K76" s="147">
        <v>0.59720921052631581</v>
      </c>
      <c r="L76" s="148">
        <v>0</v>
      </c>
      <c r="M76" s="149">
        <v>21</v>
      </c>
      <c r="N76" s="150">
        <v>2.8438533834586468E-2</v>
      </c>
    </row>
    <row r="77" spans="1:14" ht="12.75" customHeight="1">
      <c r="A77" s="151" t="s">
        <v>360</v>
      </c>
      <c r="B77" s="152" t="s">
        <v>421</v>
      </c>
      <c r="C77" s="152" t="s">
        <v>422</v>
      </c>
      <c r="D77" s="152" t="s">
        <v>442</v>
      </c>
      <c r="E77" s="153">
        <v>39443</v>
      </c>
      <c r="F77" s="152">
        <v>13718</v>
      </c>
      <c r="G77" s="152">
        <v>0</v>
      </c>
      <c r="H77" s="152">
        <v>2821.5</v>
      </c>
      <c r="I77" s="154">
        <v>10618.45</v>
      </c>
      <c r="J77" s="155">
        <v>6270</v>
      </c>
      <c r="K77" s="147">
        <v>1.6935326953748007</v>
      </c>
      <c r="L77" s="148">
        <v>0</v>
      </c>
      <c r="M77" s="149">
        <v>21</v>
      </c>
      <c r="N77" s="150">
        <v>8.0644414065466699E-2</v>
      </c>
    </row>
    <row r="78" spans="1:14" ht="12.75" customHeight="1">
      <c r="A78" s="151" t="s">
        <v>360</v>
      </c>
      <c r="B78" s="152" t="s">
        <v>421</v>
      </c>
      <c r="C78" s="152" t="s">
        <v>422</v>
      </c>
      <c r="D78" s="152" t="s">
        <v>443</v>
      </c>
      <c r="E78" s="153">
        <v>39443</v>
      </c>
      <c r="F78" s="152">
        <v>10721</v>
      </c>
      <c r="G78" s="152">
        <v>0</v>
      </c>
      <c r="H78" s="152">
        <v>2205</v>
      </c>
      <c r="I78" s="154">
        <v>3137.19</v>
      </c>
      <c r="J78" s="155">
        <v>4900</v>
      </c>
      <c r="K78" s="147">
        <v>0.64024285714285711</v>
      </c>
      <c r="L78" s="148">
        <v>0</v>
      </c>
      <c r="M78" s="149">
        <v>25</v>
      </c>
      <c r="N78" s="150">
        <v>2.5609714285714284E-2</v>
      </c>
    </row>
    <row r="79" spans="1:14" ht="12.75" customHeight="1">
      <c r="A79" s="151" t="s">
        <v>360</v>
      </c>
      <c r="B79" s="152" t="s">
        <v>421</v>
      </c>
      <c r="C79" s="152" t="s">
        <v>422</v>
      </c>
      <c r="D79" s="152" t="s">
        <v>444</v>
      </c>
      <c r="E79" s="153">
        <v>39443</v>
      </c>
      <c r="F79" s="152">
        <v>14221</v>
      </c>
      <c r="G79" s="152">
        <v>0</v>
      </c>
      <c r="H79" s="152">
        <v>2925</v>
      </c>
      <c r="I79" s="154">
        <v>9175</v>
      </c>
      <c r="J79" s="155">
        <v>6500</v>
      </c>
      <c r="K79" s="147">
        <v>1.4115384615384616</v>
      </c>
      <c r="L79" s="148">
        <v>0</v>
      </c>
      <c r="M79" s="149">
        <v>25</v>
      </c>
      <c r="N79" s="150">
        <v>5.6461538461538466E-2</v>
      </c>
    </row>
    <row r="80" spans="1:14" ht="12.75" customHeight="1">
      <c r="A80" s="151" t="s">
        <v>360</v>
      </c>
      <c r="B80" s="152" t="s">
        <v>421</v>
      </c>
      <c r="C80" s="152" t="s">
        <v>422</v>
      </c>
      <c r="D80" s="152" t="s">
        <v>445</v>
      </c>
      <c r="E80" s="153">
        <v>39447</v>
      </c>
      <c r="F80" s="152">
        <v>33378</v>
      </c>
      <c r="G80" s="152">
        <v>0</v>
      </c>
      <c r="H80" s="152">
        <v>6865.2</v>
      </c>
      <c r="I80" s="154">
        <v>25453.439999999999</v>
      </c>
      <c r="J80" s="155">
        <v>15256</v>
      </c>
      <c r="K80" s="147">
        <v>1.6684216046145779</v>
      </c>
      <c r="L80" s="148">
        <v>0</v>
      </c>
      <c r="M80" s="149">
        <v>25</v>
      </c>
      <c r="N80" s="150">
        <v>6.673686418458312E-2</v>
      </c>
    </row>
    <row r="81" spans="1:14" ht="12.75" customHeight="1">
      <c r="A81" s="151" t="s">
        <v>360</v>
      </c>
      <c r="B81" s="152" t="s">
        <v>421</v>
      </c>
      <c r="C81" s="152" t="s">
        <v>422</v>
      </c>
      <c r="D81" s="152" t="s">
        <v>446</v>
      </c>
      <c r="E81" s="153">
        <v>39447</v>
      </c>
      <c r="F81" s="152">
        <v>31274</v>
      </c>
      <c r="G81" s="152">
        <v>0</v>
      </c>
      <c r="H81" s="152">
        <v>6432.3</v>
      </c>
      <c r="I81" s="154">
        <v>23850.19</v>
      </c>
      <c r="J81" s="155">
        <v>14294</v>
      </c>
      <c r="K81" s="147">
        <v>1.6685455435847207</v>
      </c>
      <c r="L81" s="148">
        <v>0</v>
      </c>
      <c r="M81" s="149">
        <v>25</v>
      </c>
      <c r="N81" s="150">
        <v>6.6741821743388829E-2</v>
      </c>
    </row>
    <row r="82" spans="1:14" ht="12.75" customHeight="1">
      <c r="A82" s="151" t="s">
        <v>360</v>
      </c>
      <c r="B82" s="152" t="s">
        <v>421</v>
      </c>
      <c r="C82" s="152" t="s">
        <v>422</v>
      </c>
      <c r="D82" s="152" t="s">
        <v>447</v>
      </c>
      <c r="E82" s="153">
        <v>39447</v>
      </c>
      <c r="F82" s="152">
        <v>37571</v>
      </c>
      <c r="G82" s="152">
        <v>0</v>
      </c>
      <c r="H82" s="152">
        <v>7727.4</v>
      </c>
      <c r="I82" s="154">
        <v>28648.26</v>
      </c>
      <c r="J82" s="155">
        <v>17172</v>
      </c>
      <c r="K82" s="147">
        <v>1.6683123689727462</v>
      </c>
      <c r="L82" s="148">
        <v>0</v>
      </c>
      <c r="M82" s="149">
        <v>25</v>
      </c>
      <c r="N82" s="150">
        <v>6.6732494758909841E-2</v>
      </c>
    </row>
    <row r="83" spans="1:14" ht="12.75" customHeight="1">
      <c r="A83" s="151" t="s">
        <v>360</v>
      </c>
      <c r="B83" s="152" t="s">
        <v>421</v>
      </c>
      <c r="C83" s="152" t="s">
        <v>422</v>
      </c>
      <c r="D83" s="152" t="s">
        <v>448</v>
      </c>
      <c r="E83" s="153">
        <v>39447</v>
      </c>
      <c r="F83" s="152">
        <v>33396</v>
      </c>
      <c r="G83" s="152">
        <v>0</v>
      </c>
      <c r="H83" s="152">
        <v>6868.8</v>
      </c>
      <c r="I83" s="154">
        <v>25465.119999999999</v>
      </c>
      <c r="J83" s="155">
        <v>15264</v>
      </c>
      <c r="K83" s="147">
        <v>1.6683123689727464</v>
      </c>
      <c r="L83" s="148">
        <v>0</v>
      </c>
      <c r="M83" s="149">
        <v>25</v>
      </c>
      <c r="N83" s="150">
        <v>6.6732494758909855E-2</v>
      </c>
    </row>
    <row r="84" spans="1:14" ht="12.75" customHeight="1">
      <c r="A84" s="151" t="s">
        <v>360</v>
      </c>
      <c r="B84" s="152" t="s">
        <v>421</v>
      </c>
      <c r="C84" s="152" t="s">
        <v>422</v>
      </c>
      <c r="D84" s="152" t="s">
        <v>449</v>
      </c>
      <c r="E84" s="153">
        <v>39447</v>
      </c>
      <c r="F84" s="152">
        <v>37571</v>
      </c>
      <c r="G84" s="152">
        <v>0</v>
      </c>
      <c r="H84" s="152">
        <v>7727.4</v>
      </c>
      <c r="I84" s="154">
        <v>28648.26</v>
      </c>
      <c r="J84" s="155">
        <v>17172</v>
      </c>
      <c r="K84" s="147">
        <v>1.6683123689727462</v>
      </c>
      <c r="L84" s="148">
        <v>0</v>
      </c>
      <c r="M84" s="149">
        <v>25</v>
      </c>
      <c r="N84" s="150">
        <v>6.6732494758909841E-2</v>
      </c>
    </row>
    <row r="85" spans="1:14" ht="12.75" customHeight="1">
      <c r="A85" s="151" t="s">
        <v>360</v>
      </c>
      <c r="B85" s="152" t="s">
        <v>421</v>
      </c>
      <c r="C85" s="152" t="s">
        <v>422</v>
      </c>
      <c r="D85" s="152" t="s">
        <v>450</v>
      </c>
      <c r="E85" s="153">
        <v>39447</v>
      </c>
      <c r="F85" s="152">
        <v>35483</v>
      </c>
      <c r="G85" s="152">
        <v>0</v>
      </c>
      <c r="H85" s="152">
        <v>7298.1</v>
      </c>
      <c r="I85" s="154">
        <v>27056.69</v>
      </c>
      <c r="J85" s="155">
        <v>16218</v>
      </c>
      <c r="K85" s="147">
        <v>1.6683123689727462</v>
      </c>
      <c r="L85" s="148">
        <v>0</v>
      </c>
      <c r="M85" s="149">
        <v>25</v>
      </c>
      <c r="N85" s="150">
        <v>6.6732494758909841E-2</v>
      </c>
    </row>
    <row r="86" spans="1:14" ht="12.75" customHeight="1">
      <c r="A86" s="151" t="s">
        <v>360</v>
      </c>
      <c r="B86" s="152" t="s">
        <v>421</v>
      </c>
      <c r="C86" s="152" t="s">
        <v>422</v>
      </c>
      <c r="D86" s="152" t="s">
        <v>451</v>
      </c>
      <c r="E86" s="153">
        <v>39447</v>
      </c>
      <c r="F86" s="152">
        <v>56356</v>
      </c>
      <c r="G86" s="152">
        <v>0</v>
      </c>
      <c r="H86" s="152">
        <v>11591.1</v>
      </c>
      <c r="I86" s="154">
        <v>42972.39</v>
      </c>
      <c r="J86" s="155">
        <v>25758</v>
      </c>
      <c r="K86" s="147">
        <v>1.6683123689727464</v>
      </c>
      <c r="L86" s="148">
        <v>0</v>
      </c>
      <c r="M86" s="149">
        <v>25</v>
      </c>
      <c r="N86" s="150">
        <v>6.6732494758909855E-2</v>
      </c>
    </row>
    <row r="87" spans="1:14" ht="12.75" customHeight="1">
      <c r="A87" s="151" t="s">
        <v>360</v>
      </c>
      <c r="B87" s="152" t="s">
        <v>421</v>
      </c>
      <c r="C87" s="152" t="s">
        <v>422</v>
      </c>
      <c r="D87" s="152" t="s">
        <v>452</v>
      </c>
      <c r="E87" s="153">
        <v>39447</v>
      </c>
      <c r="F87" s="152">
        <v>4715</v>
      </c>
      <c r="G87" s="152">
        <v>0</v>
      </c>
      <c r="H87" s="152">
        <v>969.75</v>
      </c>
      <c r="I87" s="154">
        <v>34237.61</v>
      </c>
      <c r="J87" s="155">
        <v>2155</v>
      </c>
      <c r="K87" s="147">
        <v>15.887522041763342</v>
      </c>
      <c r="L87" s="148">
        <v>0</v>
      </c>
      <c r="M87" s="149">
        <v>25</v>
      </c>
      <c r="N87" s="150">
        <v>0.63550088167053365</v>
      </c>
    </row>
    <row r="88" spans="1:14" ht="12.75" customHeight="1">
      <c r="A88" s="151" t="s">
        <v>360</v>
      </c>
      <c r="B88" s="152" t="s">
        <v>421</v>
      </c>
      <c r="C88" s="152" t="s">
        <v>422</v>
      </c>
      <c r="D88" s="152" t="s">
        <v>453</v>
      </c>
      <c r="E88" s="153">
        <v>39447</v>
      </c>
      <c r="F88" s="152">
        <v>53140</v>
      </c>
      <c r="G88" s="152">
        <v>0</v>
      </c>
      <c r="H88" s="152">
        <v>10929.6</v>
      </c>
      <c r="I88" s="154">
        <v>38952</v>
      </c>
      <c r="J88" s="155">
        <v>24288</v>
      </c>
      <c r="K88" s="147">
        <v>1.6037549407114624</v>
      </c>
      <c r="L88" s="148">
        <v>0</v>
      </c>
      <c r="M88" s="149">
        <v>25</v>
      </c>
      <c r="N88" s="150">
        <v>6.41501976284585E-2</v>
      </c>
    </row>
    <row r="89" spans="1:14" ht="12.75" customHeight="1">
      <c r="A89" s="151" t="s">
        <v>360</v>
      </c>
      <c r="B89" s="152" t="s">
        <v>421</v>
      </c>
      <c r="C89" s="152" t="s">
        <v>422</v>
      </c>
      <c r="D89" s="152" t="s">
        <v>454</v>
      </c>
      <c r="E89" s="153">
        <v>39447</v>
      </c>
      <c r="F89" s="152">
        <v>7002</v>
      </c>
      <c r="G89" s="152">
        <v>0</v>
      </c>
      <c r="H89" s="152">
        <v>1440</v>
      </c>
      <c r="I89" s="154">
        <v>3100</v>
      </c>
      <c r="J89" s="155">
        <v>3200</v>
      </c>
      <c r="K89" s="147">
        <v>0.96875</v>
      </c>
      <c r="L89" s="148">
        <v>0</v>
      </c>
      <c r="M89" s="149">
        <v>25</v>
      </c>
      <c r="N89" s="150">
        <v>3.875E-2</v>
      </c>
    </row>
    <row r="90" spans="1:14" ht="12.75" customHeight="1">
      <c r="A90" s="151" t="s">
        <v>360</v>
      </c>
      <c r="B90" s="152" t="s">
        <v>421</v>
      </c>
      <c r="C90" s="152" t="s">
        <v>422</v>
      </c>
      <c r="D90" s="152" t="s">
        <v>455</v>
      </c>
      <c r="E90" s="153">
        <v>39447</v>
      </c>
      <c r="F90" s="152">
        <v>2433</v>
      </c>
      <c r="G90" s="152">
        <v>0</v>
      </c>
      <c r="H90" s="152">
        <v>500.4</v>
      </c>
      <c r="I90" s="154">
        <v>694.85</v>
      </c>
      <c r="J90" s="155">
        <v>1112</v>
      </c>
      <c r="K90" s="147">
        <v>0.62486510791366912</v>
      </c>
      <c r="L90" s="148">
        <v>0</v>
      </c>
      <c r="M90" s="149">
        <v>25</v>
      </c>
      <c r="N90" s="150">
        <v>2.4994604316546765E-2</v>
      </c>
    </row>
    <row r="91" spans="1:14" ht="12.75" customHeight="1">
      <c r="A91" s="151" t="s">
        <v>360</v>
      </c>
      <c r="B91" s="152" t="s">
        <v>421</v>
      </c>
      <c r="C91" s="152" t="s">
        <v>422</v>
      </c>
      <c r="D91" s="152" t="s">
        <v>456</v>
      </c>
      <c r="E91" s="153">
        <v>39447</v>
      </c>
      <c r="F91" s="152">
        <v>3042</v>
      </c>
      <c r="G91" s="152">
        <v>0</v>
      </c>
      <c r="H91" s="152">
        <v>675</v>
      </c>
      <c r="I91" s="154">
        <v>3000</v>
      </c>
      <c r="J91" s="155">
        <v>1500</v>
      </c>
      <c r="K91" s="147">
        <v>2</v>
      </c>
      <c r="L91" s="148">
        <v>0</v>
      </c>
      <c r="M91" s="149">
        <v>25</v>
      </c>
      <c r="N91" s="150">
        <v>0.08</v>
      </c>
    </row>
    <row r="92" spans="1:14" ht="12.75" customHeight="1">
      <c r="A92" s="151" t="s">
        <v>360</v>
      </c>
      <c r="B92" s="152" t="s">
        <v>421</v>
      </c>
      <c r="C92" s="152" t="s">
        <v>422</v>
      </c>
      <c r="D92" s="152" t="s">
        <v>457</v>
      </c>
      <c r="E92" s="153">
        <v>39447</v>
      </c>
      <c r="F92" s="152">
        <v>17146</v>
      </c>
      <c r="G92" s="152">
        <v>0</v>
      </c>
      <c r="H92" s="152">
        <v>3526.65</v>
      </c>
      <c r="I92" s="154">
        <v>5100</v>
      </c>
      <c r="J92" s="155">
        <v>7837</v>
      </c>
      <c r="K92" s="147">
        <v>0.65075921908893708</v>
      </c>
      <c r="L92" s="148">
        <v>0</v>
      </c>
      <c r="M92" s="149">
        <v>30</v>
      </c>
      <c r="N92" s="150">
        <v>2.1691973969631236E-2</v>
      </c>
    </row>
    <row r="93" spans="1:14" ht="12.75" customHeight="1">
      <c r="A93" s="151" t="s">
        <v>360</v>
      </c>
      <c r="B93" s="152" t="s">
        <v>421</v>
      </c>
      <c r="C93" s="152" t="s">
        <v>422</v>
      </c>
      <c r="D93" s="152" t="s">
        <v>458</v>
      </c>
      <c r="E93" s="153">
        <v>39447</v>
      </c>
      <c r="F93" s="152">
        <v>14746</v>
      </c>
      <c r="G93" s="152">
        <v>0</v>
      </c>
      <c r="H93" s="152">
        <v>3033</v>
      </c>
      <c r="I93" s="154">
        <v>5296</v>
      </c>
      <c r="J93" s="155">
        <v>6740</v>
      </c>
      <c r="K93" s="147">
        <v>0.78575667655786352</v>
      </c>
      <c r="L93" s="148">
        <v>0</v>
      </c>
      <c r="M93" s="149">
        <v>25</v>
      </c>
      <c r="N93" s="150">
        <v>3.143026706231454E-2</v>
      </c>
    </row>
    <row r="94" spans="1:14" ht="12.75" customHeight="1">
      <c r="A94" s="151" t="s">
        <v>360</v>
      </c>
      <c r="B94" s="152" t="s">
        <v>421</v>
      </c>
      <c r="C94" s="152" t="s">
        <v>422</v>
      </c>
      <c r="D94" s="152" t="s">
        <v>459</v>
      </c>
      <c r="E94" s="153">
        <v>39447</v>
      </c>
      <c r="F94" s="152">
        <v>3763</v>
      </c>
      <c r="G94" s="152">
        <v>0</v>
      </c>
      <c r="H94" s="152">
        <v>774</v>
      </c>
      <c r="I94" s="154">
        <v>3588</v>
      </c>
      <c r="J94" s="155">
        <v>1720</v>
      </c>
      <c r="K94" s="147">
        <v>2.0860465116279068</v>
      </c>
      <c r="L94" s="148">
        <v>0</v>
      </c>
      <c r="M94" s="149">
        <v>25</v>
      </c>
      <c r="N94" s="150">
        <v>8.3441860465116272E-2</v>
      </c>
    </row>
    <row r="95" spans="1:14" ht="12.75" customHeight="1">
      <c r="A95" s="151" t="s">
        <v>360</v>
      </c>
      <c r="B95" s="152" t="s">
        <v>421</v>
      </c>
      <c r="C95" s="152" t="s">
        <v>422</v>
      </c>
      <c r="D95" s="152" t="s">
        <v>460</v>
      </c>
      <c r="E95" s="153">
        <v>39534</v>
      </c>
      <c r="F95" s="152">
        <v>54908</v>
      </c>
      <c r="G95" s="152">
        <v>0</v>
      </c>
      <c r="H95" s="152">
        <v>11293.2</v>
      </c>
      <c r="I95" s="154">
        <v>24750</v>
      </c>
      <c r="J95" s="155">
        <v>25096</v>
      </c>
      <c r="K95" s="147">
        <v>0.98621294230156198</v>
      </c>
      <c r="L95" s="148">
        <v>0</v>
      </c>
      <c r="M95" s="149">
        <v>25</v>
      </c>
      <c r="N95" s="150">
        <v>3.9448517692062479E-2</v>
      </c>
    </row>
    <row r="96" spans="1:14" ht="12.75" customHeight="1">
      <c r="A96" s="151" t="s">
        <v>360</v>
      </c>
      <c r="B96" s="152" t="s">
        <v>421</v>
      </c>
      <c r="C96" s="152" t="s">
        <v>422</v>
      </c>
      <c r="D96" s="152" t="s">
        <v>461</v>
      </c>
      <c r="E96" s="153">
        <v>39534</v>
      </c>
      <c r="F96" s="152">
        <v>18444</v>
      </c>
      <c r="G96" s="152">
        <v>0</v>
      </c>
      <c r="H96" s="152">
        <v>3793.5</v>
      </c>
      <c r="I96" s="154">
        <v>12225</v>
      </c>
      <c r="J96" s="155">
        <v>8430</v>
      </c>
      <c r="K96" s="147">
        <v>1.4501779359430604</v>
      </c>
      <c r="L96" s="148">
        <v>0</v>
      </c>
      <c r="M96" s="149">
        <v>30</v>
      </c>
      <c r="N96" s="150">
        <v>4.8339264531435347E-2</v>
      </c>
    </row>
    <row r="97" spans="1:14" ht="12.75" customHeight="1">
      <c r="A97" s="151" t="s">
        <v>360</v>
      </c>
      <c r="B97" s="152" t="s">
        <v>421</v>
      </c>
      <c r="C97" s="152" t="s">
        <v>422</v>
      </c>
      <c r="D97" s="152" t="s">
        <v>462</v>
      </c>
      <c r="E97" s="153">
        <v>39555</v>
      </c>
      <c r="F97" s="152">
        <v>10108</v>
      </c>
      <c r="G97" s="152">
        <v>0</v>
      </c>
      <c r="H97" s="152">
        <v>2079</v>
      </c>
      <c r="I97" s="154">
        <v>5590</v>
      </c>
      <c r="J97" s="155">
        <v>4620</v>
      </c>
      <c r="K97" s="147">
        <v>1.2099567099567099</v>
      </c>
      <c r="L97" s="148">
        <v>0</v>
      </c>
      <c r="M97" s="149">
        <v>25</v>
      </c>
      <c r="N97" s="150">
        <v>4.8398268398268399E-2</v>
      </c>
    </row>
    <row r="98" spans="1:14" ht="12.75" customHeight="1">
      <c r="A98" s="151" t="s">
        <v>360</v>
      </c>
      <c r="B98" s="152" t="s">
        <v>421</v>
      </c>
      <c r="C98" s="152" t="s">
        <v>422</v>
      </c>
      <c r="D98" s="152" t="s">
        <v>463</v>
      </c>
      <c r="E98" s="153">
        <v>39534</v>
      </c>
      <c r="F98" s="152">
        <v>10349</v>
      </c>
      <c r="G98" s="152">
        <v>0</v>
      </c>
      <c r="H98" s="152">
        <v>2128.5</v>
      </c>
      <c r="I98" s="154">
        <v>6495</v>
      </c>
      <c r="J98" s="155">
        <v>4730</v>
      </c>
      <c r="K98" s="147">
        <v>1.3731501057082451</v>
      </c>
      <c r="L98" s="148">
        <v>0</v>
      </c>
      <c r="M98" s="149">
        <v>25</v>
      </c>
      <c r="N98" s="150">
        <v>5.4926004228329807E-2</v>
      </c>
    </row>
    <row r="99" spans="1:14" ht="12.75" customHeight="1">
      <c r="A99" s="151" t="s">
        <v>360</v>
      </c>
      <c r="B99" s="152" t="s">
        <v>421</v>
      </c>
      <c r="C99" s="152" t="s">
        <v>422</v>
      </c>
      <c r="D99" s="152" t="s">
        <v>464</v>
      </c>
      <c r="E99" s="153">
        <v>39611</v>
      </c>
      <c r="F99" s="152">
        <v>6095</v>
      </c>
      <c r="G99" s="152">
        <v>0</v>
      </c>
      <c r="H99" s="152">
        <v>1253.7</v>
      </c>
      <c r="I99" s="154">
        <v>2560</v>
      </c>
      <c r="J99" s="155">
        <v>2786</v>
      </c>
      <c r="K99" s="147">
        <v>0.91888011486001431</v>
      </c>
      <c r="L99" s="148">
        <v>0</v>
      </c>
      <c r="M99" s="149">
        <v>30</v>
      </c>
      <c r="N99" s="150">
        <v>3.0629337162000479E-2</v>
      </c>
    </row>
    <row r="100" spans="1:14" ht="12.75" customHeight="1">
      <c r="A100" s="151" t="s">
        <v>360</v>
      </c>
      <c r="B100" s="152" t="s">
        <v>465</v>
      </c>
      <c r="C100" s="152" t="s">
        <v>466</v>
      </c>
      <c r="D100" s="152" t="s">
        <v>467</v>
      </c>
      <c r="E100" s="153">
        <v>39247</v>
      </c>
      <c r="F100" s="152">
        <v>0</v>
      </c>
      <c r="G100" s="152">
        <v>238.55</v>
      </c>
      <c r="H100" s="152">
        <v>445.5</v>
      </c>
      <c r="I100" s="154">
        <v>1207</v>
      </c>
      <c r="J100" s="155">
        <v>990</v>
      </c>
      <c r="K100" s="147">
        <v>1.2191919191919192</v>
      </c>
      <c r="L100" s="148">
        <v>0</v>
      </c>
      <c r="M100" s="149">
        <v>30</v>
      </c>
      <c r="N100" s="150">
        <v>4.0639730639730635E-2</v>
      </c>
    </row>
    <row r="101" spans="1:14" ht="12.75" customHeight="1">
      <c r="A101" s="151" t="s">
        <v>360</v>
      </c>
      <c r="B101" s="152" t="s">
        <v>465</v>
      </c>
      <c r="C101" s="152" t="s">
        <v>466</v>
      </c>
      <c r="D101" s="152" t="s">
        <v>468</v>
      </c>
      <c r="E101" s="153">
        <v>39395</v>
      </c>
      <c r="F101" s="152">
        <v>0</v>
      </c>
      <c r="G101" s="152">
        <v>133.25</v>
      </c>
      <c r="H101" s="152">
        <v>873</v>
      </c>
      <c r="I101" s="154">
        <v>2750</v>
      </c>
      <c r="J101" s="155">
        <v>1940</v>
      </c>
      <c r="K101" s="147">
        <v>1.4175257731958764</v>
      </c>
      <c r="L101" s="148">
        <v>0</v>
      </c>
      <c r="M101" s="149">
        <v>25</v>
      </c>
      <c r="N101" s="150">
        <v>5.6701030927835051E-2</v>
      </c>
    </row>
    <row r="102" spans="1:14" ht="12.75" customHeight="1">
      <c r="A102" s="151" t="s">
        <v>360</v>
      </c>
      <c r="B102" s="152" t="s">
        <v>465</v>
      </c>
      <c r="C102" s="152" t="s">
        <v>466</v>
      </c>
      <c r="D102" s="152" t="s">
        <v>469</v>
      </c>
      <c r="E102" s="153">
        <v>39395</v>
      </c>
      <c r="F102" s="152">
        <v>0</v>
      </c>
      <c r="G102" s="152">
        <v>147.55000000000001</v>
      </c>
      <c r="H102" s="152">
        <v>967.5</v>
      </c>
      <c r="I102" s="154">
        <v>2020</v>
      </c>
      <c r="J102" s="155">
        <v>2150</v>
      </c>
      <c r="K102" s="147">
        <v>0.93953488372093019</v>
      </c>
      <c r="L102" s="148">
        <v>0</v>
      </c>
      <c r="M102" s="149">
        <v>25</v>
      </c>
      <c r="N102" s="150">
        <v>3.7581395348837206E-2</v>
      </c>
    </row>
    <row r="103" spans="1:14" ht="12.75" customHeight="1">
      <c r="A103" s="151" t="s">
        <v>360</v>
      </c>
      <c r="B103" s="152" t="s">
        <v>465</v>
      </c>
      <c r="C103" s="152" t="s">
        <v>466</v>
      </c>
      <c r="D103" s="152" t="s">
        <v>470</v>
      </c>
      <c r="E103" s="153">
        <v>39447</v>
      </c>
      <c r="F103" s="152">
        <v>0</v>
      </c>
      <c r="G103" s="152">
        <v>89.7</v>
      </c>
      <c r="H103" s="152">
        <v>615.6</v>
      </c>
      <c r="I103" s="154">
        <v>1554</v>
      </c>
      <c r="J103" s="155">
        <v>1368</v>
      </c>
      <c r="K103" s="147">
        <v>1.1359649122807018</v>
      </c>
      <c r="L103" s="148">
        <v>0</v>
      </c>
      <c r="M103" s="149">
        <v>25</v>
      </c>
      <c r="N103" s="150">
        <v>4.5438596491228077E-2</v>
      </c>
    </row>
    <row r="104" spans="1:14" ht="12.75" customHeight="1" thickBot="1">
      <c r="A104" s="156" t="s">
        <v>360</v>
      </c>
      <c r="B104" s="157" t="s">
        <v>465</v>
      </c>
      <c r="C104" s="157" t="s">
        <v>466</v>
      </c>
      <c r="D104" s="157" t="s">
        <v>471</v>
      </c>
      <c r="E104" s="158">
        <v>39513</v>
      </c>
      <c r="F104" s="157">
        <v>0</v>
      </c>
      <c r="G104" s="157">
        <v>382.85</v>
      </c>
      <c r="H104" s="157">
        <v>2355.75</v>
      </c>
      <c r="I104" s="159">
        <v>6130</v>
      </c>
      <c r="J104" s="160">
        <v>5235</v>
      </c>
      <c r="K104" s="161">
        <v>1.1709646609360076</v>
      </c>
      <c r="L104" s="162">
        <v>0</v>
      </c>
      <c r="M104" s="163">
        <v>25</v>
      </c>
      <c r="N104" s="150">
        <v>4.6838586437440301E-2</v>
      </c>
    </row>
    <row r="105" spans="1:14" ht="12.75" customHeight="1">
      <c r="A105" s="142" t="s">
        <v>360</v>
      </c>
      <c r="B105" s="143" t="s">
        <v>472</v>
      </c>
      <c r="C105" s="143" t="s">
        <v>473</v>
      </c>
      <c r="D105" s="143" t="s">
        <v>474</v>
      </c>
      <c r="E105" s="144">
        <v>39317</v>
      </c>
      <c r="F105" s="143">
        <v>19946</v>
      </c>
      <c r="G105" s="143">
        <v>0</v>
      </c>
      <c r="H105" s="143">
        <v>1029</v>
      </c>
      <c r="I105" s="145">
        <v>2569</v>
      </c>
      <c r="J105" s="146">
        <v>3430</v>
      </c>
      <c r="K105" s="147">
        <v>0.74897959183673468</v>
      </c>
      <c r="L105" s="148">
        <v>0</v>
      </c>
      <c r="M105" s="149">
        <v>13</v>
      </c>
      <c r="N105" s="150">
        <v>5.7613814756671898E-2</v>
      </c>
    </row>
    <row r="106" spans="1:14" ht="12.75" customHeight="1">
      <c r="A106" s="151" t="s">
        <v>360</v>
      </c>
      <c r="B106" s="152" t="s">
        <v>472</v>
      </c>
      <c r="C106" s="152" t="s">
        <v>473</v>
      </c>
      <c r="D106" s="152" t="s">
        <v>475</v>
      </c>
      <c r="E106" s="153">
        <v>39407</v>
      </c>
      <c r="F106" s="152">
        <v>41083</v>
      </c>
      <c r="G106" s="152">
        <v>0</v>
      </c>
      <c r="H106" s="152">
        <v>3012</v>
      </c>
      <c r="I106" s="154">
        <v>11260</v>
      </c>
      <c r="J106" s="155">
        <v>10040</v>
      </c>
      <c r="K106" s="147">
        <v>1.1215139442231075</v>
      </c>
      <c r="L106" s="148">
        <v>0</v>
      </c>
      <c r="M106" s="149">
        <v>15</v>
      </c>
      <c r="N106" s="150">
        <v>7.4767596281540491E-2</v>
      </c>
    </row>
    <row r="107" spans="1:14" ht="12.75" customHeight="1">
      <c r="A107" s="151" t="s">
        <v>360</v>
      </c>
      <c r="B107" s="152" t="s">
        <v>472</v>
      </c>
      <c r="C107" s="152" t="s">
        <v>473</v>
      </c>
      <c r="D107" s="152" t="s">
        <v>476</v>
      </c>
      <c r="E107" s="153">
        <v>39447</v>
      </c>
      <c r="F107" s="152">
        <v>27383</v>
      </c>
      <c r="G107" s="152">
        <v>0</v>
      </c>
      <c r="H107" s="152">
        <v>1872</v>
      </c>
      <c r="I107" s="154">
        <v>5600</v>
      </c>
      <c r="J107" s="155">
        <v>6240</v>
      </c>
      <c r="K107" s="147">
        <v>0.89743589743589747</v>
      </c>
      <c r="L107" s="148">
        <v>0</v>
      </c>
      <c r="M107" s="149">
        <v>20</v>
      </c>
      <c r="N107" s="150">
        <v>4.4871794871794872E-2</v>
      </c>
    </row>
    <row r="108" spans="1:14" ht="12.75" customHeight="1">
      <c r="A108" s="151" t="s">
        <v>360</v>
      </c>
      <c r="B108" s="152" t="s">
        <v>472</v>
      </c>
      <c r="C108" s="152" t="s">
        <v>473</v>
      </c>
      <c r="D108" s="152" t="s">
        <v>477</v>
      </c>
      <c r="E108" s="153">
        <v>39447</v>
      </c>
      <c r="F108" s="152">
        <v>7410</v>
      </c>
      <c r="G108" s="152">
        <v>0</v>
      </c>
      <c r="H108" s="152">
        <v>1004.4</v>
      </c>
      <c r="I108" s="154">
        <v>4000</v>
      </c>
      <c r="J108" s="155">
        <v>3348</v>
      </c>
      <c r="K108" s="147">
        <v>1.1947431302270013</v>
      </c>
      <c r="L108" s="148">
        <v>0</v>
      </c>
      <c r="M108" s="149">
        <v>8</v>
      </c>
      <c r="N108" s="150">
        <v>0.14934289127837516</v>
      </c>
    </row>
    <row r="109" spans="1:14" ht="12.75" customHeight="1" thickBot="1">
      <c r="A109" s="156" t="s">
        <v>360</v>
      </c>
      <c r="B109" s="157" t="s">
        <v>472</v>
      </c>
      <c r="C109" s="157" t="s">
        <v>473</v>
      </c>
      <c r="D109" s="157" t="s">
        <v>478</v>
      </c>
      <c r="E109" s="158">
        <v>39447</v>
      </c>
      <c r="F109" s="157">
        <v>19809</v>
      </c>
      <c r="G109" s="157">
        <v>0</v>
      </c>
      <c r="H109" s="157">
        <v>1500</v>
      </c>
      <c r="I109" s="159">
        <v>2396.5</v>
      </c>
      <c r="J109" s="160">
        <v>5000</v>
      </c>
      <c r="K109" s="147">
        <v>0.4793</v>
      </c>
      <c r="L109" s="162">
        <v>0</v>
      </c>
      <c r="M109" s="163">
        <v>15</v>
      </c>
      <c r="N109" s="150">
        <v>3.1953333333333334E-2</v>
      </c>
    </row>
    <row r="110" spans="1:14">
      <c r="K110" s="150">
        <f>SUMPRODUCT(J105:J109,K105:K109)/SUM(J105:J109)</f>
        <v>0.92043267517285621</v>
      </c>
      <c r="M110" s="166">
        <f>SUMPRODUCT(J105:J109,M105:M109)/SUM(J105:J109)</f>
        <v>15.032218974980397</v>
      </c>
    </row>
    <row r="115" spans="3:11">
      <c r="C115" s="167" t="s">
        <v>32</v>
      </c>
      <c r="I115" s="168" t="s">
        <v>479</v>
      </c>
      <c r="J115" s="169" t="s">
        <v>359</v>
      </c>
    </row>
    <row r="116" spans="3:11">
      <c r="C116" s="170" t="s">
        <v>362</v>
      </c>
      <c r="I116" s="168"/>
      <c r="J116" s="169"/>
    </row>
    <row r="117" spans="3:11">
      <c r="C117" s="171" t="s">
        <v>480</v>
      </c>
      <c r="I117" s="172">
        <f>AVERAGE($K$2:$K$46)</f>
        <v>1.4465643284921073</v>
      </c>
      <c r="J117" s="172">
        <f>AVERAGE($N$2:$N$46)</f>
        <v>4.9613185480812137E-2</v>
      </c>
      <c r="K117" s="150"/>
    </row>
    <row r="118" spans="3:11">
      <c r="C118" s="171" t="s">
        <v>481</v>
      </c>
      <c r="I118" s="172">
        <f>MEDIAN($K$2:$K$46)</f>
        <v>0.7829181494661922</v>
      </c>
      <c r="J118" s="173">
        <f>MEDIAN($N$2:$N$46)</f>
        <v>2.8683266599933265E-2</v>
      </c>
    </row>
    <row r="119" spans="3:11">
      <c r="C119" s="174" t="s">
        <v>409</v>
      </c>
      <c r="I119" s="168"/>
      <c r="J119" s="169"/>
    </row>
    <row r="120" spans="3:11">
      <c r="C120" s="171" t="s">
        <v>480</v>
      </c>
      <c r="D120" s="150">
        <v>1.4465643284921073</v>
      </c>
      <c r="E120" s="150">
        <v>4.9613185480812137E-2</v>
      </c>
      <c r="I120" s="172">
        <f>AVERAGE($K$47:$K$57)</f>
        <v>0.67850091838432958</v>
      </c>
      <c r="J120" s="172">
        <f>AVERAGE($N$47:$N$57)</f>
        <v>2.3196289369523768E-2</v>
      </c>
    </row>
    <row r="121" spans="3:11">
      <c r="C121" s="171" t="s">
        <v>481</v>
      </c>
      <c r="D121" s="150">
        <v>0.7829181494661922</v>
      </c>
      <c r="E121" s="150">
        <v>2.8683266599933265E-2</v>
      </c>
      <c r="I121" s="172">
        <f>MEDIAN($K$47:$K$57)</f>
        <v>0.70833333333333337</v>
      </c>
      <c r="J121" s="172">
        <f>MEDIAN($N$47:$N$57)</f>
        <v>2.3611111111111114E-2</v>
      </c>
    </row>
    <row r="122" spans="3:11">
      <c r="C122" s="174" t="s">
        <v>422</v>
      </c>
      <c r="I122" s="168"/>
      <c r="J122" s="169"/>
    </row>
    <row r="123" spans="3:11">
      <c r="C123" s="171" t="s">
        <v>480</v>
      </c>
      <c r="D123" s="150">
        <v>0.67850091838432958</v>
      </c>
      <c r="E123" s="150">
        <v>2.3196289369523768E-2</v>
      </c>
      <c r="I123" s="172">
        <f>AVERAGE($K$58:$K$99)</f>
        <v>1.6246377507725556</v>
      </c>
      <c r="J123" s="172">
        <f>AVERAGE($N$58:$N$99)</f>
        <v>6.5815740430020336E-2</v>
      </c>
    </row>
    <row r="124" spans="3:11">
      <c r="C124" s="171" t="s">
        <v>481</v>
      </c>
      <c r="D124" s="150">
        <v>0.70833333333333337</v>
      </c>
      <c r="E124" s="150">
        <v>2.3611111111111114E-2</v>
      </c>
      <c r="I124" s="172">
        <f>MEDIAN($K$58:$K$99)</f>
        <v>1.374451235141311</v>
      </c>
      <c r="J124" s="173">
        <f>MEDIAN($N$58:$N$99)</f>
        <v>5.4634209648641865E-2</v>
      </c>
    </row>
    <row r="125" spans="3:11">
      <c r="C125" s="174" t="s">
        <v>466</v>
      </c>
      <c r="I125" s="168"/>
      <c r="J125" s="169"/>
    </row>
    <row r="126" spans="3:11">
      <c r="C126" s="171" t="s">
        <v>480</v>
      </c>
      <c r="I126" s="172">
        <f>AVERAGE($K$100:$K$104)</f>
        <v>1.1766364298650871</v>
      </c>
      <c r="J126" s="172">
        <f>AVERAGE($N$100:$N$104)</f>
        <v>4.5439867969014253E-2</v>
      </c>
    </row>
    <row r="127" spans="3:11">
      <c r="C127" s="171" t="s">
        <v>481</v>
      </c>
      <c r="I127" s="172">
        <f>MEDIAN($K$100:$K$104)</f>
        <v>1.1709646609360076</v>
      </c>
      <c r="J127" s="172">
        <f>MEDIAN($N$100:$N$104)</f>
        <v>4.5438596491228077E-2</v>
      </c>
    </row>
    <row r="128" spans="3:11">
      <c r="C128" s="174" t="s">
        <v>473</v>
      </c>
      <c r="I128" s="168"/>
      <c r="J128" s="169"/>
    </row>
    <row r="129" spans="2:11">
      <c r="C129" s="171" t="s">
        <v>480</v>
      </c>
      <c r="D129" s="150">
        <v>1.1766364298650871</v>
      </c>
      <c r="E129" s="150">
        <v>4.5439867969014253E-2</v>
      </c>
      <c r="I129" s="172">
        <f>AVERAGE($K$105:$K$109)</f>
        <v>0.88839451274454828</v>
      </c>
      <c r="J129" s="173">
        <f>AVERAGE($N$105:$N$109)</f>
        <v>7.170988610434316E-2</v>
      </c>
    </row>
    <row r="130" spans="2:11">
      <c r="C130" s="171" t="s">
        <v>481</v>
      </c>
      <c r="D130" s="150">
        <v>1.1709646609360076</v>
      </c>
      <c r="E130" s="150">
        <v>4.5438596491228077E-2</v>
      </c>
      <c r="I130" s="172">
        <f>MEDIAN($K$105:$K$109)</f>
        <v>0.89743589743589747</v>
      </c>
      <c r="J130" s="175">
        <f>MEDIAN($N$105:$N$109)</f>
        <v>5.7613814756671898E-2</v>
      </c>
    </row>
    <row r="131" spans="2:11" ht="13.5" thickBot="1"/>
    <row r="132" spans="2:11">
      <c r="C132" s="176"/>
      <c r="D132" s="177"/>
      <c r="E132" s="177"/>
      <c r="F132" s="177"/>
      <c r="G132" s="177"/>
      <c r="H132" s="177"/>
      <c r="I132" s="178"/>
      <c r="J132" s="179" t="s">
        <v>482</v>
      </c>
      <c r="K132" s="180">
        <v>1.0780000000000001</v>
      </c>
    </row>
    <row r="133" spans="2:11">
      <c r="C133" s="181" t="s">
        <v>57</v>
      </c>
      <c r="D133" s="182"/>
      <c r="E133" s="182"/>
      <c r="F133" s="182"/>
      <c r="G133" s="182"/>
      <c r="H133" s="182"/>
      <c r="I133" s="183" t="s">
        <v>483</v>
      </c>
      <c r="J133" s="184" t="s">
        <v>484</v>
      </c>
      <c r="K133" s="185" t="s">
        <v>490</v>
      </c>
    </row>
    <row r="134" spans="2:11">
      <c r="C134" s="186" t="s">
        <v>218</v>
      </c>
      <c r="D134" s="170"/>
      <c r="E134" s="170"/>
      <c r="F134" s="170"/>
      <c r="G134" s="170"/>
      <c r="H134" s="170"/>
      <c r="I134" s="187">
        <v>19</v>
      </c>
      <c r="J134" s="169">
        <f>I134*J$118</f>
        <v>0.54498206539873206</v>
      </c>
      <c r="K134" s="188">
        <f>J134*K$132</f>
        <v>0.58749066649983317</v>
      </c>
    </row>
    <row r="135" spans="2:11">
      <c r="C135" s="186" t="s">
        <v>485</v>
      </c>
      <c r="D135" s="170"/>
      <c r="E135" s="170"/>
      <c r="F135" s="170"/>
      <c r="G135" s="170"/>
      <c r="H135" s="170"/>
      <c r="I135" s="187">
        <v>11</v>
      </c>
      <c r="J135" s="169">
        <f>I135*J$118</f>
        <v>0.31551593259926591</v>
      </c>
      <c r="K135" s="188">
        <f>J135*K$132</f>
        <v>0.34012617534200867</v>
      </c>
    </row>
    <row r="136" spans="2:11">
      <c r="C136" s="186" t="s">
        <v>486</v>
      </c>
      <c r="D136" s="170"/>
      <c r="E136" s="170"/>
      <c r="F136" s="170"/>
      <c r="G136" s="170"/>
      <c r="H136" s="170"/>
      <c r="I136" s="187">
        <v>8</v>
      </c>
      <c r="J136" s="169">
        <f>I136*J$118</f>
        <v>0.22946613279946612</v>
      </c>
      <c r="K136" s="188">
        <f>J136*K$132</f>
        <v>0.2473644911578245</v>
      </c>
    </row>
    <row r="137" spans="2:11">
      <c r="C137" s="186" t="s">
        <v>487</v>
      </c>
      <c r="D137" s="170"/>
      <c r="E137" s="170"/>
      <c r="F137" s="170"/>
      <c r="G137" s="170"/>
      <c r="H137" s="170"/>
      <c r="I137" s="187">
        <f>49-38</f>
        <v>11</v>
      </c>
      <c r="J137" s="169">
        <f>I137*J$118</f>
        <v>0.31551593259926591</v>
      </c>
      <c r="K137" s="188">
        <f>J137*K$132</f>
        <v>0.34012617534200867</v>
      </c>
    </row>
    <row r="138" spans="2:11">
      <c r="C138" s="186" t="s">
        <v>56</v>
      </c>
      <c r="D138" s="170"/>
      <c r="E138" s="170"/>
      <c r="F138" s="170"/>
      <c r="G138" s="170"/>
      <c r="H138" s="170"/>
      <c r="I138" s="187"/>
      <c r="J138" s="169"/>
      <c r="K138" s="189"/>
    </row>
    <row r="139" spans="2:11">
      <c r="C139" s="186" t="s">
        <v>218</v>
      </c>
      <c r="D139" s="170"/>
      <c r="E139" s="170"/>
      <c r="F139" s="170"/>
      <c r="G139" s="170"/>
      <c r="H139" s="170"/>
      <c r="I139" s="187">
        <v>19</v>
      </c>
      <c r="J139" s="169">
        <f>I139*J$124</f>
        <v>1.0380499833241954</v>
      </c>
      <c r="K139" s="188">
        <f>J139*K$132</f>
        <v>1.1190178820234826</v>
      </c>
    </row>
    <row r="140" spans="2:11">
      <c r="C140" s="186" t="s">
        <v>485</v>
      </c>
      <c r="D140" s="170"/>
      <c r="E140" s="170"/>
      <c r="F140" s="170"/>
      <c r="G140" s="170"/>
      <c r="H140" s="170"/>
      <c r="I140" s="187">
        <f>30-19</f>
        <v>11</v>
      </c>
      <c r="J140" s="169">
        <f>I140*J$124</f>
        <v>0.60097630613506048</v>
      </c>
      <c r="K140" s="188">
        <f>J140*K$132</f>
        <v>0.64785245801359526</v>
      </c>
    </row>
    <row r="141" spans="2:11">
      <c r="C141" s="186" t="s">
        <v>486</v>
      </c>
      <c r="D141" s="170"/>
      <c r="E141" s="170"/>
      <c r="F141" s="170"/>
      <c r="G141" s="170"/>
      <c r="H141" s="170"/>
      <c r="I141" s="187">
        <v>8</v>
      </c>
      <c r="J141" s="169">
        <f>I141*J$124</f>
        <v>0.43707367718913492</v>
      </c>
      <c r="K141" s="188">
        <f>J141*K$132</f>
        <v>0.47116542400988748</v>
      </c>
    </row>
    <row r="142" spans="2:11">
      <c r="C142" s="186" t="s">
        <v>62</v>
      </c>
      <c r="D142" s="170"/>
      <c r="E142" s="170"/>
      <c r="F142" s="170"/>
      <c r="G142" s="170"/>
      <c r="H142" s="170"/>
      <c r="I142" s="187"/>
      <c r="J142" s="169"/>
      <c r="K142" s="189"/>
    </row>
    <row r="143" spans="2:11" ht="13.5" thickBot="1">
      <c r="B143" s="190" t="s">
        <v>488</v>
      </c>
      <c r="C143" s="191" t="s">
        <v>489</v>
      </c>
      <c r="D143" s="192"/>
      <c r="E143" s="192"/>
      <c r="F143" s="192"/>
      <c r="G143" s="192"/>
      <c r="H143" s="192"/>
      <c r="I143" s="193">
        <v>15</v>
      </c>
      <c r="J143" s="194">
        <f>K110</f>
        <v>0.92043267517285621</v>
      </c>
      <c r="K143" s="195">
        <f>J143*K$132</f>
        <v>0.99222642383633908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5" tint="0.79998168889431442"/>
  </sheetPr>
  <dimension ref="A1:S134"/>
  <sheetViews>
    <sheetView topLeftCell="D83" workbookViewId="0">
      <selection activeCell="I152" sqref="I152"/>
    </sheetView>
  </sheetViews>
  <sheetFormatPr defaultRowHeight="12.75"/>
  <cols>
    <col min="1" max="1" width="15.85546875" style="141" customWidth="1"/>
    <col min="2" max="2" width="16.5703125" style="141" bestFit="1" customWidth="1"/>
    <col min="3" max="3" width="52.7109375" style="141" bestFit="1" customWidth="1"/>
    <col min="4" max="4" width="13.7109375" style="141" bestFit="1" customWidth="1"/>
    <col min="5" max="5" width="14.140625" style="141" bestFit="1" customWidth="1"/>
    <col min="6" max="6" width="13.140625" style="141" bestFit="1" customWidth="1"/>
    <col min="7" max="7" width="15.140625" style="141" customWidth="1"/>
    <col min="8" max="8" width="15.28515625" style="164" bestFit="1" customWidth="1"/>
    <col min="9" max="9" width="11.42578125" style="141" customWidth="1"/>
    <col min="10" max="10" width="16.7109375" style="141" customWidth="1"/>
    <col min="11" max="11" width="15.7109375" style="164" bestFit="1" customWidth="1"/>
    <col min="12" max="12" width="14.140625" style="141" customWidth="1"/>
    <col min="13" max="13" width="14.85546875" style="141" customWidth="1"/>
    <col min="14" max="14" width="9.7109375" style="165" customWidth="1"/>
    <col min="15" max="15" width="8.140625" style="141" customWidth="1"/>
    <col min="16" max="18" width="9.140625" style="141"/>
    <col min="19" max="19" width="9.140625" style="165"/>
    <col min="20" max="256" width="9.140625" style="141"/>
    <col min="257" max="257" width="15.85546875" style="141" customWidth="1"/>
    <col min="258" max="258" width="16.5703125" style="141" bestFit="1" customWidth="1"/>
    <col min="259" max="259" width="52.7109375" style="141" bestFit="1" customWidth="1"/>
    <col min="260" max="260" width="13.7109375" style="141" bestFit="1" customWidth="1"/>
    <col min="261" max="261" width="14.140625" style="141" bestFit="1" customWidth="1"/>
    <col min="262" max="262" width="13.140625" style="141" bestFit="1" customWidth="1"/>
    <col min="263" max="263" width="15.140625" style="141" customWidth="1"/>
    <col min="264" max="264" width="15.28515625" style="141" bestFit="1" customWidth="1"/>
    <col min="265" max="265" width="11.42578125" style="141" customWidth="1"/>
    <col min="266" max="266" width="16.7109375" style="141" customWidth="1"/>
    <col min="267" max="267" width="15.7109375" style="141" bestFit="1" customWidth="1"/>
    <col min="268" max="268" width="14.140625" style="141" customWidth="1"/>
    <col min="269" max="269" width="14.85546875" style="141" customWidth="1"/>
    <col min="270" max="270" width="9.7109375" style="141" customWidth="1"/>
    <col min="271" max="271" width="8.140625" style="141" customWidth="1"/>
    <col min="272" max="512" width="9.140625" style="141"/>
    <col min="513" max="513" width="15.85546875" style="141" customWidth="1"/>
    <col min="514" max="514" width="16.5703125" style="141" bestFit="1" customWidth="1"/>
    <col min="515" max="515" width="52.7109375" style="141" bestFit="1" customWidth="1"/>
    <col min="516" max="516" width="13.7109375" style="141" bestFit="1" customWidth="1"/>
    <col min="517" max="517" width="14.140625" style="141" bestFit="1" customWidth="1"/>
    <col min="518" max="518" width="13.140625" style="141" bestFit="1" customWidth="1"/>
    <col min="519" max="519" width="15.140625" style="141" customWidth="1"/>
    <col min="520" max="520" width="15.28515625" style="141" bestFit="1" customWidth="1"/>
    <col min="521" max="521" width="11.42578125" style="141" customWidth="1"/>
    <col min="522" max="522" width="16.7109375" style="141" customWidth="1"/>
    <col min="523" max="523" width="15.7109375" style="141" bestFit="1" customWidth="1"/>
    <col min="524" max="524" width="14.140625" style="141" customWidth="1"/>
    <col min="525" max="525" width="14.85546875" style="141" customWidth="1"/>
    <col min="526" max="526" width="9.7109375" style="141" customWidth="1"/>
    <col min="527" max="527" width="8.140625" style="141" customWidth="1"/>
    <col min="528" max="768" width="9.140625" style="141"/>
    <col min="769" max="769" width="15.85546875" style="141" customWidth="1"/>
    <col min="770" max="770" width="16.5703125" style="141" bestFit="1" customWidth="1"/>
    <col min="771" max="771" width="52.7109375" style="141" bestFit="1" customWidth="1"/>
    <col min="772" max="772" width="13.7109375" style="141" bestFit="1" customWidth="1"/>
    <col min="773" max="773" width="14.140625" style="141" bestFit="1" customWidth="1"/>
    <col min="774" max="774" width="13.140625" style="141" bestFit="1" customWidth="1"/>
    <col min="775" max="775" width="15.140625" style="141" customWidth="1"/>
    <col min="776" max="776" width="15.28515625" style="141" bestFit="1" customWidth="1"/>
    <col min="777" max="777" width="11.42578125" style="141" customWidth="1"/>
    <col min="778" max="778" width="16.7109375" style="141" customWidth="1"/>
    <col min="779" max="779" width="15.7109375" style="141" bestFit="1" customWidth="1"/>
    <col min="780" max="780" width="14.140625" style="141" customWidth="1"/>
    <col min="781" max="781" width="14.85546875" style="141" customWidth="1"/>
    <col min="782" max="782" width="9.7109375" style="141" customWidth="1"/>
    <col min="783" max="783" width="8.140625" style="141" customWidth="1"/>
    <col min="784" max="1024" width="9.140625" style="141"/>
    <col min="1025" max="1025" width="15.85546875" style="141" customWidth="1"/>
    <col min="1026" max="1026" width="16.5703125" style="141" bestFit="1" customWidth="1"/>
    <col min="1027" max="1027" width="52.7109375" style="141" bestFit="1" customWidth="1"/>
    <col min="1028" max="1028" width="13.7109375" style="141" bestFit="1" customWidth="1"/>
    <col min="1029" max="1029" width="14.140625" style="141" bestFit="1" customWidth="1"/>
    <col min="1030" max="1030" width="13.140625" style="141" bestFit="1" customWidth="1"/>
    <col min="1031" max="1031" width="15.140625" style="141" customWidth="1"/>
    <col min="1032" max="1032" width="15.28515625" style="141" bestFit="1" customWidth="1"/>
    <col min="1033" max="1033" width="11.42578125" style="141" customWidth="1"/>
    <col min="1034" max="1034" width="16.7109375" style="141" customWidth="1"/>
    <col min="1035" max="1035" width="15.7109375" style="141" bestFit="1" customWidth="1"/>
    <col min="1036" max="1036" width="14.140625" style="141" customWidth="1"/>
    <col min="1037" max="1037" width="14.85546875" style="141" customWidth="1"/>
    <col min="1038" max="1038" width="9.7109375" style="141" customWidth="1"/>
    <col min="1039" max="1039" width="8.140625" style="141" customWidth="1"/>
    <col min="1040" max="1280" width="9.140625" style="141"/>
    <col min="1281" max="1281" width="15.85546875" style="141" customWidth="1"/>
    <col min="1282" max="1282" width="16.5703125" style="141" bestFit="1" customWidth="1"/>
    <col min="1283" max="1283" width="52.7109375" style="141" bestFit="1" customWidth="1"/>
    <col min="1284" max="1284" width="13.7109375" style="141" bestFit="1" customWidth="1"/>
    <col min="1285" max="1285" width="14.140625" style="141" bestFit="1" customWidth="1"/>
    <col min="1286" max="1286" width="13.140625" style="141" bestFit="1" customWidth="1"/>
    <col min="1287" max="1287" width="15.140625" style="141" customWidth="1"/>
    <col min="1288" max="1288" width="15.28515625" style="141" bestFit="1" customWidth="1"/>
    <col min="1289" max="1289" width="11.42578125" style="141" customWidth="1"/>
    <col min="1290" max="1290" width="16.7109375" style="141" customWidth="1"/>
    <col min="1291" max="1291" width="15.7109375" style="141" bestFit="1" customWidth="1"/>
    <col min="1292" max="1292" width="14.140625" style="141" customWidth="1"/>
    <col min="1293" max="1293" width="14.85546875" style="141" customWidth="1"/>
    <col min="1294" max="1294" width="9.7109375" style="141" customWidth="1"/>
    <col min="1295" max="1295" width="8.140625" style="141" customWidth="1"/>
    <col min="1296" max="1536" width="9.140625" style="141"/>
    <col min="1537" max="1537" width="15.85546875" style="141" customWidth="1"/>
    <col min="1538" max="1538" width="16.5703125" style="141" bestFit="1" customWidth="1"/>
    <col min="1539" max="1539" width="52.7109375" style="141" bestFit="1" customWidth="1"/>
    <col min="1540" max="1540" width="13.7109375" style="141" bestFit="1" customWidth="1"/>
    <col min="1541" max="1541" width="14.140625" style="141" bestFit="1" customWidth="1"/>
    <col min="1542" max="1542" width="13.140625" style="141" bestFit="1" customWidth="1"/>
    <col min="1543" max="1543" width="15.140625" style="141" customWidth="1"/>
    <col min="1544" max="1544" width="15.28515625" style="141" bestFit="1" customWidth="1"/>
    <col min="1545" max="1545" width="11.42578125" style="141" customWidth="1"/>
    <col min="1546" max="1546" width="16.7109375" style="141" customWidth="1"/>
    <col min="1547" max="1547" width="15.7109375" style="141" bestFit="1" customWidth="1"/>
    <col min="1548" max="1548" width="14.140625" style="141" customWidth="1"/>
    <col min="1549" max="1549" width="14.85546875" style="141" customWidth="1"/>
    <col min="1550" max="1550" width="9.7109375" style="141" customWidth="1"/>
    <col min="1551" max="1551" width="8.140625" style="141" customWidth="1"/>
    <col min="1552" max="1792" width="9.140625" style="141"/>
    <col min="1793" max="1793" width="15.85546875" style="141" customWidth="1"/>
    <col min="1794" max="1794" width="16.5703125" style="141" bestFit="1" customWidth="1"/>
    <col min="1795" max="1795" width="52.7109375" style="141" bestFit="1" customWidth="1"/>
    <col min="1796" max="1796" width="13.7109375" style="141" bestFit="1" customWidth="1"/>
    <col min="1797" max="1797" width="14.140625" style="141" bestFit="1" customWidth="1"/>
    <col min="1798" max="1798" width="13.140625" style="141" bestFit="1" customWidth="1"/>
    <col min="1799" max="1799" width="15.140625" style="141" customWidth="1"/>
    <col min="1800" max="1800" width="15.28515625" style="141" bestFit="1" customWidth="1"/>
    <col min="1801" max="1801" width="11.42578125" style="141" customWidth="1"/>
    <col min="1802" max="1802" width="16.7109375" style="141" customWidth="1"/>
    <col min="1803" max="1803" width="15.7109375" style="141" bestFit="1" customWidth="1"/>
    <col min="1804" max="1804" width="14.140625" style="141" customWidth="1"/>
    <col min="1805" max="1805" width="14.85546875" style="141" customWidth="1"/>
    <col min="1806" max="1806" width="9.7109375" style="141" customWidth="1"/>
    <col min="1807" max="1807" width="8.140625" style="141" customWidth="1"/>
    <col min="1808" max="2048" width="9.140625" style="141"/>
    <col min="2049" max="2049" width="15.85546875" style="141" customWidth="1"/>
    <col min="2050" max="2050" width="16.5703125" style="141" bestFit="1" customWidth="1"/>
    <col min="2051" max="2051" width="52.7109375" style="141" bestFit="1" customWidth="1"/>
    <col min="2052" max="2052" width="13.7109375" style="141" bestFit="1" customWidth="1"/>
    <col min="2053" max="2053" width="14.140625" style="141" bestFit="1" customWidth="1"/>
    <col min="2054" max="2054" width="13.140625" style="141" bestFit="1" customWidth="1"/>
    <col min="2055" max="2055" width="15.140625" style="141" customWidth="1"/>
    <col min="2056" max="2056" width="15.28515625" style="141" bestFit="1" customWidth="1"/>
    <col min="2057" max="2057" width="11.42578125" style="141" customWidth="1"/>
    <col min="2058" max="2058" width="16.7109375" style="141" customWidth="1"/>
    <col min="2059" max="2059" width="15.7109375" style="141" bestFit="1" customWidth="1"/>
    <col min="2060" max="2060" width="14.140625" style="141" customWidth="1"/>
    <col min="2061" max="2061" width="14.85546875" style="141" customWidth="1"/>
    <col min="2062" max="2062" width="9.7109375" style="141" customWidth="1"/>
    <col min="2063" max="2063" width="8.140625" style="141" customWidth="1"/>
    <col min="2064" max="2304" width="9.140625" style="141"/>
    <col min="2305" max="2305" width="15.85546875" style="141" customWidth="1"/>
    <col min="2306" max="2306" width="16.5703125" style="141" bestFit="1" customWidth="1"/>
    <col min="2307" max="2307" width="52.7109375" style="141" bestFit="1" customWidth="1"/>
    <col min="2308" max="2308" width="13.7109375" style="141" bestFit="1" customWidth="1"/>
    <col min="2309" max="2309" width="14.140625" style="141" bestFit="1" customWidth="1"/>
    <col min="2310" max="2310" width="13.140625" style="141" bestFit="1" customWidth="1"/>
    <col min="2311" max="2311" width="15.140625" style="141" customWidth="1"/>
    <col min="2312" max="2312" width="15.28515625" style="141" bestFit="1" customWidth="1"/>
    <col min="2313" max="2313" width="11.42578125" style="141" customWidth="1"/>
    <col min="2314" max="2314" width="16.7109375" style="141" customWidth="1"/>
    <col min="2315" max="2315" width="15.7109375" style="141" bestFit="1" customWidth="1"/>
    <col min="2316" max="2316" width="14.140625" style="141" customWidth="1"/>
    <col min="2317" max="2317" width="14.85546875" style="141" customWidth="1"/>
    <col min="2318" max="2318" width="9.7109375" style="141" customWidth="1"/>
    <col min="2319" max="2319" width="8.140625" style="141" customWidth="1"/>
    <col min="2320" max="2560" width="9.140625" style="141"/>
    <col min="2561" max="2561" width="15.85546875" style="141" customWidth="1"/>
    <col min="2562" max="2562" width="16.5703125" style="141" bestFit="1" customWidth="1"/>
    <col min="2563" max="2563" width="52.7109375" style="141" bestFit="1" customWidth="1"/>
    <col min="2564" max="2564" width="13.7109375" style="141" bestFit="1" customWidth="1"/>
    <col min="2565" max="2565" width="14.140625" style="141" bestFit="1" customWidth="1"/>
    <col min="2566" max="2566" width="13.140625" style="141" bestFit="1" customWidth="1"/>
    <col min="2567" max="2567" width="15.140625" style="141" customWidth="1"/>
    <col min="2568" max="2568" width="15.28515625" style="141" bestFit="1" customWidth="1"/>
    <col min="2569" max="2569" width="11.42578125" style="141" customWidth="1"/>
    <col min="2570" max="2570" width="16.7109375" style="141" customWidth="1"/>
    <col min="2571" max="2571" width="15.7109375" style="141" bestFit="1" customWidth="1"/>
    <col min="2572" max="2572" width="14.140625" style="141" customWidth="1"/>
    <col min="2573" max="2573" width="14.85546875" style="141" customWidth="1"/>
    <col min="2574" max="2574" width="9.7109375" style="141" customWidth="1"/>
    <col min="2575" max="2575" width="8.140625" style="141" customWidth="1"/>
    <col min="2576" max="2816" width="9.140625" style="141"/>
    <col min="2817" max="2817" width="15.85546875" style="141" customWidth="1"/>
    <col min="2818" max="2818" width="16.5703125" style="141" bestFit="1" customWidth="1"/>
    <col min="2819" max="2819" width="52.7109375" style="141" bestFit="1" customWidth="1"/>
    <col min="2820" max="2820" width="13.7109375" style="141" bestFit="1" customWidth="1"/>
    <col min="2821" max="2821" width="14.140625" style="141" bestFit="1" customWidth="1"/>
    <col min="2822" max="2822" width="13.140625" style="141" bestFit="1" customWidth="1"/>
    <col min="2823" max="2823" width="15.140625" style="141" customWidth="1"/>
    <col min="2824" max="2824" width="15.28515625" style="141" bestFit="1" customWidth="1"/>
    <col min="2825" max="2825" width="11.42578125" style="141" customWidth="1"/>
    <col min="2826" max="2826" width="16.7109375" style="141" customWidth="1"/>
    <col min="2827" max="2827" width="15.7109375" style="141" bestFit="1" customWidth="1"/>
    <col min="2828" max="2828" width="14.140625" style="141" customWidth="1"/>
    <col min="2829" max="2829" width="14.85546875" style="141" customWidth="1"/>
    <col min="2830" max="2830" width="9.7109375" style="141" customWidth="1"/>
    <col min="2831" max="2831" width="8.140625" style="141" customWidth="1"/>
    <col min="2832" max="3072" width="9.140625" style="141"/>
    <col min="3073" max="3073" width="15.85546875" style="141" customWidth="1"/>
    <col min="3074" max="3074" width="16.5703125" style="141" bestFit="1" customWidth="1"/>
    <col min="3075" max="3075" width="52.7109375" style="141" bestFit="1" customWidth="1"/>
    <col min="3076" max="3076" width="13.7109375" style="141" bestFit="1" customWidth="1"/>
    <col min="3077" max="3077" width="14.140625" style="141" bestFit="1" customWidth="1"/>
    <col min="3078" max="3078" width="13.140625" style="141" bestFit="1" customWidth="1"/>
    <col min="3079" max="3079" width="15.140625" style="141" customWidth="1"/>
    <col min="3080" max="3080" width="15.28515625" style="141" bestFit="1" customWidth="1"/>
    <col min="3081" max="3081" width="11.42578125" style="141" customWidth="1"/>
    <col min="3082" max="3082" width="16.7109375" style="141" customWidth="1"/>
    <col min="3083" max="3083" width="15.7109375" style="141" bestFit="1" customWidth="1"/>
    <col min="3084" max="3084" width="14.140625" style="141" customWidth="1"/>
    <col min="3085" max="3085" width="14.85546875" style="141" customWidth="1"/>
    <col min="3086" max="3086" width="9.7109375" style="141" customWidth="1"/>
    <col min="3087" max="3087" width="8.140625" style="141" customWidth="1"/>
    <col min="3088" max="3328" width="9.140625" style="141"/>
    <col min="3329" max="3329" width="15.85546875" style="141" customWidth="1"/>
    <col min="3330" max="3330" width="16.5703125" style="141" bestFit="1" customWidth="1"/>
    <col min="3331" max="3331" width="52.7109375" style="141" bestFit="1" customWidth="1"/>
    <col min="3332" max="3332" width="13.7109375" style="141" bestFit="1" customWidth="1"/>
    <col min="3333" max="3333" width="14.140625" style="141" bestFit="1" customWidth="1"/>
    <col min="3334" max="3334" width="13.140625" style="141" bestFit="1" customWidth="1"/>
    <col min="3335" max="3335" width="15.140625" style="141" customWidth="1"/>
    <col min="3336" max="3336" width="15.28515625" style="141" bestFit="1" customWidth="1"/>
    <col min="3337" max="3337" width="11.42578125" style="141" customWidth="1"/>
    <col min="3338" max="3338" width="16.7109375" style="141" customWidth="1"/>
    <col min="3339" max="3339" width="15.7109375" style="141" bestFit="1" customWidth="1"/>
    <col min="3340" max="3340" width="14.140625" style="141" customWidth="1"/>
    <col min="3341" max="3341" width="14.85546875" style="141" customWidth="1"/>
    <col min="3342" max="3342" width="9.7109375" style="141" customWidth="1"/>
    <col min="3343" max="3343" width="8.140625" style="141" customWidth="1"/>
    <col min="3344" max="3584" width="9.140625" style="141"/>
    <col min="3585" max="3585" width="15.85546875" style="141" customWidth="1"/>
    <col min="3586" max="3586" width="16.5703125" style="141" bestFit="1" customWidth="1"/>
    <col min="3587" max="3587" width="52.7109375" style="141" bestFit="1" customWidth="1"/>
    <col min="3588" max="3588" width="13.7109375" style="141" bestFit="1" customWidth="1"/>
    <col min="3589" max="3589" width="14.140625" style="141" bestFit="1" customWidth="1"/>
    <col min="3590" max="3590" width="13.140625" style="141" bestFit="1" customWidth="1"/>
    <col min="3591" max="3591" width="15.140625" style="141" customWidth="1"/>
    <col min="3592" max="3592" width="15.28515625" style="141" bestFit="1" customWidth="1"/>
    <col min="3593" max="3593" width="11.42578125" style="141" customWidth="1"/>
    <col min="3594" max="3594" width="16.7109375" style="141" customWidth="1"/>
    <col min="3595" max="3595" width="15.7109375" style="141" bestFit="1" customWidth="1"/>
    <col min="3596" max="3596" width="14.140625" style="141" customWidth="1"/>
    <col min="3597" max="3597" width="14.85546875" style="141" customWidth="1"/>
    <col min="3598" max="3598" width="9.7109375" style="141" customWidth="1"/>
    <col min="3599" max="3599" width="8.140625" style="141" customWidth="1"/>
    <col min="3600" max="3840" width="9.140625" style="141"/>
    <col min="3841" max="3841" width="15.85546875" style="141" customWidth="1"/>
    <col min="3842" max="3842" width="16.5703125" style="141" bestFit="1" customWidth="1"/>
    <col min="3843" max="3843" width="52.7109375" style="141" bestFit="1" customWidth="1"/>
    <col min="3844" max="3844" width="13.7109375" style="141" bestFit="1" customWidth="1"/>
    <col min="3845" max="3845" width="14.140625" style="141" bestFit="1" customWidth="1"/>
    <col min="3846" max="3846" width="13.140625" style="141" bestFit="1" customWidth="1"/>
    <col min="3847" max="3847" width="15.140625" style="141" customWidth="1"/>
    <col min="3848" max="3848" width="15.28515625" style="141" bestFit="1" customWidth="1"/>
    <col min="3849" max="3849" width="11.42578125" style="141" customWidth="1"/>
    <col min="3850" max="3850" width="16.7109375" style="141" customWidth="1"/>
    <col min="3851" max="3851" width="15.7109375" style="141" bestFit="1" customWidth="1"/>
    <col min="3852" max="3852" width="14.140625" style="141" customWidth="1"/>
    <col min="3853" max="3853" width="14.85546875" style="141" customWidth="1"/>
    <col min="3854" max="3854" width="9.7109375" style="141" customWidth="1"/>
    <col min="3855" max="3855" width="8.140625" style="141" customWidth="1"/>
    <col min="3856" max="4096" width="9.140625" style="141"/>
    <col min="4097" max="4097" width="15.85546875" style="141" customWidth="1"/>
    <col min="4098" max="4098" width="16.5703125" style="141" bestFit="1" customWidth="1"/>
    <col min="4099" max="4099" width="52.7109375" style="141" bestFit="1" customWidth="1"/>
    <col min="4100" max="4100" width="13.7109375" style="141" bestFit="1" customWidth="1"/>
    <col min="4101" max="4101" width="14.140625" style="141" bestFit="1" customWidth="1"/>
    <col min="4102" max="4102" width="13.140625" style="141" bestFit="1" customWidth="1"/>
    <col min="4103" max="4103" width="15.140625" style="141" customWidth="1"/>
    <col min="4104" max="4104" width="15.28515625" style="141" bestFit="1" customWidth="1"/>
    <col min="4105" max="4105" width="11.42578125" style="141" customWidth="1"/>
    <col min="4106" max="4106" width="16.7109375" style="141" customWidth="1"/>
    <col min="4107" max="4107" width="15.7109375" style="141" bestFit="1" customWidth="1"/>
    <col min="4108" max="4108" width="14.140625" style="141" customWidth="1"/>
    <col min="4109" max="4109" width="14.85546875" style="141" customWidth="1"/>
    <col min="4110" max="4110" width="9.7109375" style="141" customWidth="1"/>
    <col min="4111" max="4111" width="8.140625" style="141" customWidth="1"/>
    <col min="4112" max="4352" width="9.140625" style="141"/>
    <col min="4353" max="4353" width="15.85546875" style="141" customWidth="1"/>
    <col min="4354" max="4354" width="16.5703125" style="141" bestFit="1" customWidth="1"/>
    <col min="4355" max="4355" width="52.7109375" style="141" bestFit="1" customWidth="1"/>
    <col min="4356" max="4356" width="13.7109375" style="141" bestFit="1" customWidth="1"/>
    <col min="4357" max="4357" width="14.140625" style="141" bestFit="1" customWidth="1"/>
    <col min="4358" max="4358" width="13.140625" style="141" bestFit="1" customWidth="1"/>
    <col min="4359" max="4359" width="15.140625" style="141" customWidth="1"/>
    <col min="4360" max="4360" width="15.28515625" style="141" bestFit="1" customWidth="1"/>
    <col min="4361" max="4361" width="11.42578125" style="141" customWidth="1"/>
    <col min="4362" max="4362" width="16.7109375" style="141" customWidth="1"/>
    <col min="4363" max="4363" width="15.7109375" style="141" bestFit="1" customWidth="1"/>
    <col min="4364" max="4364" width="14.140625" style="141" customWidth="1"/>
    <col min="4365" max="4365" width="14.85546875" style="141" customWidth="1"/>
    <col min="4366" max="4366" width="9.7109375" style="141" customWidth="1"/>
    <col min="4367" max="4367" width="8.140625" style="141" customWidth="1"/>
    <col min="4368" max="4608" width="9.140625" style="141"/>
    <col min="4609" max="4609" width="15.85546875" style="141" customWidth="1"/>
    <col min="4610" max="4610" width="16.5703125" style="141" bestFit="1" customWidth="1"/>
    <col min="4611" max="4611" width="52.7109375" style="141" bestFit="1" customWidth="1"/>
    <col min="4612" max="4612" width="13.7109375" style="141" bestFit="1" customWidth="1"/>
    <col min="4613" max="4613" width="14.140625" style="141" bestFit="1" customWidth="1"/>
    <col min="4614" max="4614" width="13.140625" style="141" bestFit="1" customWidth="1"/>
    <col min="4615" max="4615" width="15.140625" style="141" customWidth="1"/>
    <col min="4616" max="4616" width="15.28515625" style="141" bestFit="1" customWidth="1"/>
    <col min="4617" max="4617" width="11.42578125" style="141" customWidth="1"/>
    <col min="4618" max="4618" width="16.7109375" style="141" customWidth="1"/>
    <col min="4619" max="4619" width="15.7109375" style="141" bestFit="1" customWidth="1"/>
    <col min="4620" max="4620" width="14.140625" style="141" customWidth="1"/>
    <col min="4621" max="4621" width="14.85546875" style="141" customWidth="1"/>
    <col min="4622" max="4622" width="9.7109375" style="141" customWidth="1"/>
    <col min="4623" max="4623" width="8.140625" style="141" customWidth="1"/>
    <col min="4624" max="4864" width="9.140625" style="141"/>
    <col min="4865" max="4865" width="15.85546875" style="141" customWidth="1"/>
    <col min="4866" max="4866" width="16.5703125" style="141" bestFit="1" customWidth="1"/>
    <col min="4867" max="4867" width="52.7109375" style="141" bestFit="1" customWidth="1"/>
    <col min="4868" max="4868" width="13.7109375" style="141" bestFit="1" customWidth="1"/>
    <col min="4869" max="4869" width="14.140625" style="141" bestFit="1" customWidth="1"/>
    <col min="4870" max="4870" width="13.140625" style="141" bestFit="1" customWidth="1"/>
    <col min="4871" max="4871" width="15.140625" style="141" customWidth="1"/>
    <col min="4872" max="4872" width="15.28515625" style="141" bestFit="1" customWidth="1"/>
    <col min="4873" max="4873" width="11.42578125" style="141" customWidth="1"/>
    <col min="4874" max="4874" width="16.7109375" style="141" customWidth="1"/>
    <col min="4875" max="4875" width="15.7109375" style="141" bestFit="1" customWidth="1"/>
    <col min="4876" max="4876" width="14.140625" style="141" customWidth="1"/>
    <col min="4877" max="4877" width="14.85546875" style="141" customWidth="1"/>
    <col min="4878" max="4878" width="9.7109375" style="141" customWidth="1"/>
    <col min="4879" max="4879" width="8.140625" style="141" customWidth="1"/>
    <col min="4880" max="5120" width="9.140625" style="141"/>
    <col min="5121" max="5121" width="15.85546875" style="141" customWidth="1"/>
    <col min="5122" max="5122" width="16.5703125" style="141" bestFit="1" customWidth="1"/>
    <col min="5123" max="5123" width="52.7109375" style="141" bestFit="1" customWidth="1"/>
    <col min="5124" max="5124" width="13.7109375" style="141" bestFit="1" customWidth="1"/>
    <col min="5125" max="5125" width="14.140625" style="141" bestFit="1" customWidth="1"/>
    <col min="5126" max="5126" width="13.140625" style="141" bestFit="1" customWidth="1"/>
    <col min="5127" max="5127" width="15.140625" style="141" customWidth="1"/>
    <col min="5128" max="5128" width="15.28515625" style="141" bestFit="1" customWidth="1"/>
    <col min="5129" max="5129" width="11.42578125" style="141" customWidth="1"/>
    <col min="5130" max="5130" width="16.7109375" style="141" customWidth="1"/>
    <col min="5131" max="5131" width="15.7109375" style="141" bestFit="1" customWidth="1"/>
    <col min="5132" max="5132" width="14.140625" style="141" customWidth="1"/>
    <col min="5133" max="5133" width="14.85546875" style="141" customWidth="1"/>
    <col min="5134" max="5134" width="9.7109375" style="141" customWidth="1"/>
    <col min="5135" max="5135" width="8.140625" style="141" customWidth="1"/>
    <col min="5136" max="5376" width="9.140625" style="141"/>
    <col min="5377" max="5377" width="15.85546875" style="141" customWidth="1"/>
    <col min="5378" max="5378" width="16.5703125" style="141" bestFit="1" customWidth="1"/>
    <col min="5379" max="5379" width="52.7109375" style="141" bestFit="1" customWidth="1"/>
    <col min="5380" max="5380" width="13.7109375" style="141" bestFit="1" customWidth="1"/>
    <col min="5381" max="5381" width="14.140625" style="141" bestFit="1" customWidth="1"/>
    <col min="5382" max="5382" width="13.140625" style="141" bestFit="1" customWidth="1"/>
    <col min="5383" max="5383" width="15.140625" style="141" customWidth="1"/>
    <col min="5384" max="5384" width="15.28515625" style="141" bestFit="1" customWidth="1"/>
    <col min="5385" max="5385" width="11.42578125" style="141" customWidth="1"/>
    <col min="5386" max="5386" width="16.7109375" style="141" customWidth="1"/>
    <col min="5387" max="5387" width="15.7109375" style="141" bestFit="1" customWidth="1"/>
    <col min="5388" max="5388" width="14.140625" style="141" customWidth="1"/>
    <col min="5389" max="5389" width="14.85546875" style="141" customWidth="1"/>
    <col min="5390" max="5390" width="9.7109375" style="141" customWidth="1"/>
    <col min="5391" max="5391" width="8.140625" style="141" customWidth="1"/>
    <col min="5392" max="5632" width="9.140625" style="141"/>
    <col min="5633" max="5633" width="15.85546875" style="141" customWidth="1"/>
    <col min="5634" max="5634" width="16.5703125" style="141" bestFit="1" customWidth="1"/>
    <col min="5635" max="5635" width="52.7109375" style="141" bestFit="1" customWidth="1"/>
    <col min="5636" max="5636" width="13.7109375" style="141" bestFit="1" customWidth="1"/>
    <col min="5637" max="5637" width="14.140625" style="141" bestFit="1" customWidth="1"/>
    <col min="5638" max="5638" width="13.140625" style="141" bestFit="1" customWidth="1"/>
    <col min="5639" max="5639" width="15.140625" style="141" customWidth="1"/>
    <col min="5640" max="5640" width="15.28515625" style="141" bestFit="1" customWidth="1"/>
    <col min="5641" max="5641" width="11.42578125" style="141" customWidth="1"/>
    <col min="5642" max="5642" width="16.7109375" style="141" customWidth="1"/>
    <col min="5643" max="5643" width="15.7109375" style="141" bestFit="1" customWidth="1"/>
    <col min="5644" max="5644" width="14.140625" style="141" customWidth="1"/>
    <col min="5645" max="5645" width="14.85546875" style="141" customWidth="1"/>
    <col min="5646" max="5646" width="9.7109375" style="141" customWidth="1"/>
    <col min="5647" max="5647" width="8.140625" style="141" customWidth="1"/>
    <col min="5648" max="5888" width="9.140625" style="141"/>
    <col min="5889" max="5889" width="15.85546875" style="141" customWidth="1"/>
    <col min="5890" max="5890" width="16.5703125" style="141" bestFit="1" customWidth="1"/>
    <col min="5891" max="5891" width="52.7109375" style="141" bestFit="1" customWidth="1"/>
    <col min="5892" max="5892" width="13.7109375" style="141" bestFit="1" customWidth="1"/>
    <col min="5893" max="5893" width="14.140625" style="141" bestFit="1" customWidth="1"/>
    <col min="5894" max="5894" width="13.140625" style="141" bestFit="1" customWidth="1"/>
    <col min="5895" max="5895" width="15.140625" style="141" customWidth="1"/>
    <col min="5896" max="5896" width="15.28515625" style="141" bestFit="1" customWidth="1"/>
    <col min="5897" max="5897" width="11.42578125" style="141" customWidth="1"/>
    <col min="5898" max="5898" width="16.7109375" style="141" customWidth="1"/>
    <col min="5899" max="5899" width="15.7109375" style="141" bestFit="1" customWidth="1"/>
    <col min="5900" max="5900" width="14.140625" style="141" customWidth="1"/>
    <col min="5901" max="5901" width="14.85546875" style="141" customWidth="1"/>
    <col min="5902" max="5902" width="9.7109375" style="141" customWidth="1"/>
    <col min="5903" max="5903" width="8.140625" style="141" customWidth="1"/>
    <col min="5904" max="6144" width="9.140625" style="141"/>
    <col min="6145" max="6145" width="15.85546875" style="141" customWidth="1"/>
    <col min="6146" max="6146" width="16.5703125" style="141" bestFit="1" customWidth="1"/>
    <col min="6147" max="6147" width="52.7109375" style="141" bestFit="1" customWidth="1"/>
    <col min="6148" max="6148" width="13.7109375" style="141" bestFit="1" customWidth="1"/>
    <col min="6149" max="6149" width="14.140625" style="141" bestFit="1" customWidth="1"/>
    <col min="6150" max="6150" width="13.140625" style="141" bestFit="1" customWidth="1"/>
    <col min="6151" max="6151" width="15.140625" style="141" customWidth="1"/>
    <col min="6152" max="6152" width="15.28515625" style="141" bestFit="1" customWidth="1"/>
    <col min="6153" max="6153" width="11.42578125" style="141" customWidth="1"/>
    <col min="6154" max="6154" width="16.7109375" style="141" customWidth="1"/>
    <col min="6155" max="6155" width="15.7109375" style="141" bestFit="1" customWidth="1"/>
    <col min="6156" max="6156" width="14.140625" style="141" customWidth="1"/>
    <col min="6157" max="6157" width="14.85546875" style="141" customWidth="1"/>
    <col min="6158" max="6158" width="9.7109375" style="141" customWidth="1"/>
    <col min="6159" max="6159" width="8.140625" style="141" customWidth="1"/>
    <col min="6160" max="6400" width="9.140625" style="141"/>
    <col min="6401" max="6401" width="15.85546875" style="141" customWidth="1"/>
    <col min="6402" max="6402" width="16.5703125" style="141" bestFit="1" customWidth="1"/>
    <col min="6403" max="6403" width="52.7109375" style="141" bestFit="1" customWidth="1"/>
    <col min="6404" max="6404" width="13.7109375" style="141" bestFit="1" customWidth="1"/>
    <col min="6405" max="6405" width="14.140625" style="141" bestFit="1" customWidth="1"/>
    <col min="6406" max="6406" width="13.140625" style="141" bestFit="1" customWidth="1"/>
    <col min="6407" max="6407" width="15.140625" style="141" customWidth="1"/>
    <col min="6408" max="6408" width="15.28515625" style="141" bestFit="1" customWidth="1"/>
    <col min="6409" max="6409" width="11.42578125" style="141" customWidth="1"/>
    <col min="6410" max="6410" width="16.7109375" style="141" customWidth="1"/>
    <col min="6411" max="6411" width="15.7109375" style="141" bestFit="1" customWidth="1"/>
    <col min="6412" max="6412" width="14.140625" style="141" customWidth="1"/>
    <col min="6413" max="6413" width="14.85546875" style="141" customWidth="1"/>
    <col min="6414" max="6414" width="9.7109375" style="141" customWidth="1"/>
    <col min="6415" max="6415" width="8.140625" style="141" customWidth="1"/>
    <col min="6416" max="6656" width="9.140625" style="141"/>
    <col min="6657" max="6657" width="15.85546875" style="141" customWidth="1"/>
    <col min="6658" max="6658" width="16.5703125" style="141" bestFit="1" customWidth="1"/>
    <col min="6659" max="6659" width="52.7109375" style="141" bestFit="1" customWidth="1"/>
    <col min="6660" max="6660" width="13.7109375" style="141" bestFit="1" customWidth="1"/>
    <col min="6661" max="6661" width="14.140625" style="141" bestFit="1" customWidth="1"/>
    <col min="6662" max="6662" width="13.140625" style="141" bestFit="1" customWidth="1"/>
    <col min="6663" max="6663" width="15.140625" style="141" customWidth="1"/>
    <col min="6664" max="6664" width="15.28515625" style="141" bestFit="1" customWidth="1"/>
    <col min="6665" max="6665" width="11.42578125" style="141" customWidth="1"/>
    <col min="6666" max="6666" width="16.7109375" style="141" customWidth="1"/>
    <col min="6667" max="6667" width="15.7109375" style="141" bestFit="1" customWidth="1"/>
    <col min="6668" max="6668" width="14.140625" style="141" customWidth="1"/>
    <col min="6669" max="6669" width="14.85546875" style="141" customWidth="1"/>
    <col min="6670" max="6670" width="9.7109375" style="141" customWidth="1"/>
    <col min="6671" max="6671" width="8.140625" style="141" customWidth="1"/>
    <col min="6672" max="6912" width="9.140625" style="141"/>
    <col min="6913" max="6913" width="15.85546875" style="141" customWidth="1"/>
    <col min="6914" max="6914" width="16.5703125" style="141" bestFit="1" customWidth="1"/>
    <col min="6915" max="6915" width="52.7109375" style="141" bestFit="1" customWidth="1"/>
    <col min="6916" max="6916" width="13.7109375" style="141" bestFit="1" customWidth="1"/>
    <col min="6917" max="6917" width="14.140625" style="141" bestFit="1" customWidth="1"/>
    <col min="6918" max="6918" width="13.140625" style="141" bestFit="1" customWidth="1"/>
    <col min="6919" max="6919" width="15.140625" style="141" customWidth="1"/>
    <col min="6920" max="6920" width="15.28515625" style="141" bestFit="1" customWidth="1"/>
    <col min="6921" max="6921" width="11.42578125" style="141" customWidth="1"/>
    <col min="6922" max="6922" width="16.7109375" style="141" customWidth="1"/>
    <col min="6923" max="6923" width="15.7109375" style="141" bestFit="1" customWidth="1"/>
    <col min="6924" max="6924" width="14.140625" style="141" customWidth="1"/>
    <col min="6925" max="6925" width="14.85546875" style="141" customWidth="1"/>
    <col min="6926" max="6926" width="9.7109375" style="141" customWidth="1"/>
    <col min="6927" max="6927" width="8.140625" style="141" customWidth="1"/>
    <col min="6928" max="7168" width="9.140625" style="141"/>
    <col min="7169" max="7169" width="15.85546875" style="141" customWidth="1"/>
    <col min="7170" max="7170" width="16.5703125" style="141" bestFit="1" customWidth="1"/>
    <col min="7171" max="7171" width="52.7109375" style="141" bestFit="1" customWidth="1"/>
    <col min="7172" max="7172" width="13.7109375" style="141" bestFit="1" customWidth="1"/>
    <col min="7173" max="7173" width="14.140625" style="141" bestFit="1" customWidth="1"/>
    <col min="7174" max="7174" width="13.140625" style="141" bestFit="1" customWidth="1"/>
    <col min="7175" max="7175" width="15.140625" style="141" customWidth="1"/>
    <col min="7176" max="7176" width="15.28515625" style="141" bestFit="1" customWidth="1"/>
    <col min="7177" max="7177" width="11.42578125" style="141" customWidth="1"/>
    <col min="7178" max="7178" width="16.7109375" style="141" customWidth="1"/>
    <col min="7179" max="7179" width="15.7109375" style="141" bestFit="1" customWidth="1"/>
    <col min="7180" max="7180" width="14.140625" style="141" customWidth="1"/>
    <col min="7181" max="7181" width="14.85546875" style="141" customWidth="1"/>
    <col min="7182" max="7182" width="9.7109375" style="141" customWidth="1"/>
    <col min="7183" max="7183" width="8.140625" style="141" customWidth="1"/>
    <col min="7184" max="7424" width="9.140625" style="141"/>
    <col min="7425" max="7425" width="15.85546875" style="141" customWidth="1"/>
    <col min="7426" max="7426" width="16.5703125" style="141" bestFit="1" customWidth="1"/>
    <col min="7427" max="7427" width="52.7109375" style="141" bestFit="1" customWidth="1"/>
    <col min="7428" max="7428" width="13.7109375" style="141" bestFit="1" customWidth="1"/>
    <col min="7429" max="7429" width="14.140625" style="141" bestFit="1" customWidth="1"/>
    <col min="7430" max="7430" width="13.140625" style="141" bestFit="1" customWidth="1"/>
    <col min="7431" max="7431" width="15.140625" style="141" customWidth="1"/>
    <col min="7432" max="7432" width="15.28515625" style="141" bestFit="1" customWidth="1"/>
    <col min="7433" max="7433" width="11.42578125" style="141" customWidth="1"/>
    <col min="7434" max="7434" width="16.7109375" style="141" customWidth="1"/>
    <col min="7435" max="7435" width="15.7109375" style="141" bestFit="1" customWidth="1"/>
    <col min="7436" max="7436" width="14.140625" style="141" customWidth="1"/>
    <col min="7437" max="7437" width="14.85546875" style="141" customWidth="1"/>
    <col min="7438" max="7438" width="9.7109375" style="141" customWidth="1"/>
    <col min="7439" max="7439" width="8.140625" style="141" customWidth="1"/>
    <col min="7440" max="7680" width="9.140625" style="141"/>
    <col min="7681" max="7681" width="15.85546875" style="141" customWidth="1"/>
    <col min="7682" max="7682" width="16.5703125" style="141" bestFit="1" customWidth="1"/>
    <col min="7683" max="7683" width="52.7109375" style="141" bestFit="1" customWidth="1"/>
    <col min="7684" max="7684" width="13.7109375" style="141" bestFit="1" customWidth="1"/>
    <col min="7685" max="7685" width="14.140625" style="141" bestFit="1" customWidth="1"/>
    <col min="7686" max="7686" width="13.140625" style="141" bestFit="1" customWidth="1"/>
    <col min="7687" max="7687" width="15.140625" style="141" customWidth="1"/>
    <col min="7688" max="7688" width="15.28515625" style="141" bestFit="1" customWidth="1"/>
    <col min="7689" max="7689" width="11.42578125" style="141" customWidth="1"/>
    <col min="7690" max="7690" width="16.7109375" style="141" customWidth="1"/>
    <col min="7691" max="7691" width="15.7109375" style="141" bestFit="1" customWidth="1"/>
    <col min="7692" max="7692" width="14.140625" style="141" customWidth="1"/>
    <col min="7693" max="7693" width="14.85546875" style="141" customWidth="1"/>
    <col min="7694" max="7694" width="9.7109375" style="141" customWidth="1"/>
    <col min="7695" max="7695" width="8.140625" style="141" customWidth="1"/>
    <col min="7696" max="7936" width="9.140625" style="141"/>
    <col min="7937" max="7937" width="15.85546875" style="141" customWidth="1"/>
    <col min="7938" max="7938" width="16.5703125" style="141" bestFit="1" customWidth="1"/>
    <col min="7939" max="7939" width="52.7109375" style="141" bestFit="1" customWidth="1"/>
    <col min="7940" max="7940" width="13.7109375" style="141" bestFit="1" customWidth="1"/>
    <col min="7941" max="7941" width="14.140625" style="141" bestFit="1" customWidth="1"/>
    <col min="7942" max="7942" width="13.140625" style="141" bestFit="1" customWidth="1"/>
    <col min="7943" max="7943" width="15.140625" style="141" customWidth="1"/>
    <col min="7944" max="7944" width="15.28515625" style="141" bestFit="1" customWidth="1"/>
    <col min="7945" max="7945" width="11.42578125" style="141" customWidth="1"/>
    <col min="7946" max="7946" width="16.7109375" style="141" customWidth="1"/>
    <col min="7947" max="7947" width="15.7109375" style="141" bestFit="1" customWidth="1"/>
    <col min="7948" max="7948" width="14.140625" style="141" customWidth="1"/>
    <col min="7949" max="7949" width="14.85546875" style="141" customWidth="1"/>
    <col min="7950" max="7950" width="9.7109375" style="141" customWidth="1"/>
    <col min="7951" max="7951" width="8.140625" style="141" customWidth="1"/>
    <col min="7952" max="8192" width="9.140625" style="141"/>
    <col min="8193" max="8193" width="15.85546875" style="141" customWidth="1"/>
    <col min="8194" max="8194" width="16.5703125" style="141" bestFit="1" customWidth="1"/>
    <col min="8195" max="8195" width="52.7109375" style="141" bestFit="1" customWidth="1"/>
    <col min="8196" max="8196" width="13.7109375" style="141" bestFit="1" customWidth="1"/>
    <col min="8197" max="8197" width="14.140625" style="141" bestFit="1" customWidth="1"/>
    <col min="8198" max="8198" width="13.140625" style="141" bestFit="1" customWidth="1"/>
    <col min="8199" max="8199" width="15.140625" style="141" customWidth="1"/>
    <col min="8200" max="8200" width="15.28515625" style="141" bestFit="1" customWidth="1"/>
    <col min="8201" max="8201" width="11.42578125" style="141" customWidth="1"/>
    <col min="8202" max="8202" width="16.7109375" style="141" customWidth="1"/>
    <col min="8203" max="8203" width="15.7109375" style="141" bestFit="1" customWidth="1"/>
    <col min="8204" max="8204" width="14.140625" style="141" customWidth="1"/>
    <col min="8205" max="8205" width="14.85546875" style="141" customWidth="1"/>
    <col min="8206" max="8206" width="9.7109375" style="141" customWidth="1"/>
    <col min="8207" max="8207" width="8.140625" style="141" customWidth="1"/>
    <col min="8208" max="8448" width="9.140625" style="141"/>
    <col min="8449" max="8449" width="15.85546875" style="141" customWidth="1"/>
    <col min="8450" max="8450" width="16.5703125" style="141" bestFit="1" customWidth="1"/>
    <col min="8451" max="8451" width="52.7109375" style="141" bestFit="1" customWidth="1"/>
    <col min="8452" max="8452" width="13.7109375" style="141" bestFit="1" customWidth="1"/>
    <col min="8453" max="8453" width="14.140625" style="141" bestFit="1" customWidth="1"/>
    <col min="8454" max="8454" width="13.140625" style="141" bestFit="1" customWidth="1"/>
    <col min="8455" max="8455" width="15.140625" style="141" customWidth="1"/>
    <col min="8456" max="8456" width="15.28515625" style="141" bestFit="1" customWidth="1"/>
    <col min="8457" max="8457" width="11.42578125" style="141" customWidth="1"/>
    <col min="8458" max="8458" width="16.7109375" style="141" customWidth="1"/>
    <col min="8459" max="8459" width="15.7109375" style="141" bestFit="1" customWidth="1"/>
    <col min="8460" max="8460" width="14.140625" style="141" customWidth="1"/>
    <col min="8461" max="8461" width="14.85546875" style="141" customWidth="1"/>
    <col min="8462" max="8462" width="9.7109375" style="141" customWidth="1"/>
    <col min="8463" max="8463" width="8.140625" style="141" customWidth="1"/>
    <col min="8464" max="8704" width="9.140625" style="141"/>
    <col min="8705" max="8705" width="15.85546875" style="141" customWidth="1"/>
    <col min="8706" max="8706" width="16.5703125" style="141" bestFit="1" customWidth="1"/>
    <col min="8707" max="8707" width="52.7109375" style="141" bestFit="1" customWidth="1"/>
    <col min="8708" max="8708" width="13.7109375" style="141" bestFit="1" customWidth="1"/>
    <col min="8709" max="8709" width="14.140625" style="141" bestFit="1" customWidth="1"/>
    <col min="8710" max="8710" width="13.140625" style="141" bestFit="1" customWidth="1"/>
    <col min="8711" max="8711" width="15.140625" style="141" customWidth="1"/>
    <col min="8712" max="8712" width="15.28515625" style="141" bestFit="1" customWidth="1"/>
    <col min="8713" max="8713" width="11.42578125" style="141" customWidth="1"/>
    <col min="8714" max="8714" width="16.7109375" style="141" customWidth="1"/>
    <col min="8715" max="8715" width="15.7109375" style="141" bestFit="1" customWidth="1"/>
    <col min="8716" max="8716" width="14.140625" style="141" customWidth="1"/>
    <col min="8717" max="8717" width="14.85546875" style="141" customWidth="1"/>
    <col min="8718" max="8718" width="9.7109375" style="141" customWidth="1"/>
    <col min="8719" max="8719" width="8.140625" style="141" customWidth="1"/>
    <col min="8720" max="8960" width="9.140625" style="141"/>
    <col min="8961" max="8961" width="15.85546875" style="141" customWidth="1"/>
    <col min="8962" max="8962" width="16.5703125" style="141" bestFit="1" customWidth="1"/>
    <col min="8963" max="8963" width="52.7109375" style="141" bestFit="1" customWidth="1"/>
    <col min="8964" max="8964" width="13.7109375" style="141" bestFit="1" customWidth="1"/>
    <col min="8965" max="8965" width="14.140625" style="141" bestFit="1" customWidth="1"/>
    <col min="8966" max="8966" width="13.140625" style="141" bestFit="1" customWidth="1"/>
    <col min="8967" max="8967" width="15.140625" style="141" customWidth="1"/>
    <col min="8968" max="8968" width="15.28515625" style="141" bestFit="1" customWidth="1"/>
    <col min="8969" max="8969" width="11.42578125" style="141" customWidth="1"/>
    <col min="8970" max="8970" width="16.7109375" style="141" customWidth="1"/>
    <col min="8971" max="8971" width="15.7109375" style="141" bestFit="1" customWidth="1"/>
    <col min="8972" max="8972" width="14.140625" style="141" customWidth="1"/>
    <col min="8973" max="8973" width="14.85546875" style="141" customWidth="1"/>
    <col min="8974" max="8974" width="9.7109375" style="141" customWidth="1"/>
    <col min="8975" max="8975" width="8.140625" style="141" customWidth="1"/>
    <col min="8976" max="9216" width="9.140625" style="141"/>
    <col min="9217" max="9217" width="15.85546875" style="141" customWidth="1"/>
    <col min="9218" max="9218" width="16.5703125" style="141" bestFit="1" customWidth="1"/>
    <col min="9219" max="9219" width="52.7109375" style="141" bestFit="1" customWidth="1"/>
    <col min="9220" max="9220" width="13.7109375" style="141" bestFit="1" customWidth="1"/>
    <col min="9221" max="9221" width="14.140625" style="141" bestFit="1" customWidth="1"/>
    <col min="9222" max="9222" width="13.140625" style="141" bestFit="1" customWidth="1"/>
    <col min="9223" max="9223" width="15.140625" style="141" customWidth="1"/>
    <col min="9224" max="9224" width="15.28515625" style="141" bestFit="1" customWidth="1"/>
    <col min="9225" max="9225" width="11.42578125" style="141" customWidth="1"/>
    <col min="9226" max="9226" width="16.7109375" style="141" customWidth="1"/>
    <col min="9227" max="9227" width="15.7109375" style="141" bestFit="1" customWidth="1"/>
    <col min="9228" max="9228" width="14.140625" style="141" customWidth="1"/>
    <col min="9229" max="9229" width="14.85546875" style="141" customWidth="1"/>
    <col min="9230" max="9230" width="9.7109375" style="141" customWidth="1"/>
    <col min="9231" max="9231" width="8.140625" style="141" customWidth="1"/>
    <col min="9232" max="9472" width="9.140625" style="141"/>
    <col min="9473" max="9473" width="15.85546875" style="141" customWidth="1"/>
    <col min="9474" max="9474" width="16.5703125" style="141" bestFit="1" customWidth="1"/>
    <col min="9475" max="9475" width="52.7109375" style="141" bestFit="1" customWidth="1"/>
    <col min="9476" max="9476" width="13.7109375" style="141" bestFit="1" customWidth="1"/>
    <col min="9477" max="9477" width="14.140625" style="141" bestFit="1" customWidth="1"/>
    <col min="9478" max="9478" width="13.140625" style="141" bestFit="1" customWidth="1"/>
    <col min="9479" max="9479" width="15.140625" style="141" customWidth="1"/>
    <col min="9480" max="9480" width="15.28515625" style="141" bestFit="1" customWidth="1"/>
    <col min="9481" max="9481" width="11.42578125" style="141" customWidth="1"/>
    <col min="9482" max="9482" width="16.7109375" style="141" customWidth="1"/>
    <col min="9483" max="9483" width="15.7109375" style="141" bestFit="1" customWidth="1"/>
    <col min="9484" max="9484" width="14.140625" style="141" customWidth="1"/>
    <col min="9485" max="9485" width="14.85546875" style="141" customWidth="1"/>
    <col min="9486" max="9486" width="9.7109375" style="141" customWidth="1"/>
    <col min="9487" max="9487" width="8.140625" style="141" customWidth="1"/>
    <col min="9488" max="9728" width="9.140625" style="141"/>
    <col min="9729" max="9729" width="15.85546875" style="141" customWidth="1"/>
    <col min="9730" max="9730" width="16.5703125" style="141" bestFit="1" customWidth="1"/>
    <col min="9731" max="9731" width="52.7109375" style="141" bestFit="1" customWidth="1"/>
    <col min="9732" max="9732" width="13.7109375" style="141" bestFit="1" customWidth="1"/>
    <col min="9733" max="9733" width="14.140625" style="141" bestFit="1" customWidth="1"/>
    <col min="9734" max="9734" width="13.140625" style="141" bestFit="1" customWidth="1"/>
    <col min="9735" max="9735" width="15.140625" style="141" customWidth="1"/>
    <col min="9736" max="9736" width="15.28515625" style="141" bestFit="1" customWidth="1"/>
    <col min="9737" max="9737" width="11.42578125" style="141" customWidth="1"/>
    <col min="9738" max="9738" width="16.7109375" style="141" customWidth="1"/>
    <col min="9739" max="9739" width="15.7109375" style="141" bestFit="1" customWidth="1"/>
    <col min="9740" max="9740" width="14.140625" style="141" customWidth="1"/>
    <col min="9741" max="9741" width="14.85546875" style="141" customWidth="1"/>
    <col min="9742" max="9742" width="9.7109375" style="141" customWidth="1"/>
    <col min="9743" max="9743" width="8.140625" style="141" customWidth="1"/>
    <col min="9744" max="9984" width="9.140625" style="141"/>
    <col min="9985" max="9985" width="15.85546875" style="141" customWidth="1"/>
    <col min="9986" max="9986" width="16.5703125" style="141" bestFit="1" customWidth="1"/>
    <col min="9987" max="9987" width="52.7109375" style="141" bestFit="1" customWidth="1"/>
    <col min="9988" max="9988" width="13.7109375" style="141" bestFit="1" customWidth="1"/>
    <col min="9989" max="9989" width="14.140625" style="141" bestFit="1" customWidth="1"/>
    <col min="9990" max="9990" width="13.140625" style="141" bestFit="1" customWidth="1"/>
    <col min="9991" max="9991" width="15.140625" style="141" customWidth="1"/>
    <col min="9992" max="9992" width="15.28515625" style="141" bestFit="1" customWidth="1"/>
    <col min="9993" max="9993" width="11.42578125" style="141" customWidth="1"/>
    <col min="9994" max="9994" width="16.7109375" style="141" customWidth="1"/>
    <col min="9995" max="9995" width="15.7109375" style="141" bestFit="1" customWidth="1"/>
    <col min="9996" max="9996" width="14.140625" style="141" customWidth="1"/>
    <col min="9997" max="9997" width="14.85546875" style="141" customWidth="1"/>
    <col min="9998" max="9998" width="9.7109375" style="141" customWidth="1"/>
    <col min="9999" max="9999" width="8.140625" style="141" customWidth="1"/>
    <col min="10000" max="10240" width="9.140625" style="141"/>
    <col min="10241" max="10241" width="15.85546875" style="141" customWidth="1"/>
    <col min="10242" max="10242" width="16.5703125" style="141" bestFit="1" customWidth="1"/>
    <col min="10243" max="10243" width="52.7109375" style="141" bestFit="1" customWidth="1"/>
    <col min="10244" max="10244" width="13.7109375" style="141" bestFit="1" customWidth="1"/>
    <col min="10245" max="10245" width="14.140625" style="141" bestFit="1" customWidth="1"/>
    <col min="10246" max="10246" width="13.140625" style="141" bestFit="1" customWidth="1"/>
    <col min="10247" max="10247" width="15.140625" style="141" customWidth="1"/>
    <col min="10248" max="10248" width="15.28515625" style="141" bestFit="1" customWidth="1"/>
    <col min="10249" max="10249" width="11.42578125" style="141" customWidth="1"/>
    <col min="10250" max="10250" width="16.7109375" style="141" customWidth="1"/>
    <col min="10251" max="10251" width="15.7109375" style="141" bestFit="1" customWidth="1"/>
    <col min="10252" max="10252" width="14.140625" style="141" customWidth="1"/>
    <col min="10253" max="10253" width="14.85546875" style="141" customWidth="1"/>
    <col min="10254" max="10254" width="9.7109375" style="141" customWidth="1"/>
    <col min="10255" max="10255" width="8.140625" style="141" customWidth="1"/>
    <col min="10256" max="10496" width="9.140625" style="141"/>
    <col min="10497" max="10497" width="15.85546875" style="141" customWidth="1"/>
    <col min="10498" max="10498" width="16.5703125" style="141" bestFit="1" customWidth="1"/>
    <col min="10499" max="10499" width="52.7109375" style="141" bestFit="1" customWidth="1"/>
    <col min="10500" max="10500" width="13.7109375" style="141" bestFit="1" customWidth="1"/>
    <col min="10501" max="10501" width="14.140625" style="141" bestFit="1" customWidth="1"/>
    <col min="10502" max="10502" width="13.140625" style="141" bestFit="1" customWidth="1"/>
    <col min="10503" max="10503" width="15.140625" style="141" customWidth="1"/>
    <col min="10504" max="10504" width="15.28515625" style="141" bestFit="1" customWidth="1"/>
    <col min="10505" max="10505" width="11.42578125" style="141" customWidth="1"/>
    <col min="10506" max="10506" width="16.7109375" style="141" customWidth="1"/>
    <col min="10507" max="10507" width="15.7109375" style="141" bestFit="1" customWidth="1"/>
    <col min="10508" max="10508" width="14.140625" style="141" customWidth="1"/>
    <col min="10509" max="10509" width="14.85546875" style="141" customWidth="1"/>
    <col min="10510" max="10510" width="9.7109375" style="141" customWidth="1"/>
    <col min="10511" max="10511" width="8.140625" style="141" customWidth="1"/>
    <col min="10512" max="10752" width="9.140625" style="141"/>
    <col min="10753" max="10753" width="15.85546875" style="141" customWidth="1"/>
    <col min="10754" max="10754" width="16.5703125" style="141" bestFit="1" customWidth="1"/>
    <col min="10755" max="10755" width="52.7109375" style="141" bestFit="1" customWidth="1"/>
    <col min="10756" max="10756" width="13.7109375" style="141" bestFit="1" customWidth="1"/>
    <col min="10757" max="10757" width="14.140625" style="141" bestFit="1" customWidth="1"/>
    <col min="10758" max="10758" width="13.140625" style="141" bestFit="1" customWidth="1"/>
    <col min="10759" max="10759" width="15.140625" style="141" customWidth="1"/>
    <col min="10760" max="10760" width="15.28515625" style="141" bestFit="1" customWidth="1"/>
    <col min="10761" max="10761" width="11.42578125" style="141" customWidth="1"/>
    <col min="10762" max="10762" width="16.7109375" style="141" customWidth="1"/>
    <col min="10763" max="10763" width="15.7109375" style="141" bestFit="1" customWidth="1"/>
    <col min="10764" max="10764" width="14.140625" style="141" customWidth="1"/>
    <col min="10765" max="10765" width="14.85546875" style="141" customWidth="1"/>
    <col min="10766" max="10766" width="9.7109375" style="141" customWidth="1"/>
    <col min="10767" max="10767" width="8.140625" style="141" customWidth="1"/>
    <col min="10768" max="11008" width="9.140625" style="141"/>
    <col min="11009" max="11009" width="15.85546875" style="141" customWidth="1"/>
    <col min="11010" max="11010" width="16.5703125" style="141" bestFit="1" customWidth="1"/>
    <col min="11011" max="11011" width="52.7109375" style="141" bestFit="1" customWidth="1"/>
    <col min="11012" max="11012" width="13.7109375" style="141" bestFit="1" customWidth="1"/>
    <col min="11013" max="11013" width="14.140625" style="141" bestFit="1" customWidth="1"/>
    <col min="11014" max="11014" width="13.140625" style="141" bestFit="1" customWidth="1"/>
    <col min="11015" max="11015" width="15.140625" style="141" customWidth="1"/>
    <col min="11016" max="11016" width="15.28515625" style="141" bestFit="1" customWidth="1"/>
    <col min="11017" max="11017" width="11.42578125" style="141" customWidth="1"/>
    <col min="11018" max="11018" width="16.7109375" style="141" customWidth="1"/>
    <col min="11019" max="11019" width="15.7109375" style="141" bestFit="1" customWidth="1"/>
    <col min="11020" max="11020" width="14.140625" style="141" customWidth="1"/>
    <col min="11021" max="11021" width="14.85546875" style="141" customWidth="1"/>
    <col min="11022" max="11022" width="9.7109375" style="141" customWidth="1"/>
    <col min="11023" max="11023" width="8.140625" style="141" customWidth="1"/>
    <col min="11024" max="11264" width="9.140625" style="141"/>
    <col min="11265" max="11265" width="15.85546875" style="141" customWidth="1"/>
    <col min="11266" max="11266" width="16.5703125" style="141" bestFit="1" customWidth="1"/>
    <col min="11267" max="11267" width="52.7109375" style="141" bestFit="1" customWidth="1"/>
    <col min="11268" max="11268" width="13.7109375" style="141" bestFit="1" customWidth="1"/>
    <col min="11269" max="11269" width="14.140625" style="141" bestFit="1" customWidth="1"/>
    <col min="11270" max="11270" width="13.140625" style="141" bestFit="1" customWidth="1"/>
    <col min="11271" max="11271" width="15.140625" style="141" customWidth="1"/>
    <col min="11272" max="11272" width="15.28515625" style="141" bestFit="1" customWidth="1"/>
    <col min="11273" max="11273" width="11.42578125" style="141" customWidth="1"/>
    <col min="11274" max="11274" width="16.7109375" style="141" customWidth="1"/>
    <col min="11275" max="11275" width="15.7109375" style="141" bestFit="1" customWidth="1"/>
    <col min="11276" max="11276" width="14.140625" style="141" customWidth="1"/>
    <col min="11277" max="11277" width="14.85546875" style="141" customWidth="1"/>
    <col min="11278" max="11278" width="9.7109375" style="141" customWidth="1"/>
    <col min="11279" max="11279" width="8.140625" style="141" customWidth="1"/>
    <col min="11280" max="11520" width="9.140625" style="141"/>
    <col min="11521" max="11521" width="15.85546875" style="141" customWidth="1"/>
    <col min="11522" max="11522" width="16.5703125" style="141" bestFit="1" customWidth="1"/>
    <col min="11523" max="11523" width="52.7109375" style="141" bestFit="1" customWidth="1"/>
    <col min="11524" max="11524" width="13.7109375" style="141" bestFit="1" customWidth="1"/>
    <col min="11525" max="11525" width="14.140625" style="141" bestFit="1" customWidth="1"/>
    <col min="11526" max="11526" width="13.140625" style="141" bestFit="1" customWidth="1"/>
    <col min="11527" max="11527" width="15.140625" style="141" customWidth="1"/>
    <col min="11528" max="11528" width="15.28515625" style="141" bestFit="1" customWidth="1"/>
    <col min="11529" max="11529" width="11.42578125" style="141" customWidth="1"/>
    <col min="11530" max="11530" width="16.7109375" style="141" customWidth="1"/>
    <col min="11531" max="11531" width="15.7109375" style="141" bestFit="1" customWidth="1"/>
    <col min="11532" max="11532" width="14.140625" style="141" customWidth="1"/>
    <col min="11533" max="11533" width="14.85546875" style="141" customWidth="1"/>
    <col min="11534" max="11534" width="9.7109375" style="141" customWidth="1"/>
    <col min="11535" max="11535" width="8.140625" style="141" customWidth="1"/>
    <col min="11536" max="11776" width="9.140625" style="141"/>
    <col min="11777" max="11777" width="15.85546875" style="141" customWidth="1"/>
    <col min="11778" max="11778" width="16.5703125" style="141" bestFit="1" customWidth="1"/>
    <col min="11779" max="11779" width="52.7109375" style="141" bestFit="1" customWidth="1"/>
    <col min="11780" max="11780" width="13.7109375" style="141" bestFit="1" customWidth="1"/>
    <col min="11781" max="11781" width="14.140625" style="141" bestFit="1" customWidth="1"/>
    <col min="11782" max="11782" width="13.140625" style="141" bestFit="1" customWidth="1"/>
    <col min="11783" max="11783" width="15.140625" style="141" customWidth="1"/>
    <col min="11784" max="11784" width="15.28515625" style="141" bestFit="1" customWidth="1"/>
    <col min="11785" max="11785" width="11.42578125" style="141" customWidth="1"/>
    <col min="11786" max="11786" width="16.7109375" style="141" customWidth="1"/>
    <col min="11787" max="11787" width="15.7109375" style="141" bestFit="1" customWidth="1"/>
    <col min="11788" max="11788" width="14.140625" style="141" customWidth="1"/>
    <col min="11789" max="11789" width="14.85546875" style="141" customWidth="1"/>
    <col min="11790" max="11790" width="9.7109375" style="141" customWidth="1"/>
    <col min="11791" max="11791" width="8.140625" style="141" customWidth="1"/>
    <col min="11792" max="12032" width="9.140625" style="141"/>
    <col min="12033" max="12033" width="15.85546875" style="141" customWidth="1"/>
    <col min="12034" max="12034" width="16.5703125" style="141" bestFit="1" customWidth="1"/>
    <col min="12035" max="12035" width="52.7109375" style="141" bestFit="1" customWidth="1"/>
    <col min="12036" max="12036" width="13.7109375" style="141" bestFit="1" customWidth="1"/>
    <col min="12037" max="12037" width="14.140625" style="141" bestFit="1" customWidth="1"/>
    <col min="12038" max="12038" width="13.140625" style="141" bestFit="1" customWidth="1"/>
    <col min="12039" max="12039" width="15.140625" style="141" customWidth="1"/>
    <col min="12040" max="12040" width="15.28515625" style="141" bestFit="1" customWidth="1"/>
    <col min="12041" max="12041" width="11.42578125" style="141" customWidth="1"/>
    <col min="12042" max="12042" width="16.7109375" style="141" customWidth="1"/>
    <col min="12043" max="12043" width="15.7109375" style="141" bestFit="1" customWidth="1"/>
    <col min="12044" max="12044" width="14.140625" style="141" customWidth="1"/>
    <col min="12045" max="12045" width="14.85546875" style="141" customWidth="1"/>
    <col min="12046" max="12046" width="9.7109375" style="141" customWidth="1"/>
    <col min="12047" max="12047" width="8.140625" style="141" customWidth="1"/>
    <col min="12048" max="12288" width="9.140625" style="141"/>
    <col min="12289" max="12289" width="15.85546875" style="141" customWidth="1"/>
    <col min="12290" max="12290" width="16.5703125" style="141" bestFit="1" customWidth="1"/>
    <col min="12291" max="12291" width="52.7109375" style="141" bestFit="1" customWidth="1"/>
    <col min="12292" max="12292" width="13.7109375" style="141" bestFit="1" customWidth="1"/>
    <col min="12293" max="12293" width="14.140625" style="141" bestFit="1" customWidth="1"/>
    <col min="12294" max="12294" width="13.140625" style="141" bestFit="1" customWidth="1"/>
    <col min="12295" max="12295" width="15.140625" style="141" customWidth="1"/>
    <col min="12296" max="12296" width="15.28515625" style="141" bestFit="1" customWidth="1"/>
    <col min="12297" max="12297" width="11.42578125" style="141" customWidth="1"/>
    <col min="12298" max="12298" width="16.7109375" style="141" customWidth="1"/>
    <col min="12299" max="12299" width="15.7109375" style="141" bestFit="1" customWidth="1"/>
    <col min="12300" max="12300" width="14.140625" style="141" customWidth="1"/>
    <col min="12301" max="12301" width="14.85546875" style="141" customWidth="1"/>
    <col min="12302" max="12302" width="9.7109375" style="141" customWidth="1"/>
    <col min="12303" max="12303" width="8.140625" style="141" customWidth="1"/>
    <col min="12304" max="12544" width="9.140625" style="141"/>
    <col min="12545" max="12545" width="15.85546875" style="141" customWidth="1"/>
    <col min="12546" max="12546" width="16.5703125" style="141" bestFit="1" customWidth="1"/>
    <col min="12547" max="12547" width="52.7109375" style="141" bestFit="1" customWidth="1"/>
    <col min="12548" max="12548" width="13.7109375" style="141" bestFit="1" customWidth="1"/>
    <col min="12549" max="12549" width="14.140625" style="141" bestFit="1" customWidth="1"/>
    <col min="12550" max="12550" width="13.140625" style="141" bestFit="1" customWidth="1"/>
    <col min="12551" max="12551" width="15.140625" style="141" customWidth="1"/>
    <col min="12552" max="12552" width="15.28515625" style="141" bestFit="1" customWidth="1"/>
    <col min="12553" max="12553" width="11.42578125" style="141" customWidth="1"/>
    <col min="12554" max="12554" width="16.7109375" style="141" customWidth="1"/>
    <col min="12555" max="12555" width="15.7109375" style="141" bestFit="1" customWidth="1"/>
    <col min="12556" max="12556" width="14.140625" style="141" customWidth="1"/>
    <col min="12557" max="12557" width="14.85546875" style="141" customWidth="1"/>
    <col min="12558" max="12558" width="9.7109375" style="141" customWidth="1"/>
    <col min="12559" max="12559" width="8.140625" style="141" customWidth="1"/>
    <col min="12560" max="12800" width="9.140625" style="141"/>
    <col min="12801" max="12801" width="15.85546875" style="141" customWidth="1"/>
    <col min="12802" max="12802" width="16.5703125" style="141" bestFit="1" customWidth="1"/>
    <col min="12803" max="12803" width="52.7109375" style="141" bestFit="1" customWidth="1"/>
    <col min="12804" max="12804" width="13.7109375" style="141" bestFit="1" customWidth="1"/>
    <col min="12805" max="12805" width="14.140625" style="141" bestFit="1" customWidth="1"/>
    <col min="12806" max="12806" width="13.140625" style="141" bestFit="1" customWidth="1"/>
    <col min="12807" max="12807" width="15.140625" style="141" customWidth="1"/>
    <col min="12808" max="12808" width="15.28515625" style="141" bestFit="1" customWidth="1"/>
    <col min="12809" max="12809" width="11.42578125" style="141" customWidth="1"/>
    <col min="12810" max="12810" width="16.7109375" style="141" customWidth="1"/>
    <col min="12811" max="12811" width="15.7109375" style="141" bestFit="1" customWidth="1"/>
    <col min="12812" max="12812" width="14.140625" style="141" customWidth="1"/>
    <col min="12813" max="12813" width="14.85546875" style="141" customWidth="1"/>
    <col min="12814" max="12814" width="9.7109375" style="141" customWidth="1"/>
    <col min="12815" max="12815" width="8.140625" style="141" customWidth="1"/>
    <col min="12816" max="13056" width="9.140625" style="141"/>
    <col min="13057" max="13057" width="15.85546875" style="141" customWidth="1"/>
    <col min="13058" max="13058" width="16.5703125" style="141" bestFit="1" customWidth="1"/>
    <col min="13059" max="13059" width="52.7109375" style="141" bestFit="1" customWidth="1"/>
    <col min="13060" max="13060" width="13.7109375" style="141" bestFit="1" customWidth="1"/>
    <col min="13061" max="13061" width="14.140625" style="141" bestFit="1" customWidth="1"/>
    <col min="13062" max="13062" width="13.140625" style="141" bestFit="1" customWidth="1"/>
    <col min="13063" max="13063" width="15.140625" style="141" customWidth="1"/>
    <col min="13064" max="13064" width="15.28515625" style="141" bestFit="1" customWidth="1"/>
    <col min="13065" max="13065" width="11.42578125" style="141" customWidth="1"/>
    <col min="13066" max="13066" width="16.7109375" style="141" customWidth="1"/>
    <col min="13067" max="13067" width="15.7109375" style="141" bestFit="1" customWidth="1"/>
    <col min="13068" max="13068" width="14.140625" style="141" customWidth="1"/>
    <col min="13069" max="13069" width="14.85546875" style="141" customWidth="1"/>
    <col min="13070" max="13070" width="9.7109375" style="141" customWidth="1"/>
    <col min="13071" max="13071" width="8.140625" style="141" customWidth="1"/>
    <col min="13072" max="13312" width="9.140625" style="141"/>
    <col min="13313" max="13313" width="15.85546875" style="141" customWidth="1"/>
    <col min="13314" max="13314" width="16.5703125" style="141" bestFit="1" customWidth="1"/>
    <col min="13315" max="13315" width="52.7109375" style="141" bestFit="1" customWidth="1"/>
    <col min="13316" max="13316" width="13.7109375" style="141" bestFit="1" customWidth="1"/>
    <col min="13317" max="13317" width="14.140625" style="141" bestFit="1" customWidth="1"/>
    <col min="13318" max="13318" width="13.140625" style="141" bestFit="1" customWidth="1"/>
    <col min="13319" max="13319" width="15.140625" style="141" customWidth="1"/>
    <col min="13320" max="13320" width="15.28515625" style="141" bestFit="1" customWidth="1"/>
    <col min="13321" max="13321" width="11.42578125" style="141" customWidth="1"/>
    <col min="13322" max="13322" width="16.7109375" style="141" customWidth="1"/>
    <col min="13323" max="13323" width="15.7109375" style="141" bestFit="1" customWidth="1"/>
    <col min="13324" max="13324" width="14.140625" style="141" customWidth="1"/>
    <col min="13325" max="13325" width="14.85546875" style="141" customWidth="1"/>
    <col min="13326" max="13326" width="9.7109375" style="141" customWidth="1"/>
    <col min="13327" max="13327" width="8.140625" style="141" customWidth="1"/>
    <col min="13328" max="13568" width="9.140625" style="141"/>
    <col min="13569" max="13569" width="15.85546875" style="141" customWidth="1"/>
    <col min="13570" max="13570" width="16.5703125" style="141" bestFit="1" customWidth="1"/>
    <col min="13571" max="13571" width="52.7109375" style="141" bestFit="1" customWidth="1"/>
    <col min="13572" max="13572" width="13.7109375" style="141" bestFit="1" customWidth="1"/>
    <col min="13573" max="13573" width="14.140625" style="141" bestFit="1" customWidth="1"/>
    <col min="13574" max="13574" width="13.140625" style="141" bestFit="1" customWidth="1"/>
    <col min="13575" max="13575" width="15.140625" style="141" customWidth="1"/>
    <col min="13576" max="13576" width="15.28515625" style="141" bestFit="1" customWidth="1"/>
    <col min="13577" max="13577" width="11.42578125" style="141" customWidth="1"/>
    <col min="13578" max="13578" width="16.7109375" style="141" customWidth="1"/>
    <col min="13579" max="13579" width="15.7109375" style="141" bestFit="1" customWidth="1"/>
    <col min="13580" max="13580" width="14.140625" style="141" customWidth="1"/>
    <col min="13581" max="13581" width="14.85546875" style="141" customWidth="1"/>
    <col min="13582" max="13582" width="9.7109375" style="141" customWidth="1"/>
    <col min="13583" max="13583" width="8.140625" style="141" customWidth="1"/>
    <col min="13584" max="13824" width="9.140625" style="141"/>
    <col min="13825" max="13825" width="15.85546875" style="141" customWidth="1"/>
    <col min="13826" max="13826" width="16.5703125" style="141" bestFit="1" customWidth="1"/>
    <col min="13827" max="13827" width="52.7109375" style="141" bestFit="1" customWidth="1"/>
    <col min="13828" max="13828" width="13.7109375" style="141" bestFit="1" customWidth="1"/>
    <col min="13829" max="13829" width="14.140625" style="141" bestFit="1" customWidth="1"/>
    <col min="13830" max="13830" width="13.140625" style="141" bestFit="1" customWidth="1"/>
    <col min="13831" max="13831" width="15.140625" style="141" customWidth="1"/>
    <col min="13832" max="13832" width="15.28515625" style="141" bestFit="1" customWidth="1"/>
    <col min="13833" max="13833" width="11.42578125" style="141" customWidth="1"/>
    <col min="13834" max="13834" width="16.7109375" style="141" customWidth="1"/>
    <col min="13835" max="13835" width="15.7109375" style="141" bestFit="1" customWidth="1"/>
    <col min="13836" max="13836" width="14.140625" style="141" customWidth="1"/>
    <col min="13837" max="13837" width="14.85546875" style="141" customWidth="1"/>
    <col min="13838" max="13838" width="9.7109375" style="141" customWidth="1"/>
    <col min="13839" max="13839" width="8.140625" style="141" customWidth="1"/>
    <col min="13840" max="14080" width="9.140625" style="141"/>
    <col min="14081" max="14081" width="15.85546875" style="141" customWidth="1"/>
    <col min="14082" max="14082" width="16.5703125" style="141" bestFit="1" customWidth="1"/>
    <col min="14083" max="14083" width="52.7109375" style="141" bestFit="1" customWidth="1"/>
    <col min="14084" max="14084" width="13.7109375" style="141" bestFit="1" customWidth="1"/>
    <col min="14085" max="14085" width="14.140625" style="141" bestFit="1" customWidth="1"/>
    <col min="14086" max="14086" width="13.140625" style="141" bestFit="1" customWidth="1"/>
    <col min="14087" max="14087" width="15.140625" style="141" customWidth="1"/>
    <col min="14088" max="14088" width="15.28515625" style="141" bestFit="1" customWidth="1"/>
    <col min="14089" max="14089" width="11.42578125" style="141" customWidth="1"/>
    <col min="14090" max="14090" width="16.7109375" style="141" customWidth="1"/>
    <col min="14091" max="14091" width="15.7109375" style="141" bestFit="1" customWidth="1"/>
    <col min="14092" max="14092" width="14.140625" style="141" customWidth="1"/>
    <col min="14093" max="14093" width="14.85546875" style="141" customWidth="1"/>
    <col min="14094" max="14094" width="9.7109375" style="141" customWidth="1"/>
    <col min="14095" max="14095" width="8.140625" style="141" customWidth="1"/>
    <col min="14096" max="14336" width="9.140625" style="141"/>
    <col min="14337" max="14337" width="15.85546875" style="141" customWidth="1"/>
    <col min="14338" max="14338" width="16.5703125" style="141" bestFit="1" customWidth="1"/>
    <col min="14339" max="14339" width="52.7109375" style="141" bestFit="1" customWidth="1"/>
    <col min="14340" max="14340" width="13.7109375" style="141" bestFit="1" customWidth="1"/>
    <col min="14341" max="14341" width="14.140625" style="141" bestFit="1" customWidth="1"/>
    <col min="14342" max="14342" width="13.140625" style="141" bestFit="1" customWidth="1"/>
    <col min="14343" max="14343" width="15.140625" style="141" customWidth="1"/>
    <col min="14344" max="14344" width="15.28515625" style="141" bestFit="1" customWidth="1"/>
    <col min="14345" max="14345" width="11.42578125" style="141" customWidth="1"/>
    <col min="14346" max="14346" width="16.7109375" style="141" customWidth="1"/>
    <col min="14347" max="14347" width="15.7109375" style="141" bestFit="1" customWidth="1"/>
    <col min="14348" max="14348" width="14.140625" style="141" customWidth="1"/>
    <col min="14349" max="14349" width="14.85546875" style="141" customWidth="1"/>
    <col min="14350" max="14350" width="9.7109375" style="141" customWidth="1"/>
    <col min="14351" max="14351" width="8.140625" style="141" customWidth="1"/>
    <col min="14352" max="14592" width="9.140625" style="141"/>
    <col min="14593" max="14593" width="15.85546875" style="141" customWidth="1"/>
    <col min="14594" max="14594" width="16.5703125" style="141" bestFit="1" customWidth="1"/>
    <col min="14595" max="14595" width="52.7109375" style="141" bestFit="1" customWidth="1"/>
    <col min="14596" max="14596" width="13.7109375" style="141" bestFit="1" customWidth="1"/>
    <col min="14597" max="14597" width="14.140625" style="141" bestFit="1" customWidth="1"/>
    <col min="14598" max="14598" width="13.140625" style="141" bestFit="1" customWidth="1"/>
    <col min="14599" max="14599" width="15.140625" style="141" customWidth="1"/>
    <col min="14600" max="14600" width="15.28515625" style="141" bestFit="1" customWidth="1"/>
    <col min="14601" max="14601" width="11.42578125" style="141" customWidth="1"/>
    <col min="14602" max="14602" width="16.7109375" style="141" customWidth="1"/>
    <col min="14603" max="14603" width="15.7109375" style="141" bestFit="1" customWidth="1"/>
    <col min="14604" max="14604" width="14.140625" style="141" customWidth="1"/>
    <col min="14605" max="14605" width="14.85546875" style="141" customWidth="1"/>
    <col min="14606" max="14606" width="9.7109375" style="141" customWidth="1"/>
    <col min="14607" max="14607" width="8.140625" style="141" customWidth="1"/>
    <col min="14608" max="14848" width="9.140625" style="141"/>
    <col min="14849" max="14849" width="15.85546875" style="141" customWidth="1"/>
    <col min="14850" max="14850" width="16.5703125" style="141" bestFit="1" customWidth="1"/>
    <col min="14851" max="14851" width="52.7109375" style="141" bestFit="1" customWidth="1"/>
    <col min="14852" max="14852" width="13.7109375" style="141" bestFit="1" customWidth="1"/>
    <col min="14853" max="14853" width="14.140625" style="141" bestFit="1" customWidth="1"/>
    <col min="14854" max="14854" width="13.140625" style="141" bestFit="1" customWidth="1"/>
    <col min="14855" max="14855" width="15.140625" style="141" customWidth="1"/>
    <col min="14856" max="14856" width="15.28515625" style="141" bestFit="1" customWidth="1"/>
    <col min="14857" max="14857" width="11.42578125" style="141" customWidth="1"/>
    <col min="14858" max="14858" width="16.7109375" style="141" customWidth="1"/>
    <col min="14859" max="14859" width="15.7109375" style="141" bestFit="1" customWidth="1"/>
    <col min="14860" max="14860" width="14.140625" style="141" customWidth="1"/>
    <col min="14861" max="14861" width="14.85546875" style="141" customWidth="1"/>
    <col min="14862" max="14862" width="9.7109375" style="141" customWidth="1"/>
    <col min="14863" max="14863" width="8.140625" style="141" customWidth="1"/>
    <col min="14864" max="15104" width="9.140625" style="141"/>
    <col min="15105" max="15105" width="15.85546875" style="141" customWidth="1"/>
    <col min="15106" max="15106" width="16.5703125" style="141" bestFit="1" customWidth="1"/>
    <col min="15107" max="15107" width="52.7109375" style="141" bestFit="1" customWidth="1"/>
    <col min="15108" max="15108" width="13.7109375" style="141" bestFit="1" customWidth="1"/>
    <col min="15109" max="15109" width="14.140625" style="141" bestFit="1" customWidth="1"/>
    <col min="15110" max="15110" width="13.140625" style="141" bestFit="1" customWidth="1"/>
    <col min="15111" max="15111" width="15.140625" style="141" customWidth="1"/>
    <col min="15112" max="15112" width="15.28515625" style="141" bestFit="1" customWidth="1"/>
    <col min="15113" max="15113" width="11.42578125" style="141" customWidth="1"/>
    <col min="15114" max="15114" width="16.7109375" style="141" customWidth="1"/>
    <col min="15115" max="15115" width="15.7109375" style="141" bestFit="1" customWidth="1"/>
    <col min="15116" max="15116" width="14.140625" style="141" customWidth="1"/>
    <col min="15117" max="15117" width="14.85546875" style="141" customWidth="1"/>
    <col min="15118" max="15118" width="9.7109375" style="141" customWidth="1"/>
    <col min="15119" max="15119" width="8.140625" style="141" customWidth="1"/>
    <col min="15120" max="15360" width="9.140625" style="141"/>
    <col min="15361" max="15361" width="15.85546875" style="141" customWidth="1"/>
    <col min="15362" max="15362" width="16.5703125" style="141" bestFit="1" customWidth="1"/>
    <col min="15363" max="15363" width="52.7109375" style="141" bestFit="1" customWidth="1"/>
    <col min="15364" max="15364" width="13.7109375" style="141" bestFit="1" customWidth="1"/>
    <col min="15365" max="15365" width="14.140625" style="141" bestFit="1" customWidth="1"/>
    <col min="15366" max="15366" width="13.140625" style="141" bestFit="1" customWidth="1"/>
    <col min="15367" max="15367" width="15.140625" style="141" customWidth="1"/>
    <col min="15368" max="15368" width="15.28515625" style="141" bestFit="1" customWidth="1"/>
    <col min="15369" max="15369" width="11.42578125" style="141" customWidth="1"/>
    <col min="15370" max="15370" width="16.7109375" style="141" customWidth="1"/>
    <col min="15371" max="15371" width="15.7109375" style="141" bestFit="1" customWidth="1"/>
    <col min="15372" max="15372" width="14.140625" style="141" customWidth="1"/>
    <col min="15373" max="15373" width="14.85546875" style="141" customWidth="1"/>
    <col min="15374" max="15374" width="9.7109375" style="141" customWidth="1"/>
    <col min="15375" max="15375" width="8.140625" style="141" customWidth="1"/>
    <col min="15376" max="15616" width="9.140625" style="141"/>
    <col min="15617" max="15617" width="15.85546875" style="141" customWidth="1"/>
    <col min="15618" max="15618" width="16.5703125" style="141" bestFit="1" customWidth="1"/>
    <col min="15619" max="15619" width="52.7109375" style="141" bestFit="1" customWidth="1"/>
    <col min="15620" max="15620" width="13.7109375" style="141" bestFit="1" customWidth="1"/>
    <col min="15621" max="15621" width="14.140625" style="141" bestFit="1" customWidth="1"/>
    <col min="15622" max="15622" width="13.140625" style="141" bestFit="1" customWidth="1"/>
    <col min="15623" max="15623" width="15.140625" style="141" customWidth="1"/>
    <col min="15624" max="15624" width="15.28515625" style="141" bestFit="1" customWidth="1"/>
    <col min="15625" max="15625" width="11.42578125" style="141" customWidth="1"/>
    <col min="15626" max="15626" width="16.7109375" style="141" customWidth="1"/>
    <col min="15627" max="15627" width="15.7109375" style="141" bestFit="1" customWidth="1"/>
    <col min="15628" max="15628" width="14.140625" style="141" customWidth="1"/>
    <col min="15629" max="15629" width="14.85546875" style="141" customWidth="1"/>
    <col min="15630" max="15630" width="9.7109375" style="141" customWidth="1"/>
    <col min="15631" max="15631" width="8.140625" style="141" customWidth="1"/>
    <col min="15632" max="15872" width="9.140625" style="141"/>
    <col min="15873" max="15873" width="15.85546875" style="141" customWidth="1"/>
    <col min="15874" max="15874" width="16.5703125" style="141" bestFit="1" customWidth="1"/>
    <col min="15875" max="15875" width="52.7109375" style="141" bestFit="1" customWidth="1"/>
    <col min="15876" max="15876" width="13.7109375" style="141" bestFit="1" customWidth="1"/>
    <col min="15877" max="15877" width="14.140625" style="141" bestFit="1" customWidth="1"/>
    <col min="15878" max="15878" width="13.140625" style="141" bestFit="1" customWidth="1"/>
    <col min="15879" max="15879" width="15.140625" style="141" customWidth="1"/>
    <col min="15880" max="15880" width="15.28515625" style="141" bestFit="1" customWidth="1"/>
    <col min="15881" max="15881" width="11.42578125" style="141" customWidth="1"/>
    <col min="15882" max="15882" width="16.7109375" style="141" customWidth="1"/>
    <col min="15883" max="15883" width="15.7109375" style="141" bestFit="1" customWidth="1"/>
    <col min="15884" max="15884" width="14.140625" style="141" customWidth="1"/>
    <col min="15885" max="15885" width="14.85546875" style="141" customWidth="1"/>
    <col min="15886" max="15886" width="9.7109375" style="141" customWidth="1"/>
    <col min="15887" max="15887" width="8.140625" style="141" customWidth="1"/>
    <col min="15888" max="16128" width="9.140625" style="141"/>
    <col min="16129" max="16129" width="15.85546875" style="141" customWidth="1"/>
    <col min="16130" max="16130" width="16.5703125" style="141" bestFit="1" customWidth="1"/>
    <col min="16131" max="16131" width="52.7109375" style="141" bestFit="1" customWidth="1"/>
    <col min="16132" max="16132" width="13.7109375" style="141" bestFit="1" customWidth="1"/>
    <col min="16133" max="16133" width="14.140625" style="141" bestFit="1" customWidth="1"/>
    <col min="16134" max="16134" width="13.140625" style="141" bestFit="1" customWidth="1"/>
    <col min="16135" max="16135" width="15.140625" style="141" customWidth="1"/>
    <col min="16136" max="16136" width="15.28515625" style="141" bestFit="1" customWidth="1"/>
    <col min="16137" max="16137" width="11.42578125" style="141" customWidth="1"/>
    <col min="16138" max="16138" width="16.7109375" style="141" customWidth="1"/>
    <col min="16139" max="16139" width="15.7109375" style="141" bestFit="1" customWidth="1"/>
    <col min="16140" max="16140" width="14.140625" style="141" customWidth="1"/>
    <col min="16141" max="16141" width="14.85546875" style="141" customWidth="1"/>
    <col min="16142" max="16142" width="9.7109375" style="141" customWidth="1"/>
    <col min="16143" max="16143" width="8.140625" style="141" customWidth="1"/>
    <col min="16144" max="16384" width="9.140625" style="141"/>
  </cols>
  <sheetData>
    <row r="1" spans="1:19" ht="12.75" customHeight="1" thickBot="1">
      <c r="A1" s="537" t="s">
        <v>346</v>
      </c>
      <c r="B1" s="537" t="s">
        <v>347</v>
      </c>
      <c r="C1" s="537" t="s">
        <v>348</v>
      </c>
      <c r="D1" s="537" t="s">
        <v>349</v>
      </c>
      <c r="E1" s="537" t="s">
        <v>350</v>
      </c>
      <c r="F1" s="537" t="s">
        <v>351</v>
      </c>
      <c r="G1" s="537" t="s">
        <v>352</v>
      </c>
      <c r="H1" s="139" t="s">
        <v>354</v>
      </c>
      <c r="I1" s="537" t="s">
        <v>1326</v>
      </c>
      <c r="J1" s="537" t="s">
        <v>356</v>
      </c>
      <c r="K1" s="139" t="s">
        <v>353</v>
      </c>
      <c r="L1" s="537" t="s">
        <v>1327</v>
      </c>
      <c r="M1" s="537" t="s">
        <v>1328</v>
      </c>
      <c r="N1" s="140" t="s">
        <v>1329</v>
      </c>
      <c r="O1" s="537" t="s">
        <v>1330</v>
      </c>
      <c r="R1" s="537" t="s">
        <v>479</v>
      </c>
      <c r="S1" s="140" t="s">
        <v>1331</v>
      </c>
    </row>
    <row r="2" spans="1:19" ht="12.75" customHeight="1">
      <c r="A2" s="538" t="s">
        <v>360</v>
      </c>
      <c r="B2" s="539" t="s">
        <v>1332</v>
      </c>
      <c r="C2" s="539" t="s">
        <v>1333</v>
      </c>
      <c r="D2" s="539" t="s">
        <v>1334</v>
      </c>
      <c r="E2" s="540">
        <v>39282</v>
      </c>
      <c r="F2" s="541">
        <v>47474</v>
      </c>
      <c r="G2" s="541">
        <v>0</v>
      </c>
      <c r="H2" s="542">
        <v>76890</v>
      </c>
      <c r="I2" s="541" t="s">
        <v>1335</v>
      </c>
      <c r="J2" s="543">
        <f t="shared" ref="J2:J65" si="0">H2/I2</f>
        <v>26.368312757201647</v>
      </c>
      <c r="K2" s="542">
        <v>7290</v>
      </c>
      <c r="L2" s="541" t="s">
        <v>1336</v>
      </c>
      <c r="M2" s="541" t="s">
        <v>1337</v>
      </c>
      <c r="N2" s="544" t="s">
        <v>1338</v>
      </c>
      <c r="O2" s="545" t="s">
        <v>1339</v>
      </c>
      <c r="P2" s="141">
        <v>1</v>
      </c>
      <c r="R2" s="150">
        <v>26.368312757201647</v>
      </c>
      <c r="S2" s="165">
        <v>0.35</v>
      </c>
    </row>
    <row r="3" spans="1:19" ht="12.75" customHeight="1">
      <c r="A3" s="546" t="s">
        <v>360</v>
      </c>
      <c r="B3" s="547" t="s">
        <v>1332</v>
      </c>
      <c r="C3" s="547" t="s">
        <v>1333</v>
      </c>
      <c r="D3" s="547" t="s">
        <v>1340</v>
      </c>
      <c r="E3" s="548">
        <v>39380</v>
      </c>
      <c r="F3" s="549">
        <v>10094</v>
      </c>
      <c r="G3" s="549">
        <v>0</v>
      </c>
      <c r="H3" s="550">
        <v>13825</v>
      </c>
      <c r="I3" s="549" t="s">
        <v>1341</v>
      </c>
      <c r="J3" s="551">
        <f t="shared" si="0"/>
        <v>22.298387096774192</v>
      </c>
      <c r="K3" s="550">
        <v>1550</v>
      </c>
      <c r="L3" s="549" t="s">
        <v>1336</v>
      </c>
      <c r="M3" s="549" t="s">
        <v>1337</v>
      </c>
      <c r="N3" s="552" t="s">
        <v>1338</v>
      </c>
      <c r="O3" s="553" t="s">
        <v>1342</v>
      </c>
      <c r="P3" s="141">
        <v>1</v>
      </c>
      <c r="R3" s="150">
        <v>22.298387096774192</v>
      </c>
      <c r="S3" s="165">
        <v>0.35</v>
      </c>
    </row>
    <row r="4" spans="1:19" ht="12.75" customHeight="1">
      <c r="A4" s="546" t="s">
        <v>360</v>
      </c>
      <c r="B4" s="547" t="s">
        <v>1332</v>
      </c>
      <c r="C4" s="547" t="s">
        <v>1333</v>
      </c>
      <c r="D4" s="547" t="s">
        <v>1343</v>
      </c>
      <c r="E4" s="548">
        <v>39534</v>
      </c>
      <c r="F4" s="549">
        <v>34287</v>
      </c>
      <c r="G4" s="549">
        <v>0</v>
      </c>
      <c r="H4" s="550">
        <v>20782.7</v>
      </c>
      <c r="I4" s="549" t="s">
        <v>1344</v>
      </c>
      <c r="J4" s="551">
        <f t="shared" si="0"/>
        <v>9.8683285849952522</v>
      </c>
      <c r="K4" s="550">
        <v>5265</v>
      </c>
      <c r="L4" s="549" t="s">
        <v>64</v>
      </c>
      <c r="M4" s="549" t="s">
        <v>1337</v>
      </c>
      <c r="N4" s="552" t="s">
        <v>1338</v>
      </c>
      <c r="O4" s="553" t="s">
        <v>64</v>
      </c>
      <c r="P4" s="141">
        <v>1</v>
      </c>
      <c r="R4" s="150">
        <v>9.8683285849952522</v>
      </c>
      <c r="S4" s="165">
        <v>0.35</v>
      </c>
    </row>
    <row r="5" spans="1:19" ht="12.75" customHeight="1">
      <c r="A5" s="546" t="s">
        <v>360</v>
      </c>
      <c r="B5" s="547" t="s">
        <v>1345</v>
      </c>
      <c r="C5" s="547" t="s">
        <v>1346</v>
      </c>
      <c r="D5" s="547" t="s">
        <v>1347</v>
      </c>
      <c r="E5" s="548">
        <v>39282</v>
      </c>
      <c r="F5" s="549">
        <v>0</v>
      </c>
      <c r="G5" s="549">
        <v>9665.5</v>
      </c>
      <c r="H5" s="550">
        <v>425467</v>
      </c>
      <c r="I5" s="549" t="s">
        <v>1348</v>
      </c>
      <c r="J5" s="551">
        <f t="shared" si="0"/>
        <v>20.314505347593585</v>
      </c>
      <c r="K5" s="550">
        <v>36652</v>
      </c>
      <c r="L5" s="549" t="s">
        <v>1336</v>
      </c>
      <c r="M5" s="549" t="s">
        <v>1337</v>
      </c>
      <c r="N5" s="552" t="s">
        <v>1338</v>
      </c>
      <c r="O5" s="553" t="s">
        <v>1349</v>
      </c>
      <c r="P5" s="141">
        <v>1</v>
      </c>
      <c r="R5" s="150">
        <v>20.314505347593585</v>
      </c>
      <c r="S5" s="165">
        <v>0.35</v>
      </c>
    </row>
    <row r="6" spans="1:19" ht="12.75" customHeight="1">
      <c r="A6" s="546" t="s">
        <v>360</v>
      </c>
      <c r="B6" s="547" t="s">
        <v>1350</v>
      </c>
      <c r="C6" s="547" t="s">
        <v>1351</v>
      </c>
      <c r="D6" s="547" t="s">
        <v>1352</v>
      </c>
      <c r="E6" s="548">
        <v>39366</v>
      </c>
      <c r="F6" s="549">
        <v>39318</v>
      </c>
      <c r="G6" s="549">
        <v>0</v>
      </c>
      <c r="H6" s="550">
        <v>55915.29</v>
      </c>
      <c r="I6" s="549" t="s">
        <v>1353</v>
      </c>
      <c r="J6" s="551">
        <f t="shared" si="0"/>
        <v>23.153329192546583</v>
      </c>
      <c r="K6" s="550">
        <v>6037.5</v>
      </c>
      <c r="L6" s="549" t="s">
        <v>1336</v>
      </c>
      <c r="M6" s="549" t="s">
        <v>1337</v>
      </c>
      <c r="N6" s="552" t="s">
        <v>1354</v>
      </c>
      <c r="O6" s="553" t="s">
        <v>1355</v>
      </c>
      <c r="P6" s="141">
        <v>1</v>
      </c>
      <c r="R6" s="150">
        <v>23.153329192546583</v>
      </c>
      <c r="S6" s="165">
        <v>0.34</v>
      </c>
    </row>
    <row r="7" spans="1:19" ht="12.75" customHeight="1">
      <c r="A7" s="546" t="s">
        <v>360</v>
      </c>
      <c r="B7" s="547" t="s">
        <v>1350</v>
      </c>
      <c r="C7" s="547" t="s">
        <v>1351</v>
      </c>
      <c r="D7" s="547" t="s">
        <v>1356</v>
      </c>
      <c r="E7" s="548">
        <v>39366</v>
      </c>
      <c r="F7" s="549">
        <v>29565</v>
      </c>
      <c r="G7" s="549">
        <v>0</v>
      </c>
      <c r="H7" s="550">
        <v>39170.120000000003</v>
      </c>
      <c r="I7" s="549" t="s">
        <v>1357</v>
      </c>
      <c r="J7" s="551">
        <f t="shared" si="0"/>
        <v>21.569449339207051</v>
      </c>
      <c r="K7" s="550">
        <v>4540</v>
      </c>
      <c r="L7" s="549" t="s">
        <v>1336</v>
      </c>
      <c r="M7" s="549" t="s">
        <v>1337</v>
      </c>
      <c r="N7" s="552" t="s">
        <v>1354</v>
      </c>
      <c r="O7" s="553" t="s">
        <v>1358</v>
      </c>
      <c r="P7" s="141">
        <v>1</v>
      </c>
      <c r="R7" s="150">
        <v>21.569449339207051</v>
      </c>
      <c r="S7" s="165">
        <v>0.34</v>
      </c>
    </row>
    <row r="8" spans="1:19" ht="12.75" customHeight="1">
      <c r="A8" s="546" t="s">
        <v>360</v>
      </c>
      <c r="B8" s="547" t="s">
        <v>1332</v>
      </c>
      <c r="C8" s="547" t="s">
        <v>1333</v>
      </c>
      <c r="D8" s="547" t="s">
        <v>1359</v>
      </c>
      <c r="E8" s="548">
        <v>39345</v>
      </c>
      <c r="F8" s="549">
        <v>32643</v>
      </c>
      <c r="G8" s="549">
        <v>0</v>
      </c>
      <c r="H8" s="550">
        <v>60709.38</v>
      </c>
      <c r="I8" s="549" t="s">
        <v>1360</v>
      </c>
      <c r="J8" s="551">
        <f t="shared" si="0"/>
        <v>30.278992518703241</v>
      </c>
      <c r="K8" s="550">
        <v>5012.5</v>
      </c>
      <c r="L8" s="549" t="s">
        <v>1336</v>
      </c>
      <c r="M8" s="549" t="s">
        <v>1337</v>
      </c>
      <c r="N8" s="552" t="s">
        <v>1354</v>
      </c>
      <c r="O8" s="553" t="s">
        <v>1361</v>
      </c>
      <c r="P8" s="141">
        <v>1</v>
      </c>
      <c r="R8" s="150">
        <v>30.278992518703241</v>
      </c>
      <c r="S8" s="165">
        <v>0.34</v>
      </c>
    </row>
    <row r="9" spans="1:19" ht="12.75" customHeight="1">
      <c r="A9" s="546" t="s">
        <v>360</v>
      </c>
      <c r="B9" s="547" t="s">
        <v>1332</v>
      </c>
      <c r="C9" s="547" t="s">
        <v>1333</v>
      </c>
      <c r="D9" s="547" t="s">
        <v>1362</v>
      </c>
      <c r="E9" s="548">
        <v>39359</v>
      </c>
      <c r="F9" s="549">
        <v>41499</v>
      </c>
      <c r="G9" s="549">
        <v>0</v>
      </c>
      <c r="H9" s="550">
        <v>49385</v>
      </c>
      <c r="I9" s="549" t="s">
        <v>1363</v>
      </c>
      <c r="J9" s="551">
        <f t="shared" si="0"/>
        <v>19.374264417418594</v>
      </c>
      <c r="K9" s="550">
        <v>6372.5</v>
      </c>
      <c r="L9" s="549" t="s">
        <v>1336</v>
      </c>
      <c r="M9" s="549" t="s">
        <v>1337</v>
      </c>
      <c r="N9" s="552" t="s">
        <v>1354</v>
      </c>
      <c r="O9" s="553" t="s">
        <v>1364</v>
      </c>
      <c r="P9" s="141">
        <v>1</v>
      </c>
      <c r="R9" s="150">
        <v>19.374264417418594</v>
      </c>
      <c r="S9" s="165">
        <v>0.34</v>
      </c>
    </row>
    <row r="10" spans="1:19" ht="12.75" customHeight="1">
      <c r="A10" s="546" t="s">
        <v>360</v>
      </c>
      <c r="B10" s="547" t="s">
        <v>1332</v>
      </c>
      <c r="C10" s="547" t="s">
        <v>1333</v>
      </c>
      <c r="D10" s="547" t="s">
        <v>1365</v>
      </c>
      <c r="E10" s="548">
        <v>39407</v>
      </c>
      <c r="F10" s="549">
        <v>8727</v>
      </c>
      <c r="G10" s="549">
        <v>0</v>
      </c>
      <c r="H10" s="550">
        <v>14998</v>
      </c>
      <c r="I10" s="549" t="s">
        <v>1366</v>
      </c>
      <c r="J10" s="551">
        <f t="shared" si="0"/>
        <v>27.981343283582088</v>
      </c>
      <c r="K10" s="550">
        <v>1340</v>
      </c>
      <c r="L10" s="549" t="s">
        <v>1336</v>
      </c>
      <c r="M10" s="549" t="s">
        <v>1337</v>
      </c>
      <c r="N10" s="552" t="s">
        <v>1354</v>
      </c>
      <c r="O10" s="553" t="s">
        <v>1367</v>
      </c>
      <c r="P10" s="141">
        <v>1</v>
      </c>
      <c r="R10" s="150">
        <v>27.981343283582088</v>
      </c>
      <c r="S10" s="165">
        <v>0.34</v>
      </c>
    </row>
    <row r="11" spans="1:19" ht="12.75" customHeight="1">
      <c r="A11" s="546" t="s">
        <v>360</v>
      </c>
      <c r="B11" s="547" t="s">
        <v>1345</v>
      </c>
      <c r="C11" s="547" t="s">
        <v>1346</v>
      </c>
      <c r="D11" s="547" t="s">
        <v>1368</v>
      </c>
      <c r="E11" s="548">
        <v>39339</v>
      </c>
      <c r="F11" s="549">
        <v>0</v>
      </c>
      <c r="G11" s="549">
        <v>153.4</v>
      </c>
      <c r="H11" s="550">
        <v>9960</v>
      </c>
      <c r="I11" s="549" t="s">
        <v>1369</v>
      </c>
      <c r="J11" s="551">
        <f t="shared" si="0"/>
        <v>30</v>
      </c>
      <c r="K11" s="550">
        <v>581</v>
      </c>
      <c r="L11" s="549" t="s">
        <v>1336</v>
      </c>
      <c r="M11" s="549" t="s">
        <v>1337</v>
      </c>
      <c r="N11" s="552" t="s">
        <v>1354</v>
      </c>
      <c r="O11" s="553" t="s">
        <v>1370</v>
      </c>
      <c r="P11" s="141">
        <v>1</v>
      </c>
      <c r="R11" s="150">
        <v>30</v>
      </c>
      <c r="S11" s="165">
        <v>0.34</v>
      </c>
    </row>
    <row r="12" spans="1:19" ht="12.75" customHeight="1">
      <c r="A12" s="546" t="s">
        <v>360</v>
      </c>
      <c r="B12" s="547" t="s">
        <v>1332</v>
      </c>
      <c r="C12" s="547" t="s">
        <v>1333</v>
      </c>
      <c r="D12" s="547" t="s">
        <v>1371</v>
      </c>
      <c r="E12" s="548">
        <v>39387</v>
      </c>
      <c r="F12" s="549">
        <v>44381</v>
      </c>
      <c r="G12" s="549">
        <v>0</v>
      </c>
      <c r="H12" s="550">
        <v>49611</v>
      </c>
      <c r="I12" s="549" t="s">
        <v>1372</v>
      </c>
      <c r="J12" s="551">
        <f t="shared" si="0"/>
        <v>18.199192956713134</v>
      </c>
      <c r="K12" s="550">
        <v>6815</v>
      </c>
      <c r="L12" s="549" t="s">
        <v>1336</v>
      </c>
      <c r="M12" s="549" t="s">
        <v>1337</v>
      </c>
      <c r="N12" s="552" t="s">
        <v>1373</v>
      </c>
      <c r="O12" s="553" t="s">
        <v>1374</v>
      </c>
      <c r="P12" s="141">
        <v>1</v>
      </c>
      <c r="R12" s="150">
        <v>18.199192956713134</v>
      </c>
      <c r="S12" s="165">
        <v>0.33</v>
      </c>
    </row>
    <row r="13" spans="1:19" ht="12.75" customHeight="1">
      <c r="A13" s="546" t="s">
        <v>360</v>
      </c>
      <c r="B13" s="547" t="s">
        <v>1350</v>
      </c>
      <c r="C13" s="547" t="s">
        <v>1351</v>
      </c>
      <c r="D13" s="547" t="s">
        <v>1375</v>
      </c>
      <c r="E13" s="548">
        <v>39407</v>
      </c>
      <c r="F13" s="549">
        <v>27905</v>
      </c>
      <c r="G13" s="549">
        <v>0</v>
      </c>
      <c r="H13" s="550">
        <v>27411</v>
      </c>
      <c r="I13" s="549" t="s">
        <v>1376</v>
      </c>
      <c r="J13" s="551">
        <f t="shared" si="0"/>
        <v>15.992415402567094</v>
      </c>
      <c r="K13" s="550">
        <v>4285</v>
      </c>
      <c r="L13" s="549" t="s">
        <v>1336</v>
      </c>
      <c r="M13" s="549" t="s">
        <v>1337</v>
      </c>
      <c r="N13" s="552" t="s">
        <v>1377</v>
      </c>
      <c r="O13" s="553" t="s">
        <v>1378</v>
      </c>
      <c r="P13" s="141">
        <v>1</v>
      </c>
      <c r="R13" s="150">
        <v>15.992415402567094</v>
      </c>
      <c r="S13" s="165">
        <v>0.32</v>
      </c>
    </row>
    <row r="14" spans="1:19" ht="12.75" customHeight="1">
      <c r="A14" s="546" t="s">
        <v>360</v>
      </c>
      <c r="B14" s="547" t="s">
        <v>1332</v>
      </c>
      <c r="C14" s="547" t="s">
        <v>1333</v>
      </c>
      <c r="D14" s="547" t="s">
        <v>1379</v>
      </c>
      <c r="E14" s="548">
        <v>39226</v>
      </c>
      <c r="F14" s="549">
        <v>25935</v>
      </c>
      <c r="G14" s="549">
        <v>0</v>
      </c>
      <c r="H14" s="550">
        <v>29535</v>
      </c>
      <c r="I14" s="549" t="s">
        <v>1380</v>
      </c>
      <c r="J14" s="551">
        <f t="shared" si="0"/>
        <v>18.540489642184557</v>
      </c>
      <c r="K14" s="550">
        <v>4779</v>
      </c>
      <c r="L14" s="549" t="s">
        <v>1336</v>
      </c>
      <c r="M14" s="549" t="s">
        <v>1337</v>
      </c>
      <c r="N14" s="552" t="s">
        <v>1377</v>
      </c>
      <c r="O14" s="553" t="s">
        <v>1381</v>
      </c>
      <c r="P14" s="141">
        <v>1</v>
      </c>
      <c r="R14" s="150">
        <v>18.540489642184557</v>
      </c>
      <c r="S14" s="165">
        <v>0.32</v>
      </c>
    </row>
    <row r="15" spans="1:19" ht="12.75" customHeight="1">
      <c r="A15" s="546" t="s">
        <v>360</v>
      </c>
      <c r="B15" s="547" t="s">
        <v>1332</v>
      </c>
      <c r="C15" s="547" t="s">
        <v>1333</v>
      </c>
      <c r="D15" s="547" t="s">
        <v>1382</v>
      </c>
      <c r="E15" s="548">
        <v>39353</v>
      </c>
      <c r="F15" s="549">
        <v>16770</v>
      </c>
      <c r="G15" s="549">
        <v>0</v>
      </c>
      <c r="H15" s="550">
        <v>17694.310000000001</v>
      </c>
      <c r="I15" s="549" t="s">
        <v>1383</v>
      </c>
      <c r="J15" s="551">
        <f t="shared" si="0"/>
        <v>17.178941747572818</v>
      </c>
      <c r="K15" s="550">
        <v>2575</v>
      </c>
      <c r="L15" s="549" t="s">
        <v>1336</v>
      </c>
      <c r="M15" s="549" t="s">
        <v>1337</v>
      </c>
      <c r="N15" s="552" t="s">
        <v>1377</v>
      </c>
      <c r="O15" s="553" t="s">
        <v>1384</v>
      </c>
      <c r="P15" s="141">
        <v>1</v>
      </c>
      <c r="R15" s="150">
        <v>17.178941747572818</v>
      </c>
      <c r="S15" s="165">
        <v>0.32</v>
      </c>
    </row>
    <row r="16" spans="1:19" ht="12.75" customHeight="1">
      <c r="A16" s="546" t="s">
        <v>360</v>
      </c>
      <c r="B16" s="547" t="s">
        <v>1332</v>
      </c>
      <c r="C16" s="547" t="s">
        <v>1333</v>
      </c>
      <c r="D16" s="547" t="s">
        <v>1385</v>
      </c>
      <c r="E16" s="548">
        <v>39359</v>
      </c>
      <c r="F16" s="549">
        <v>64764</v>
      </c>
      <c r="G16" s="549">
        <v>0</v>
      </c>
      <c r="H16" s="550">
        <v>69050</v>
      </c>
      <c r="I16" s="549" t="s">
        <v>1386</v>
      </c>
      <c r="J16" s="551">
        <f t="shared" si="0"/>
        <v>17.357968828557063</v>
      </c>
      <c r="K16" s="550">
        <v>9945</v>
      </c>
      <c r="L16" s="549" t="s">
        <v>1336</v>
      </c>
      <c r="M16" s="549" t="s">
        <v>1337</v>
      </c>
      <c r="N16" s="552" t="s">
        <v>1377</v>
      </c>
      <c r="O16" s="553" t="s">
        <v>1387</v>
      </c>
      <c r="P16" s="141">
        <v>1</v>
      </c>
      <c r="R16" s="150">
        <v>17.357968828557063</v>
      </c>
      <c r="S16" s="165">
        <v>0.32</v>
      </c>
    </row>
    <row r="17" spans="1:19" ht="12.75" customHeight="1">
      <c r="A17" s="546" t="s">
        <v>360</v>
      </c>
      <c r="B17" s="547" t="s">
        <v>1332</v>
      </c>
      <c r="C17" s="547" t="s">
        <v>1333</v>
      </c>
      <c r="D17" s="547" t="s">
        <v>1388</v>
      </c>
      <c r="E17" s="548">
        <v>39353</v>
      </c>
      <c r="F17" s="549">
        <v>26797</v>
      </c>
      <c r="G17" s="549">
        <v>0</v>
      </c>
      <c r="H17" s="550">
        <v>39492</v>
      </c>
      <c r="I17" s="549" t="s">
        <v>1389</v>
      </c>
      <c r="J17" s="551">
        <f t="shared" si="0"/>
        <v>23.992709599027947</v>
      </c>
      <c r="K17" s="550">
        <v>4938</v>
      </c>
      <c r="L17" s="549" t="s">
        <v>1336</v>
      </c>
      <c r="M17" s="549" t="s">
        <v>1337</v>
      </c>
      <c r="N17" s="552" t="s">
        <v>1377</v>
      </c>
      <c r="O17" s="553" t="s">
        <v>1390</v>
      </c>
      <c r="P17" s="141">
        <v>1</v>
      </c>
      <c r="R17" s="150">
        <v>23.992709599027947</v>
      </c>
      <c r="S17" s="165">
        <v>0.32</v>
      </c>
    </row>
    <row r="18" spans="1:19" ht="12.75" customHeight="1">
      <c r="A18" s="546" t="s">
        <v>360</v>
      </c>
      <c r="B18" s="547" t="s">
        <v>1332</v>
      </c>
      <c r="C18" s="547" t="s">
        <v>1333</v>
      </c>
      <c r="D18" s="547" t="s">
        <v>1391</v>
      </c>
      <c r="E18" s="548">
        <v>39380</v>
      </c>
      <c r="F18" s="549">
        <v>60011</v>
      </c>
      <c r="G18" s="549">
        <v>0</v>
      </c>
      <c r="H18" s="550">
        <v>65836</v>
      </c>
      <c r="I18" s="549" t="s">
        <v>1392</v>
      </c>
      <c r="J18" s="551">
        <f t="shared" si="0"/>
        <v>17.861096039066737</v>
      </c>
      <c r="K18" s="550">
        <v>9215</v>
      </c>
      <c r="L18" s="549" t="s">
        <v>1336</v>
      </c>
      <c r="M18" s="549" t="s">
        <v>1337</v>
      </c>
      <c r="N18" s="552" t="s">
        <v>1377</v>
      </c>
      <c r="O18" s="553" t="s">
        <v>1393</v>
      </c>
      <c r="P18" s="141">
        <v>1</v>
      </c>
      <c r="R18" s="150">
        <v>17.861096039066737</v>
      </c>
      <c r="S18" s="165">
        <v>0.32</v>
      </c>
    </row>
    <row r="19" spans="1:19" ht="12.75" customHeight="1">
      <c r="A19" s="546" t="s">
        <v>360</v>
      </c>
      <c r="B19" s="547" t="s">
        <v>1332</v>
      </c>
      <c r="C19" s="547" t="s">
        <v>1333</v>
      </c>
      <c r="D19" s="547" t="s">
        <v>1394</v>
      </c>
      <c r="E19" s="548">
        <v>39395</v>
      </c>
      <c r="F19" s="549">
        <v>39334</v>
      </c>
      <c r="G19" s="549">
        <v>0</v>
      </c>
      <c r="H19" s="550">
        <v>54964.28</v>
      </c>
      <c r="I19" s="549" t="s">
        <v>1395</v>
      </c>
      <c r="J19" s="551">
        <f t="shared" si="0"/>
        <v>22.750115894039734</v>
      </c>
      <c r="K19" s="550">
        <v>7248</v>
      </c>
      <c r="L19" s="549" t="s">
        <v>1336</v>
      </c>
      <c r="M19" s="549" t="s">
        <v>1337</v>
      </c>
      <c r="N19" s="552" t="s">
        <v>1377</v>
      </c>
      <c r="O19" s="553" t="s">
        <v>1396</v>
      </c>
      <c r="P19" s="141">
        <v>1</v>
      </c>
      <c r="R19" s="150">
        <v>22.750115894039734</v>
      </c>
      <c r="S19" s="165">
        <v>0.32</v>
      </c>
    </row>
    <row r="20" spans="1:19" ht="12.75" customHeight="1">
      <c r="A20" s="546" t="s">
        <v>360</v>
      </c>
      <c r="B20" s="547" t="s">
        <v>1332</v>
      </c>
      <c r="C20" s="547" t="s">
        <v>1333</v>
      </c>
      <c r="D20" s="547" t="s">
        <v>1397</v>
      </c>
      <c r="E20" s="548">
        <v>39429</v>
      </c>
      <c r="F20" s="549">
        <v>11721</v>
      </c>
      <c r="G20" s="549">
        <v>0</v>
      </c>
      <c r="H20" s="550">
        <v>13647.63</v>
      </c>
      <c r="I20" s="549" t="s">
        <v>1398</v>
      </c>
      <c r="J20" s="551">
        <f t="shared" si="0"/>
        <v>18.955041666666666</v>
      </c>
      <c r="K20" s="550">
        <v>1799.83</v>
      </c>
      <c r="L20" s="549" t="s">
        <v>1336</v>
      </c>
      <c r="M20" s="549" t="s">
        <v>1337</v>
      </c>
      <c r="N20" s="552" t="s">
        <v>1377</v>
      </c>
      <c r="O20" s="553" t="s">
        <v>1381</v>
      </c>
      <c r="P20" s="141">
        <v>1</v>
      </c>
      <c r="R20" s="150">
        <v>18.955041666666666</v>
      </c>
      <c r="S20" s="165">
        <v>0.32</v>
      </c>
    </row>
    <row r="21" spans="1:19" ht="12.75" customHeight="1">
      <c r="A21" s="546" t="s">
        <v>360</v>
      </c>
      <c r="B21" s="547" t="s">
        <v>1332</v>
      </c>
      <c r="C21" s="547" t="s">
        <v>1333</v>
      </c>
      <c r="D21" s="547" t="s">
        <v>1399</v>
      </c>
      <c r="E21" s="548">
        <v>39447</v>
      </c>
      <c r="F21" s="549">
        <v>18007</v>
      </c>
      <c r="G21" s="549">
        <v>0</v>
      </c>
      <c r="H21" s="550">
        <v>24598.32</v>
      </c>
      <c r="I21" s="549" t="s">
        <v>1400</v>
      </c>
      <c r="J21" s="551">
        <f t="shared" si="0"/>
        <v>22.240795660036166</v>
      </c>
      <c r="K21" s="550">
        <v>2765</v>
      </c>
      <c r="L21" s="549" t="s">
        <v>1336</v>
      </c>
      <c r="M21" s="549" t="s">
        <v>1337</v>
      </c>
      <c r="N21" s="552" t="s">
        <v>1377</v>
      </c>
      <c r="O21" s="553" t="s">
        <v>1401</v>
      </c>
      <c r="P21" s="141">
        <v>1</v>
      </c>
      <c r="R21" s="150">
        <v>22.240795660036166</v>
      </c>
      <c r="S21" s="165">
        <v>0.32</v>
      </c>
    </row>
    <row r="22" spans="1:19" ht="12.75" customHeight="1">
      <c r="A22" s="546" t="s">
        <v>360</v>
      </c>
      <c r="B22" s="547" t="s">
        <v>1332</v>
      </c>
      <c r="C22" s="547" t="s">
        <v>1333</v>
      </c>
      <c r="D22" s="547" t="s">
        <v>1402</v>
      </c>
      <c r="E22" s="548">
        <v>39447</v>
      </c>
      <c r="F22" s="549">
        <v>20709</v>
      </c>
      <c r="G22" s="549">
        <v>0</v>
      </c>
      <c r="H22" s="550">
        <v>41300.15</v>
      </c>
      <c r="I22" s="549" t="s">
        <v>1403</v>
      </c>
      <c r="J22" s="551">
        <f t="shared" si="0"/>
        <v>32.700039588281868</v>
      </c>
      <c r="K22" s="550">
        <v>3157.5</v>
      </c>
      <c r="L22" s="549" t="s">
        <v>1336</v>
      </c>
      <c r="M22" s="549" t="s">
        <v>1337</v>
      </c>
      <c r="N22" s="552" t="s">
        <v>1377</v>
      </c>
      <c r="O22" s="553" t="s">
        <v>1404</v>
      </c>
      <c r="P22" s="141">
        <v>1</v>
      </c>
      <c r="R22" s="150">
        <v>32.700039588281868</v>
      </c>
      <c r="S22" s="165">
        <v>0.32</v>
      </c>
    </row>
    <row r="23" spans="1:19" ht="12.75" customHeight="1">
      <c r="A23" s="546" t="s">
        <v>360</v>
      </c>
      <c r="B23" s="547" t="s">
        <v>1332</v>
      </c>
      <c r="C23" s="547" t="s">
        <v>1333</v>
      </c>
      <c r="D23" s="547" t="s">
        <v>1405</v>
      </c>
      <c r="E23" s="548">
        <v>39447</v>
      </c>
      <c r="F23" s="549">
        <v>27107</v>
      </c>
      <c r="G23" s="549">
        <v>0</v>
      </c>
      <c r="H23" s="550">
        <v>39485.49</v>
      </c>
      <c r="I23" s="549" t="s">
        <v>1406</v>
      </c>
      <c r="J23" s="551">
        <f t="shared" si="0"/>
        <v>23.715009009009009</v>
      </c>
      <c r="K23" s="550">
        <v>4162.5</v>
      </c>
      <c r="L23" s="549" t="s">
        <v>1336</v>
      </c>
      <c r="M23" s="549" t="s">
        <v>1337</v>
      </c>
      <c r="N23" s="552" t="s">
        <v>1377</v>
      </c>
      <c r="O23" s="553" t="s">
        <v>1407</v>
      </c>
      <c r="P23" s="141">
        <v>1</v>
      </c>
      <c r="R23" s="150">
        <v>23.715009009009009</v>
      </c>
      <c r="S23" s="165">
        <v>0.32</v>
      </c>
    </row>
    <row r="24" spans="1:19" ht="12.75" customHeight="1">
      <c r="A24" s="546" t="s">
        <v>360</v>
      </c>
      <c r="B24" s="547" t="s">
        <v>1332</v>
      </c>
      <c r="C24" s="547" t="s">
        <v>1333</v>
      </c>
      <c r="D24" s="547" t="s">
        <v>1408</v>
      </c>
      <c r="E24" s="548">
        <v>39534</v>
      </c>
      <c r="F24" s="549">
        <v>76649</v>
      </c>
      <c r="G24" s="549">
        <v>0</v>
      </c>
      <c r="H24" s="550">
        <v>106000</v>
      </c>
      <c r="I24" s="549" t="s">
        <v>1409</v>
      </c>
      <c r="J24" s="551">
        <f t="shared" si="0"/>
        <v>22.514868309260834</v>
      </c>
      <c r="K24" s="550">
        <v>11770</v>
      </c>
      <c r="L24" s="549" t="s">
        <v>64</v>
      </c>
      <c r="M24" s="549" t="s">
        <v>1337</v>
      </c>
      <c r="N24" s="552" t="s">
        <v>1377</v>
      </c>
      <c r="O24" s="553" t="s">
        <v>64</v>
      </c>
      <c r="P24" s="141">
        <v>1</v>
      </c>
      <c r="R24" s="150">
        <v>22.514868309260834</v>
      </c>
      <c r="S24" s="165">
        <v>0.32</v>
      </c>
    </row>
    <row r="25" spans="1:19" ht="12.75" customHeight="1">
      <c r="A25" s="546" t="s">
        <v>360</v>
      </c>
      <c r="B25" s="547" t="s">
        <v>1332</v>
      </c>
      <c r="C25" s="547" t="s">
        <v>1333</v>
      </c>
      <c r="D25" s="547" t="s">
        <v>1410</v>
      </c>
      <c r="E25" s="548">
        <v>39625</v>
      </c>
      <c r="F25" s="549">
        <v>11380</v>
      </c>
      <c r="G25" s="549">
        <v>0</v>
      </c>
      <c r="H25" s="550">
        <v>19515</v>
      </c>
      <c r="I25" s="549" t="s">
        <v>1411</v>
      </c>
      <c r="J25" s="551">
        <f t="shared" si="0"/>
        <v>27.918454935622318</v>
      </c>
      <c r="K25" s="550">
        <v>1747.5</v>
      </c>
      <c r="L25" s="549" t="s">
        <v>1336</v>
      </c>
      <c r="M25" s="549" t="s">
        <v>1337</v>
      </c>
      <c r="N25" s="552" t="s">
        <v>1377</v>
      </c>
      <c r="O25" s="553" t="s">
        <v>1412</v>
      </c>
      <c r="P25" s="141">
        <v>1</v>
      </c>
      <c r="R25" s="150">
        <v>27.918454935622318</v>
      </c>
      <c r="S25" s="165">
        <v>0.32</v>
      </c>
    </row>
    <row r="26" spans="1:19" ht="12.75" customHeight="1">
      <c r="A26" s="546" t="s">
        <v>360</v>
      </c>
      <c r="B26" s="547" t="s">
        <v>1345</v>
      </c>
      <c r="C26" s="547" t="s">
        <v>1346</v>
      </c>
      <c r="D26" s="547" t="s">
        <v>1413</v>
      </c>
      <c r="E26" s="548">
        <v>39415</v>
      </c>
      <c r="F26" s="549">
        <v>0</v>
      </c>
      <c r="G26" s="549">
        <v>155.35</v>
      </c>
      <c r="H26" s="550">
        <v>15531</v>
      </c>
      <c r="I26" s="549" t="s">
        <v>1414</v>
      </c>
      <c r="J26" s="551">
        <f t="shared" si="0"/>
        <v>46.08605341246291</v>
      </c>
      <c r="K26" s="550">
        <v>589.75</v>
      </c>
      <c r="L26" s="549" t="s">
        <v>1336</v>
      </c>
      <c r="M26" s="549" t="s">
        <v>1337</v>
      </c>
      <c r="N26" s="552" t="s">
        <v>1377</v>
      </c>
      <c r="O26" s="553" t="s">
        <v>1415</v>
      </c>
      <c r="P26" s="141">
        <v>1</v>
      </c>
      <c r="R26" s="150">
        <v>46.08605341246291</v>
      </c>
      <c r="S26" s="165">
        <v>0.32</v>
      </c>
    </row>
    <row r="27" spans="1:19" ht="12.75" customHeight="1">
      <c r="A27" s="546" t="s">
        <v>360</v>
      </c>
      <c r="B27" s="547" t="s">
        <v>1345</v>
      </c>
      <c r="C27" s="547" t="s">
        <v>1346</v>
      </c>
      <c r="D27" s="547" t="s">
        <v>1416</v>
      </c>
      <c r="E27" s="548">
        <v>39625</v>
      </c>
      <c r="F27" s="549">
        <v>0</v>
      </c>
      <c r="G27" s="549">
        <v>239.2</v>
      </c>
      <c r="H27" s="550">
        <v>15460</v>
      </c>
      <c r="I27" s="549" t="s">
        <v>1417</v>
      </c>
      <c r="J27" s="551">
        <f t="shared" si="0"/>
        <v>31.422764227642276</v>
      </c>
      <c r="K27" s="550">
        <v>861</v>
      </c>
      <c r="L27" s="549" t="s">
        <v>1336</v>
      </c>
      <c r="M27" s="549" t="s">
        <v>1337</v>
      </c>
      <c r="N27" s="552" t="s">
        <v>1377</v>
      </c>
      <c r="O27" s="553" t="s">
        <v>1418</v>
      </c>
      <c r="P27" s="141">
        <v>1</v>
      </c>
      <c r="R27" s="150">
        <v>31.422764227642276</v>
      </c>
      <c r="S27" s="165">
        <v>0.32</v>
      </c>
    </row>
    <row r="28" spans="1:19" ht="12.75" customHeight="1">
      <c r="A28" s="546" t="s">
        <v>360</v>
      </c>
      <c r="B28" s="547" t="s">
        <v>1350</v>
      </c>
      <c r="C28" s="547" t="s">
        <v>1351</v>
      </c>
      <c r="D28" s="547" t="s">
        <v>1419</v>
      </c>
      <c r="E28" s="548">
        <v>39562</v>
      </c>
      <c r="F28" s="549">
        <v>6089</v>
      </c>
      <c r="G28" s="549">
        <v>0</v>
      </c>
      <c r="H28" s="550">
        <v>35250</v>
      </c>
      <c r="I28" s="549" t="s">
        <v>1420</v>
      </c>
      <c r="J28" s="551">
        <f t="shared" si="0"/>
        <v>44.620253164556964</v>
      </c>
      <c r="K28" s="550">
        <v>1185</v>
      </c>
      <c r="L28" s="549" t="s">
        <v>64</v>
      </c>
      <c r="M28" s="549" t="s">
        <v>1421</v>
      </c>
      <c r="N28" s="552" t="s">
        <v>1422</v>
      </c>
      <c r="O28" s="553" t="s">
        <v>1423</v>
      </c>
      <c r="P28" s="141">
        <v>1</v>
      </c>
      <c r="R28" s="150">
        <v>44.620253164556964</v>
      </c>
      <c r="S28" s="165">
        <v>0.31</v>
      </c>
    </row>
    <row r="29" spans="1:19" ht="12.75" customHeight="1">
      <c r="A29" s="546" t="s">
        <v>360</v>
      </c>
      <c r="B29" s="547" t="s">
        <v>1332</v>
      </c>
      <c r="C29" s="547" t="s">
        <v>1333</v>
      </c>
      <c r="D29" s="547" t="s">
        <v>1424</v>
      </c>
      <c r="E29" s="548">
        <v>39282</v>
      </c>
      <c r="F29" s="549">
        <v>38683</v>
      </c>
      <c r="G29" s="549">
        <v>0</v>
      </c>
      <c r="H29" s="550">
        <v>89200</v>
      </c>
      <c r="I29" s="549" t="s">
        <v>1425</v>
      </c>
      <c r="J29" s="551">
        <f t="shared" si="0"/>
        <v>37.542087542087543</v>
      </c>
      <c r="K29" s="550">
        <v>7128</v>
      </c>
      <c r="L29" s="549" t="s">
        <v>1336</v>
      </c>
      <c r="M29" s="549" t="s">
        <v>1337</v>
      </c>
      <c r="N29" s="552" t="s">
        <v>1422</v>
      </c>
      <c r="O29" s="553" t="s">
        <v>1426</v>
      </c>
      <c r="P29" s="141">
        <v>1</v>
      </c>
      <c r="R29" s="150">
        <v>37.542087542087543</v>
      </c>
      <c r="S29" s="165">
        <v>0.31</v>
      </c>
    </row>
    <row r="30" spans="1:19" ht="12.75" customHeight="1">
      <c r="A30" s="546" t="s">
        <v>360</v>
      </c>
      <c r="B30" s="547" t="s">
        <v>1332</v>
      </c>
      <c r="C30" s="547" t="s">
        <v>1333</v>
      </c>
      <c r="D30" s="547" t="s">
        <v>1427</v>
      </c>
      <c r="E30" s="548">
        <v>39443</v>
      </c>
      <c r="F30" s="549">
        <v>6691</v>
      </c>
      <c r="G30" s="549">
        <v>0</v>
      </c>
      <c r="H30" s="550">
        <v>7482.46</v>
      </c>
      <c r="I30" s="549" t="s">
        <v>1428</v>
      </c>
      <c r="J30" s="551">
        <f t="shared" si="0"/>
        <v>18.205498783454988</v>
      </c>
      <c r="K30" s="550">
        <v>1027.5</v>
      </c>
      <c r="L30" s="549" t="s">
        <v>1336</v>
      </c>
      <c r="M30" s="549" t="s">
        <v>1337</v>
      </c>
      <c r="N30" s="552" t="s">
        <v>1422</v>
      </c>
      <c r="O30" s="553" t="s">
        <v>1429</v>
      </c>
      <c r="P30" s="141">
        <v>1</v>
      </c>
      <c r="R30" s="150">
        <v>18.205498783454988</v>
      </c>
      <c r="S30" s="165">
        <v>0.31</v>
      </c>
    </row>
    <row r="31" spans="1:19" ht="12.75" customHeight="1">
      <c r="A31" s="546" t="s">
        <v>360</v>
      </c>
      <c r="B31" s="547" t="s">
        <v>1332</v>
      </c>
      <c r="C31" s="547" t="s">
        <v>1333</v>
      </c>
      <c r="D31" s="547" t="s">
        <v>1430</v>
      </c>
      <c r="E31" s="548">
        <v>39443</v>
      </c>
      <c r="F31" s="549">
        <v>18918</v>
      </c>
      <c r="G31" s="549">
        <v>0</v>
      </c>
      <c r="H31" s="550">
        <v>14458.61</v>
      </c>
      <c r="I31" s="549" t="s">
        <v>1431</v>
      </c>
      <c r="J31" s="551">
        <f t="shared" si="0"/>
        <v>12.442865748709123</v>
      </c>
      <c r="K31" s="550">
        <v>2905</v>
      </c>
      <c r="L31" s="549" t="s">
        <v>1336</v>
      </c>
      <c r="M31" s="549" t="s">
        <v>1337</v>
      </c>
      <c r="N31" s="552" t="s">
        <v>1422</v>
      </c>
      <c r="O31" s="553" t="s">
        <v>1432</v>
      </c>
      <c r="P31" s="141">
        <v>1</v>
      </c>
      <c r="R31" s="150">
        <v>12.442865748709123</v>
      </c>
      <c r="S31" s="165">
        <v>0.31</v>
      </c>
    </row>
    <row r="32" spans="1:19" ht="12.75" customHeight="1">
      <c r="A32" s="546" t="s">
        <v>360</v>
      </c>
      <c r="B32" s="547" t="s">
        <v>1332</v>
      </c>
      <c r="C32" s="547" t="s">
        <v>1333</v>
      </c>
      <c r="D32" s="547" t="s">
        <v>1433</v>
      </c>
      <c r="E32" s="548">
        <v>39447</v>
      </c>
      <c r="F32" s="549">
        <v>67206</v>
      </c>
      <c r="G32" s="549">
        <v>0</v>
      </c>
      <c r="H32" s="550">
        <v>56586.45</v>
      </c>
      <c r="I32" s="549" t="s">
        <v>1434</v>
      </c>
      <c r="J32" s="551">
        <f t="shared" si="0"/>
        <v>13.707957848837209</v>
      </c>
      <c r="K32" s="550">
        <v>10320</v>
      </c>
      <c r="L32" s="549" t="s">
        <v>1336</v>
      </c>
      <c r="M32" s="549" t="s">
        <v>1337</v>
      </c>
      <c r="N32" s="552" t="s">
        <v>1422</v>
      </c>
      <c r="O32" s="553" t="s">
        <v>1435</v>
      </c>
      <c r="P32" s="141">
        <v>1</v>
      </c>
      <c r="R32" s="150">
        <v>13.707957848837209</v>
      </c>
      <c r="S32" s="165">
        <v>0.31</v>
      </c>
    </row>
    <row r="33" spans="1:19" ht="12.75" customHeight="1">
      <c r="A33" s="546" t="s">
        <v>360</v>
      </c>
      <c r="B33" s="547" t="s">
        <v>1332</v>
      </c>
      <c r="C33" s="547" t="s">
        <v>1333</v>
      </c>
      <c r="D33" s="547" t="s">
        <v>1436</v>
      </c>
      <c r="E33" s="548">
        <v>39447</v>
      </c>
      <c r="F33" s="549">
        <v>3419</v>
      </c>
      <c r="G33" s="549">
        <v>0</v>
      </c>
      <c r="H33" s="550">
        <v>9325.9</v>
      </c>
      <c r="I33" s="549" t="s">
        <v>1437</v>
      </c>
      <c r="J33" s="551">
        <f t="shared" si="0"/>
        <v>44.40904761904762</v>
      </c>
      <c r="K33" s="550">
        <v>525</v>
      </c>
      <c r="L33" s="549" t="s">
        <v>1336</v>
      </c>
      <c r="M33" s="549" t="s">
        <v>1337</v>
      </c>
      <c r="N33" s="552" t="s">
        <v>1422</v>
      </c>
      <c r="O33" s="553" t="s">
        <v>1438</v>
      </c>
      <c r="P33" s="141">
        <v>1</v>
      </c>
      <c r="R33" s="150">
        <v>44.40904761904762</v>
      </c>
      <c r="S33" s="165">
        <v>0.31</v>
      </c>
    </row>
    <row r="34" spans="1:19" ht="12.75" customHeight="1">
      <c r="A34" s="546" t="s">
        <v>360</v>
      </c>
      <c r="B34" s="547" t="s">
        <v>1332</v>
      </c>
      <c r="C34" s="547" t="s">
        <v>1333</v>
      </c>
      <c r="D34" s="547" t="s">
        <v>1439</v>
      </c>
      <c r="E34" s="548">
        <v>39447</v>
      </c>
      <c r="F34" s="549">
        <v>0</v>
      </c>
      <c r="G34" s="549">
        <v>0</v>
      </c>
      <c r="H34" s="550">
        <v>6001.25</v>
      </c>
      <c r="I34" s="549" t="s">
        <v>1440</v>
      </c>
      <c r="J34" s="551">
        <f t="shared" si="0"/>
        <v>9.2611882716049383</v>
      </c>
      <c r="K34" s="550">
        <v>1944</v>
      </c>
      <c r="L34" s="549" t="s">
        <v>1336</v>
      </c>
      <c r="M34" s="549" t="s">
        <v>1337</v>
      </c>
      <c r="N34" s="552" t="s">
        <v>1422</v>
      </c>
      <c r="O34" s="553" t="s">
        <v>1441</v>
      </c>
      <c r="P34" s="141">
        <v>1</v>
      </c>
      <c r="R34" s="150">
        <v>9.2611882716049383</v>
      </c>
      <c r="S34" s="165">
        <v>0.31</v>
      </c>
    </row>
    <row r="35" spans="1:19" ht="12.75" customHeight="1">
      <c r="A35" s="546" t="s">
        <v>360</v>
      </c>
      <c r="B35" s="547" t="s">
        <v>1332</v>
      </c>
      <c r="C35" s="547" t="s">
        <v>1333</v>
      </c>
      <c r="D35" s="547" t="s">
        <v>1442</v>
      </c>
      <c r="E35" s="548">
        <v>39486</v>
      </c>
      <c r="F35" s="549">
        <v>10550</v>
      </c>
      <c r="G35" s="549">
        <v>0</v>
      </c>
      <c r="H35" s="550">
        <v>6001.25</v>
      </c>
      <c r="I35" s="549" t="s">
        <v>1440</v>
      </c>
      <c r="J35" s="551">
        <f t="shared" si="0"/>
        <v>9.2611882716049383</v>
      </c>
      <c r="K35" s="550">
        <v>1944</v>
      </c>
      <c r="L35" s="549" t="s">
        <v>1336</v>
      </c>
      <c r="M35" s="549" t="s">
        <v>1337</v>
      </c>
      <c r="N35" s="552" t="s">
        <v>1443</v>
      </c>
      <c r="O35" s="553" t="s">
        <v>1441</v>
      </c>
      <c r="P35" s="141">
        <v>1</v>
      </c>
      <c r="R35" s="150">
        <v>9.2611882716049383</v>
      </c>
      <c r="S35" s="165">
        <v>0.31</v>
      </c>
    </row>
    <row r="36" spans="1:19" ht="12.75" customHeight="1">
      <c r="A36" s="546" t="s">
        <v>360</v>
      </c>
      <c r="B36" s="547" t="s">
        <v>1332</v>
      </c>
      <c r="C36" s="547" t="s">
        <v>1333</v>
      </c>
      <c r="D36" s="547" t="s">
        <v>1444</v>
      </c>
      <c r="E36" s="548">
        <v>39520</v>
      </c>
      <c r="F36" s="549">
        <v>2344</v>
      </c>
      <c r="G36" s="549">
        <v>0</v>
      </c>
      <c r="H36" s="550">
        <v>4624.66</v>
      </c>
      <c r="I36" s="549" t="s">
        <v>1445</v>
      </c>
      <c r="J36" s="551">
        <f t="shared" si="0"/>
        <v>32.115694444444443</v>
      </c>
      <c r="K36" s="550">
        <v>360</v>
      </c>
      <c r="L36" s="549" t="s">
        <v>64</v>
      </c>
      <c r="M36" s="549" t="s">
        <v>1337</v>
      </c>
      <c r="N36" s="552" t="s">
        <v>1422</v>
      </c>
      <c r="O36" s="553" t="s">
        <v>1446</v>
      </c>
      <c r="P36" s="141">
        <v>1</v>
      </c>
      <c r="R36" s="150">
        <v>32.115694444444443</v>
      </c>
      <c r="S36" s="165">
        <v>0.31</v>
      </c>
    </row>
    <row r="37" spans="1:19" ht="12.75" customHeight="1">
      <c r="A37" s="546" t="s">
        <v>360</v>
      </c>
      <c r="B37" s="547" t="s">
        <v>1332</v>
      </c>
      <c r="C37" s="547" t="s">
        <v>1333</v>
      </c>
      <c r="D37" s="547" t="s">
        <v>1447</v>
      </c>
      <c r="E37" s="548">
        <v>39534</v>
      </c>
      <c r="F37" s="549">
        <v>29680</v>
      </c>
      <c r="G37" s="549">
        <v>0</v>
      </c>
      <c r="H37" s="550">
        <v>26884</v>
      </c>
      <c r="I37" s="549" t="s">
        <v>1448</v>
      </c>
      <c r="J37" s="551">
        <f t="shared" si="0"/>
        <v>14.747120131651124</v>
      </c>
      <c r="K37" s="550">
        <v>4557.5</v>
      </c>
      <c r="L37" s="549" t="s">
        <v>64</v>
      </c>
      <c r="M37" s="549" t="s">
        <v>1337</v>
      </c>
      <c r="N37" s="552" t="s">
        <v>1422</v>
      </c>
      <c r="O37" s="553" t="s">
        <v>64</v>
      </c>
      <c r="P37" s="141">
        <v>1</v>
      </c>
      <c r="R37" s="150">
        <v>14.747120131651124</v>
      </c>
      <c r="S37" s="165">
        <v>0.31</v>
      </c>
    </row>
    <row r="38" spans="1:19" ht="12.75" customHeight="1">
      <c r="A38" s="546" t="s">
        <v>360</v>
      </c>
      <c r="B38" s="547" t="s">
        <v>1332</v>
      </c>
      <c r="C38" s="547" t="s">
        <v>1333</v>
      </c>
      <c r="D38" s="547" t="s">
        <v>1449</v>
      </c>
      <c r="E38" s="548">
        <v>39555</v>
      </c>
      <c r="F38" s="549">
        <v>15824</v>
      </c>
      <c r="G38" s="549">
        <v>0</v>
      </c>
      <c r="H38" s="550">
        <v>27412.84</v>
      </c>
      <c r="I38" s="549" t="s">
        <v>1450</v>
      </c>
      <c r="J38" s="551">
        <f t="shared" si="0"/>
        <v>28.202510288065845</v>
      </c>
      <c r="K38" s="550">
        <v>2430</v>
      </c>
      <c r="L38" s="549" t="s">
        <v>64</v>
      </c>
      <c r="M38" s="549" t="s">
        <v>1337</v>
      </c>
      <c r="N38" s="552" t="s">
        <v>1422</v>
      </c>
      <c r="O38" s="553" t="s">
        <v>1451</v>
      </c>
      <c r="P38" s="141">
        <v>1</v>
      </c>
      <c r="R38" s="150">
        <v>28.202510288065845</v>
      </c>
      <c r="S38" s="165">
        <v>0.31</v>
      </c>
    </row>
    <row r="39" spans="1:19" ht="12.75" customHeight="1">
      <c r="A39" s="546" t="s">
        <v>360</v>
      </c>
      <c r="B39" s="547" t="s">
        <v>1332</v>
      </c>
      <c r="C39" s="547" t="s">
        <v>1333</v>
      </c>
      <c r="D39" s="547" t="s">
        <v>1452</v>
      </c>
      <c r="E39" s="548">
        <v>39597</v>
      </c>
      <c r="F39" s="549">
        <v>21881</v>
      </c>
      <c r="G39" s="549">
        <v>0</v>
      </c>
      <c r="H39" s="550">
        <v>23584</v>
      </c>
      <c r="I39" s="549" t="s">
        <v>1453</v>
      </c>
      <c r="J39" s="551">
        <f t="shared" si="0"/>
        <v>17.679160419790104</v>
      </c>
      <c r="K39" s="550">
        <v>3360</v>
      </c>
      <c r="L39" s="549" t="s">
        <v>1336</v>
      </c>
      <c r="M39" s="549" t="s">
        <v>1337</v>
      </c>
      <c r="N39" s="552" t="s">
        <v>1422</v>
      </c>
      <c r="O39" s="553" t="s">
        <v>1454</v>
      </c>
      <c r="P39" s="141">
        <v>1</v>
      </c>
      <c r="R39" s="150">
        <v>17.679160419790104</v>
      </c>
      <c r="S39" s="165">
        <v>0.31</v>
      </c>
    </row>
    <row r="40" spans="1:19" ht="12.75" customHeight="1">
      <c r="A40" s="546" t="s">
        <v>360</v>
      </c>
      <c r="B40" s="547" t="s">
        <v>1332</v>
      </c>
      <c r="C40" s="547" t="s">
        <v>1333</v>
      </c>
      <c r="D40" s="547" t="s">
        <v>1452</v>
      </c>
      <c r="E40" s="548">
        <v>39618</v>
      </c>
      <c r="F40" s="549">
        <v>-21881</v>
      </c>
      <c r="G40" s="549">
        <v>0</v>
      </c>
      <c r="H40" s="550">
        <v>23584</v>
      </c>
      <c r="I40" s="549" t="s">
        <v>1453</v>
      </c>
      <c r="J40" s="551">
        <f t="shared" si="0"/>
        <v>17.679160419790104</v>
      </c>
      <c r="K40" s="550">
        <v>3360</v>
      </c>
      <c r="L40" s="549" t="s">
        <v>1336</v>
      </c>
      <c r="M40" s="549" t="s">
        <v>1337</v>
      </c>
      <c r="N40" s="552" t="s">
        <v>1422</v>
      </c>
      <c r="O40" s="553" t="s">
        <v>1454</v>
      </c>
      <c r="P40" s="141">
        <v>1</v>
      </c>
      <c r="R40" s="150">
        <v>17.679160419790104</v>
      </c>
      <c r="S40" s="165">
        <v>0.31</v>
      </c>
    </row>
    <row r="41" spans="1:19" ht="12.75" customHeight="1">
      <c r="A41" s="546" t="s">
        <v>360</v>
      </c>
      <c r="B41" s="547" t="s">
        <v>1332</v>
      </c>
      <c r="C41" s="547" t="s">
        <v>1333</v>
      </c>
      <c r="D41" s="547" t="s">
        <v>1452</v>
      </c>
      <c r="E41" s="548">
        <v>39618</v>
      </c>
      <c r="F41" s="549">
        <v>21881</v>
      </c>
      <c r="G41" s="549">
        <v>0</v>
      </c>
      <c r="H41" s="550">
        <v>23584</v>
      </c>
      <c r="I41" s="549" t="s">
        <v>1453</v>
      </c>
      <c r="J41" s="551">
        <f t="shared" si="0"/>
        <v>17.679160419790104</v>
      </c>
      <c r="K41" s="550">
        <v>3360</v>
      </c>
      <c r="L41" s="549" t="s">
        <v>1336</v>
      </c>
      <c r="M41" s="549" t="s">
        <v>1337</v>
      </c>
      <c r="N41" s="552" t="s">
        <v>1422</v>
      </c>
      <c r="O41" s="553" t="s">
        <v>1454</v>
      </c>
      <c r="P41" s="141">
        <v>1</v>
      </c>
      <c r="R41" s="150">
        <v>17.679160419790104</v>
      </c>
      <c r="S41" s="165">
        <v>0.31</v>
      </c>
    </row>
    <row r="42" spans="1:19" ht="12.75" customHeight="1">
      <c r="A42" s="546" t="s">
        <v>360</v>
      </c>
      <c r="B42" s="547" t="s">
        <v>1345</v>
      </c>
      <c r="C42" s="547" t="s">
        <v>1346</v>
      </c>
      <c r="D42" s="547" t="s">
        <v>1455</v>
      </c>
      <c r="E42" s="548">
        <v>39247</v>
      </c>
      <c r="F42" s="549">
        <v>0</v>
      </c>
      <c r="G42" s="549">
        <v>2951.65</v>
      </c>
      <c r="H42" s="550">
        <v>173800</v>
      </c>
      <c r="I42" s="549" t="s">
        <v>1456</v>
      </c>
      <c r="J42" s="551">
        <f t="shared" si="0"/>
        <v>27.173233270794245</v>
      </c>
      <c r="K42" s="550">
        <v>14391</v>
      </c>
      <c r="L42" s="549" t="s">
        <v>1336</v>
      </c>
      <c r="M42" s="549" t="s">
        <v>1337</v>
      </c>
      <c r="N42" s="552" t="s">
        <v>1422</v>
      </c>
      <c r="O42" s="553" t="s">
        <v>1457</v>
      </c>
      <c r="P42" s="141">
        <v>1</v>
      </c>
      <c r="R42" s="150">
        <v>27.173233270794245</v>
      </c>
      <c r="S42" s="165">
        <v>0.31</v>
      </c>
    </row>
    <row r="43" spans="1:19" ht="12.75" customHeight="1">
      <c r="A43" s="546" t="s">
        <v>360</v>
      </c>
      <c r="B43" s="547" t="s">
        <v>1345</v>
      </c>
      <c r="C43" s="547" t="s">
        <v>1346</v>
      </c>
      <c r="D43" s="547" t="s">
        <v>1458</v>
      </c>
      <c r="E43" s="548">
        <v>39443</v>
      </c>
      <c r="F43" s="549">
        <v>0</v>
      </c>
      <c r="G43" s="549">
        <v>252.2</v>
      </c>
      <c r="H43" s="550">
        <v>9167.4</v>
      </c>
      <c r="I43" s="549" t="s">
        <v>1459</v>
      </c>
      <c r="J43" s="551">
        <f t="shared" si="0"/>
        <v>16.759414990859231</v>
      </c>
      <c r="K43" s="550">
        <v>957.25</v>
      </c>
      <c r="L43" s="549" t="s">
        <v>1336</v>
      </c>
      <c r="M43" s="549" t="s">
        <v>1337</v>
      </c>
      <c r="N43" s="552" t="s">
        <v>1422</v>
      </c>
      <c r="O43" s="553" t="s">
        <v>1460</v>
      </c>
      <c r="P43" s="141">
        <v>1</v>
      </c>
      <c r="R43" s="150">
        <v>16.759414990859231</v>
      </c>
      <c r="S43" s="165">
        <v>0.31</v>
      </c>
    </row>
    <row r="44" spans="1:19" ht="12.75" customHeight="1">
      <c r="A44" s="546" t="s">
        <v>360</v>
      </c>
      <c r="B44" s="547" t="s">
        <v>1461</v>
      </c>
      <c r="C44" s="547" t="s">
        <v>1462</v>
      </c>
      <c r="D44" s="547" t="s">
        <v>1463</v>
      </c>
      <c r="E44" s="548">
        <v>39359</v>
      </c>
      <c r="F44" s="549">
        <v>62550</v>
      </c>
      <c r="G44" s="549">
        <v>0</v>
      </c>
      <c r="H44" s="550">
        <v>47789.52</v>
      </c>
      <c r="I44" s="549" t="s">
        <v>1464</v>
      </c>
      <c r="J44" s="551">
        <f t="shared" si="0"/>
        <v>12.438709005726183</v>
      </c>
      <c r="K44" s="550">
        <v>15368</v>
      </c>
      <c r="L44" s="549" t="s">
        <v>1336</v>
      </c>
      <c r="M44" s="549" t="s">
        <v>1337</v>
      </c>
      <c r="N44" s="552" t="s">
        <v>1465</v>
      </c>
      <c r="O44" s="553" t="s">
        <v>1466</v>
      </c>
      <c r="P44" s="141">
        <v>1</v>
      </c>
      <c r="R44" s="150">
        <v>12.438709005726183</v>
      </c>
      <c r="S44" s="165">
        <v>0.3</v>
      </c>
    </row>
    <row r="45" spans="1:19" ht="12.75" customHeight="1">
      <c r="A45" s="546" t="s">
        <v>360</v>
      </c>
      <c r="B45" s="547" t="s">
        <v>1461</v>
      </c>
      <c r="C45" s="547" t="s">
        <v>1462</v>
      </c>
      <c r="D45" s="547" t="s">
        <v>1467</v>
      </c>
      <c r="E45" s="548">
        <v>39366</v>
      </c>
      <c r="F45" s="549">
        <v>20873</v>
      </c>
      <c r="G45" s="549">
        <v>0</v>
      </c>
      <c r="H45" s="550">
        <v>23711.78</v>
      </c>
      <c r="I45" s="549" t="s">
        <v>1468</v>
      </c>
      <c r="J45" s="551">
        <f t="shared" si="0"/>
        <v>18.495928237129483</v>
      </c>
      <c r="K45" s="550">
        <v>3846</v>
      </c>
      <c r="L45" s="549" t="s">
        <v>1336</v>
      </c>
      <c r="M45" s="549" t="s">
        <v>1337</v>
      </c>
      <c r="N45" s="552" t="s">
        <v>1465</v>
      </c>
      <c r="O45" s="553" t="s">
        <v>1469</v>
      </c>
      <c r="P45" s="141">
        <v>1</v>
      </c>
      <c r="R45" s="150">
        <v>18.495928237129483</v>
      </c>
      <c r="S45" s="165">
        <v>0.3</v>
      </c>
    </row>
    <row r="46" spans="1:19" ht="12.75" customHeight="1">
      <c r="A46" s="546" t="s">
        <v>360</v>
      </c>
      <c r="B46" s="547" t="s">
        <v>1461</v>
      </c>
      <c r="C46" s="547" t="s">
        <v>1462</v>
      </c>
      <c r="D46" s="547" t="s">
        <v>1470</v>
      </c>
      <c r="E46" s="548">
        <v>39407</v>
      </c>
      <c r="F46" s="549">
        <v>25852</v>
      </c>
      <c r="G46" s="549">
        <v>0</v>
      </c>
      <c r="H46" s="550">
        <v>86299</v>
      </c>
      <c r="I46" s="549" t="s">
        <v>1471</v>
      </c>
      <c r="J46" s="551">
        <f t="shared" si="0"/>
        <v>25.730172927847345</v>
      </c>
      <c r="K46" s="550">
        <v>6708</v>
      </c>
      <c r="L46" s="549" t="s">
        <v>1472</v>
      </c>
      <c r="M46" s="549" t="s">
        <v>1421</v>
      </c>
      <c r="N46" s="552" t="s">
        <v>1465</v>
      </c>
      <c r="O46" s="553" t="s">
        <v>1473</v>
      </c>
      <c r="P46" s="141">
        <v>1</v>
      </c>
      <c r="R46" s="150">
        <v>25.730172927847345</v>
      </c>
      <c r="S46" s="165">
        <v>0.3</v>
      </c>
    </row>
    <row r="47" spans="1:19" ht="12.75" customHeight="1">
      <c r="A47" s="546" t="s">
        <v>360</v>
      </c>
      <c r="B47" s="547" t="s">
        <v>1461</v>
      </c>
      <c r="C47" s="547" t="s">
        <v>1462</v>
      </c>
      <c r="D47" s="547" t="s">
        <v>1474</v>
      </c>
      <c r="E47" s="548">
        <v>39429</v>
      </c>
      <c r="F47" s="549">
        <v>113003</v>
      </c>
      <c r="G47" s="549">
        <v>0</v>
      </c>
      <c r="H47" s="550">
        <v>334127</v>
      </c>
      <c r="I47" s="549" t="s">
        <v>1475</v>
      </c>
      <c r="J47" s="551">
        <f t="shared" si="0"/>
        <v>22.790191664961462</v>
      </c>
      <c r="K47" s="550">
        <v>29322</v>
      </c>
      <c r="L47" s="549" t="s">
        <v>1472</v>
      </c>
      <c r="M47" s="549" t="s">
        <v>1421</v>
      </c>
      <c r="N47" s="552" t="s">
        <v>1465</v>
      </c>
      <c r="O47" s="553" t="s">
        <v>1476</v>
      </c>
      <c r="P47" s="141">
        <v>1</v>
      </c>
      <c r="R47" s="150">
        <v>22.790191664961462</v>
      </c>
      <c r="S47" s="165">
        <v>0.3</v>
      </c>
    </row>
    <row r="48" spans="1:19" ht="12.75" customHeight="1">
      <c r="A48" s="546" t="s">
        <v>360</v>
      </c>
      <c r="B48" s="547" t="s">
        <v>1461</v>
      </c>
      <c r="C48" s="547" t="s">
        <v>1462</v>
      </c>
      <c r="D48" s="547" t="s">
        <v>1477</v>
      </c>
      <c r="E48" s="548">
        <v>39447</v>
      </c>
      <c r="F48" s="549">
        <v>25691</v>
      </c>
      <c r="G48" s="549">
        <v>0</v>
      </c>
      <c r="H48" s="550">
        <v>46852</v>
      </c>
      <c r="I48" s="549" t="s">
        <v>1478</v>
      </c>
      <c r="J48" s="551">
        <f t="shared" si="0"/>
        <v>29.690747782002536</v>
      </c>
      <c r="K48" s="550">
        <v>6312</v>
      </c>
      <c r="L48" s="549" t="s">
        <v>1336</v>
      </c>
      <c r="M48" s="549" t="s">
        <v>1337</v>
      </c>
      <c r="N48" s="552" t="s">
        <v>1465</v>
      </c>
      <c r="O48" s="553" t="s">
        <v>1374</v>
      </c>
      <c r="P48" s="141">
        <v>1</v>
      </c>
      <c r="R48" s="150">
        <v>29.690747782002536</v>
      </c>
      <c r="S48" s="165">
        <v>0.3</v>
      </c>
    </row>
    <row r="49" spans="1:19" ht="12.75" customHeight="1">
      <c r="A49" s="546" t="s">
        <v>360</v>
      </c>
      <c r="B49" s="547" t="s">
        <v>1461</v>
      </c>
      <c r="C49" s="547" t="s">
        <v>1462</v>
      </c>
      <c r="D49" s="547" t="s">
        <v>1479</v>
      </c>
      <c r="E49" s="548">
        <v>39447</v>
      </c>
      <c r="F49" s="549">
        <v>115152</v>
      </c>
      <c r="G49" s="549">
        <v>0</v>
      </c>
      <c r="H49" s="550">
        <v>124623</v>
      </c>
      <c r="I49" s="549" t="s">
        <v>1480</v>
      </c>
      <c r="J49" s="551">
        <f t="shared" si="0"/>
        <v>17.619539092322917</v>
      </c>
      <c r="K49" s="550">
        <v>28292</v>
      </c>
      <c r="L49" s="549" t="s">
        <v>1336</v>
      </c>
      <c r="M49" s="549" t="s">
        <v>1337</v>
      </c>
      <c r="N49" s="552" t="s">
        <v>1465</v>
      </c>
      <c r="O49" s="553" t="s">
        <v>1481</v>
      </c>
      <c r="P49" s="141">
        <v>1</v>
      </c>
      <c r="R49" s="150">
        <v>17.619539092322917</v>
      </c>
      <c r="S49" s="165">
        <v>0.3</v>
      </c>
    </row>
    <row r="50" spans="1:19" ht="12.75" customHeight="1">
      <c r="A50" s="546" t="s">
        <v>360</v>
      </c>
      <c r="B50" s="547" t="s">
        <v>1482</v>
      </c>
      <c r="C50" s="547" t="s">
        <v>1483</v>
      </c>
      <c r="D50" s="547" t="s">
        <v>1484</v>
      </c>
      <c r="E50" s="548">
        <v>39198</v>
      </c>
      <c r="F50" s="549">
        <v>67467</v>
      </c>
      <c r="G50" s="549">
        <v>0</v>
      </c>
      <c r="H50" s="550">
        <v>104552</v>
      </c>
      <c r="I50" s="549" t="s">
        <v>1485</v>
      </c>
      <c r="J50" s="551">
        <f t="shared" si="0"/>
        <v>25.22972972972973</v>
      </c>
      <c r="K50" s="550">
        <v>12432</v>
      </c>
      <c r="L50" s="549" t="s">
        <v>1336</v>
      </c>
      <c r="M50" s="549" t="s">
        <v>1337</v>
      </c>
      <c r="N50" s="552" t="s">
        <v>1465</v>
      </c>
      <c r="O50" s="553" t="s">
        <v>1486</v>
      </c>
      <c r="P50" s="141">
        <v>1</v>
      </c>
      <c r="R50" s="150">
        <v>25.22972972972973</v>
      </c>
      <c r="S50" s="165">
        <v>0.3</v>
      </c>
    </row>
    <row r="51" spans="1:19" ht="12.75" customHeight="1">
      <c r="A51" s="546" t="s">
        <v>360</v>
      </c>
      <c r="B51" s="547" t="s">
        <v>1482</v>
      </c>
      <c r="C51" s="547" t="s">
        <v>1483</v>
      </c>
      <c r="D51" s="547" t="s">
        <v>1487</v>
      </c>
      <c r="E51" s="548">
        <v>39247</v>
      </c>
      <c r="F51" s="549">
        <v>35558</v>
      </c>
      <c r="G51" s="549">
        <v>0</v>
      </c>
      <c r="H51" s="550">
        <v>43997.46</v>
      </c>
      <c r="I51" s="549" t="s">
        <v>1488</v>
      </c>
      <c r="J51" s="551">
        <f t="shared" si="0"/>
        <v>20.145357142857144</v>
      </c>
      <c r="K51" s="550">
        <v>6552</v>
      </c>
      <c r="L51" s="549" t="s">
        <v>1336</v>
      </c>
      <c r="M51" s="549" t="s">
        <v>1337</v>
      </c>
      <c r="N51" s="552" t="s">
        <v>1465</v>
      </c>
      <c r="O51" s="553" t="s">
        <v>1489</v>
      </c>
      <c r="P51" s="141">
        <v>1</v>
      </c>
      <c r="R51" s="150">
        <v>20.145357142857144</v>
      </c>
      <c r="S51" s="165">
        <v>0.3</v>
      </c>
    </row>
    <row r="52" spans="1:19" ht="12.75" customHeight="1">
      <c r="A52" s="546" t="s">
        <v>360</v>
      </c>
      <c r="B52" s="547" t="s">
        <v>1482</v>
      </c>
      <c r="C52" s="547" t="s">
        <v>1483</v>
      </c>
      <c r="D52" s="547" t="s">
        <v>1490</v>
      </c>
      <c r="E52" s="548">
        <v>39345</v>
      </c>
      <c r="F52" s="549">
        <v>29110</v>
      </c>
      <c r="G52" s="549">
        <v>0</v>
      </c>
      <c r="H52" s="550">
        <v>34457</v>
      </c>
      <c r="I52" s="549" t="s">
        <v>1491</v>
      </c>
      <c r="J52" s="551">
        <f t="shared" si="0"/>
        <v>19.271252796420583</v>
      </c>
      <c r="K52" s="550">
        <v>5364</v>
      </c>
      <c r="L52" s="549" t="s">
        <v>1336</v>
      </c>
      <c r="M52" s="549" t="s">
        <v>1337</v>
      </c>
      <c r="N52" s="552" t="s">
        <v>1465</v>
      </c>
      <c r="O52" s="553" t="s">
        <v>1492</v>
      </c>
      <c r="P52" s="141">
        <v>1</v>
      </c>
      <c r="R52" s="150">
        <v>19.271252796420583</v>
      </c>
      <c r="S52" s="165">
        <v>0.3</v>
      </c>
    </row>
    <row r="53" spans="1:19" ht="12.75" customHeight="1">
      <c r="A53" s="546" t="s">
        <v>360</v>
      </c>
      <c r="B53" s="547" t="s">
        <v>1482</v>
      </c>
      <c r="C53" s="547" t="s">
        <v>1483</v>
      </c>
      <c r="D53" s="547" t="s">
        <v>1493</v>
      </c>
      <c r="E53" s="548">
        <v>39380</v>
      </c>
      <c r="F53" s="549">
        <v>19097</v>
      </c>
      <c r="G53" s="549">
        <v>0</v>
      </c>
      <c r="H53" s="550">
        <v>29076.95</v>
      </c>
      <c r="I53" s="549" t="s">
        <v>1494</v>
      </c>
      <c r="J53" s="551">
        <f t="shared" si="0"/>
        <v>24.788533674339302</v>
      </c>
      <c r="K53" s="550">
        <v>4692</v>
      </c>
      <c r="L53" s="549" t="s">
        <v>1336</v>
      </c>
      <c r="M53" s="549" t="s">
        <v>1337</v>
      </c>
      <c r="N53" s="552" t="s">
        <v>1465</v>
      </c>
      <c r="O53" s="553" t="s">
        <v>1495</v>
      </c>
      <c r="P53" s="141">
        <v>1</v>
      </c>
      <c r="R53" s="150">
        <v>24.788533674339302</v>
      </c>
      <c r="S53" s="165">
        <v>0.3</v>
      </c>
    </row>
    <row r="54" spans="1:19" ht="12.75" customHeight="1">
      <c r="A54" s="546" t="s">
        <v>360</v>
      </c>
      <c r="B54" s="547" t="s">
        <v>1482</v>
      </c>
      <c r="C54" s="547" t="s">
        <v>1483</v>
      </c>
      <c r="D54" s="547" t="s">
        <v>1496</v>
      </c>
      <c r="E54" s="548">
        <v>39380</v>
      </c>
      <c r="F54" s="549">
        <v>9841</v>
      </c>
      <c r="G54" s="549">
        <v>0</v>
      </c>
      <c r="H54" s="550">
        <v>16809</v>
      </c>
      <c r="I54" s="549" t="s">
        <v>1497</v>
      </c>
      <c r="J54" s="551">
        <f t="shared" si="0"/>
        <v>27.783471074380166</v>
      </c>
      <c r="K54" s="550">
        <v>1813.5</v>
      </c>
      <c r="L54" s="549" t="s">
        <v>1336</v>
      </c>
      <c r="M54" s="549" t="s">
        <v>1337</v>
      </c>
      <c r="N54" s="552" t="s">
        <v>1465</v>
      </c>
      <c r="O54" s="553" t="s">
        <v>1415</v>
      </c>
      <c r="P54" s="141">
        <v>1</v>
      </c>
      <c r="R54" s="150">
        <v>27.783471074380166</v>
      </c>
      <c r="S54" s="165">
        <v>0.3</v>
      </c>
    </row>
    <row r="55" spans="1:19" ht="12.75" customHeight="1">
      <c r="A55" s="546" t="s">
        <v>360</v>
      </c>
      <c r="B55" s="547" t="s">
        <v>1482</v>
      </c>
      <c r="C55" s="547" t="s">
        <v>1483</v>
      </c>
      <c r="D55" s="547" t="s">
        <v>1498</v>
      </c>
      <c r="E55" s="548">
        <v>39387</v>
      </c>
      <c r="F55" s="549">
        <v>34841</v>
      </c>
      <c r="G55" s="549">
        <v>0</v>
      </c>
      <c r="H55" s="550">
        <v>19854</v>
      </c>
      <c r="I55" s="549" t="s">
        <v>1499</v>
      </c>
      <c r="J55" s="551">
        <f t="shared" si="0"/>
        <v>9.2775700934579444</v>
      </c>
      <c r="K55" s="550">
        <v>6420</v>
      </c>
      <c r="L55" s="549" t="s">
        <v>1336</v>
      </c>
      <c r="M55" s="549" t="s">
        <v>1337</v>
      </c>
      <c r="N55" s="552" t="s">
        <v>1465</v>
      </c>
      <c r="O55" s="553" t="s">
        <v>1500</v>
      </c>
      <c r="P55" s="141">
        <v>1</v>
      </c>
      <c r="R55" s="150">
        <v>9.2775700934579444</v>
      </c>
      <c r="S55" s="165">
        <v>0.3</v>
      </c>
    </row>
    <row r="56" spans="1:19" ht="12.75" customHeight="1">
      <c r="A56" s="546" t="s">
        <v>360</v>
      </c>
      <c r="B56" s="547" t="s">
        <v>1482</v>
      </c>
      <c r="C56" s="547" t="s">
        <v>1483</v>
      </c>
      <c r="D56" s="547" t="s">
        <v>1501</v>
      </c>
      <c r="E56" s="548">
        <v>39387</v>
      </c>
      <c r="F56" s="549">
        <v>24877</v>
      </c>
      <c r="G56" s="549">
        <v>0</v>
      </c>
      <c r="H56" s="550">
        <v>31700</v>
      </c>
      <c r="I56" s="549" t="s">
        <v>1502</v>
      </c>
      <c r="J56" s="551">
        <f t="shared" si="0"/>
        <v>20.746073298429319</v>
      </c>
      <c r="K56" s="550">
        <v>4584</v>
      </c>
      <c r="L56" s="549" t="s">
        <v>1336</v>
      </c>
      <c r="M56" s="549" t="s">
        <v>1337</v>
      </c>
      <c r="N56" s="552" t="s">
        <v>1465</v>
      </c>
      <c r="O56" s="553" t="s">
        <v>1503</v>
      </c>
      <c r="P56" s="141">
        <v>1</v>
      </c>
      <c r="R56" s="150">
        <v>20.746073298429319</v>
      </c>
      <c r="S56" s="165">
        <v>0.3</v>
      </c>
    </row>
    <row r="57" spans="1:19" ht="12.75" customHeight="1">
      <c r="A57" s="546" t="s">
        <v>360</v>
      </c>
      <c r="B57" s="547" t="s">
        <v>1482</v>
      </c>
      <c r="C57" s="547" t="s">
        <v>1483</v>
      </c>
      <c r="D57" s="547" t="s">
        <v>1504</v>
      </c>
      <c r="E57" s="548">
        <v>39407</v>
      </c>
      <c r="F57" s="549">
        <v>19179</v>
      </c>
      <c r="G57" s="549">
        <v>0</v>
      </c>
      <c r="H57" s="550">
        <v>17248</v>
      </c>
      <c r="I57" s="549" t="s">
        <v>1505</v>
      </c>
      <c r="J57" s="551">
        <f t="shared" si="0"/>
        <v>14.64176570458404</v>
      </c>
      <c r="K57" s="550">
        <v>4712</v>
      </c>
      <c r="L57" s="549" t="s">
        <v>1336</v>
      </c>
      <c r="M57" s="549" t="s">
        <v>1337</v>
      </c>
      <c r="N57" s="552" t="s">
        <v>1465</v>
      </c>
      <c r="O57" s="553" t="s">
        <v>1506</v>
      </c>
      <c r="P57" s="141">
        <v>1</v>
      </c>
      <c r="R57" s="150">
        <v>14.64176570458404</v>
      </c>
      <c r="S57" s="165">
        <v>0.3</v>
      </c>
    </row>
    <row r="58" spans="1:19" ht="12.75" customHeight="1">
      <c r="A58" s="546" t="s">
        <v>360</v>
      </c>
      <c r="B58" s="547" t="s">
        <v>1482</v>
      </c>
      <c r="C58" s="547" t="s">
        <v>1483</v>
      </c>
      <c r="D58" s="547" t="s">
        <v>1507</v>
      </c>
      <c r="E58" s="548">
        <v>39407</v>
      </c>
      <c r="F58" s="549">
        <v>20009</v>
      </c>
      <c r="G58" s="549">
        <v>0</v>
      </c>
      <c r="H58" s="550">
        <v>27752</v>
      </c>
      <c r="I58" s="549" t="s">
        <v>1508</v>
      </c>
      <c r="J58" s="551">
        <f t="shared" si="0"/>
        <v>22.580960130187144</v>
      </c>
      <c r="K58" s="550">
        <v>4916</v>
      </c>
      <c r="L58" s="549" t="s">
        <v>1336</v>
      </c>
      <c r="M58" s="549" t="s">
        <v>1337</v>
      </c>
      <c r="N58" s="552" t="s">
        <v>1465</v>
      </c>
      <c r="O58" s="553" t="s">
        <v>1509</v>
      </c>
      <c r="P58" s="141">
        <v>1</v>
      </c>
      <c r="R58" s="150">
        <v>22.580960130187144</v>
      </c>
      <c r="S58" s="165">
        <v>0.3</v>
      </c>
    </row>
    <row r="59" spans="1:19" ht="12.75" customHeight="1">
      <c r="A59" s="546" t="s">
        <v>360</v>
      </c>
      <c r="B59" s="547" t="s">
        <v>1482</v>
      </c>
      <c r="C59" s="547" t="s">
        <v>1483</v>
      </c>
      <c r="D59" s="547" t="s">
        <v>1510</v>
      </c>
      <c r="E59" s="548">
        <v>39407</v>
      </c>
      <c r="F59" s="549">
        <v>7684</v>
      </c>
      <c r="G59" s="549">
        <v>0</v>
      </c>
      <c r="H59" s="550">
        <v>12469.77</v>
      </c>
      <c r="I59" s="549" t="s">
        <v>1511</v>
      </c>
      <c r="J59" s="551">
        <f t="shared" si="0"/>
        <v>26.419004237288135</v>
      </c>
      <c r="K59" s="550">
        <v>1888</v>
      </c>
      <c r="L59" s="549" t="s">
        <v>1336</v>
      </c>
      <c r="M59" s="549" t="s">
        <v>1337</v>
      </c>
      <c r="N59" s="552" t="s">
        <v>1465</v>
      </c>
      <c r="O59" s="553" t="s">
        <v>1512</v>
      </c>
      <c r="P59" s="141">
        <v>1</v>
      </c>
      <c r="R59" s="150">
        <v>26.419004237288135</v>
      </c>
      <c r="S59" s="165">
        <v>0.3</v>
      </c>
    </row>
    <row r="60" spans="1:19" ht="12.75" customHeight="1">
      <c r="A60" s="546" t="s">
        <v>360</v>
      </c>
      <c r="B60" s="547" t="s">
        <v>1482</v>
      </c>
      <c r="C60" s="547" t="s">
        <v>1483</v>
      </c>
      <c r="D60" s="547" t="s">
        <v>1513</v>
      </c>
      <c r="E60" s="548">
        <v>39429</v>
      </c>
      <c r="F60" s="549">
        <v>40245</v>
      </c>
      <c r="G60" s="549">
        <v>0</v>
      </c>
      <c r="H60" s="550">
        <v>70257.759999999995</v>
      </c>
      <c r="I60" s="549" t="s">
        <v>1514</v>
      </c>
      <c r="J60" s="551">
        <f t="shared" si="0"/>
        <v>28.421423948220063</v>
      </c>
      <c r="K60" s="550">
        <v>9888</v>
      </c>
      <c r="L60" s="549" t="s">
        <v>1336</v>
      </c>
      <c r="M60" s="549" t="s">
        <v>1337</v>
      </c>
      <c r="N60" s="552" t="s">
        <v>1465</v>
      </c>
      <c r="O60" s="553" t="s">
        <v>1515</v>
      </c>
      <c r="P60" s="141">
        <v>1</v>
      </c>
      <c r="R60" s="150">
        <v>28.421423948220063</v>
      </c>
      <c r="S60" s="165">
        <v>0.3</v>
      </c>
    </row>
    <row r="61" spans="1:19" ht="12.75" customHeight="1">
      <c r="A61" s="546" t="s">
        <v>360</v>
      </c>
      <c r="B61" s="547" t="s">
        <v>1482</v>
      </c>
      <c r="C61" s="547" t="s">
        <v>1483</v>
      </c>
      <c r="D61" s="547" t="s">
        <v>1516</v>
      </c>
      <c r="E61" s="548">
        <v>39429</v>
      </c>
      <c r="F61" s="549">
        <v>119565</v>
      </c>
      <c r="G61" s="549">
        <v>0</v>
      </c>
      <c r="H61" s="550">
        <v>191500</v>
      </c>
      <c r="I61" s="549" t="s">
        <v>1517</v>
      </c>
      <c r="J61" s="551">
        <f t="shared" si="0"/>
        <v>26.075708061002178</v>
      </c>
      <c r="K61" s="550">
        <v>29376</v>
      </c>
      <c r="L61" s="549" t="s">
        <v>1336</v>
      </c>
      <c r="M61" s="549" t="s">
        <v>1337</v>
      </c>
      <c r="N61" s="552" t="s">
        <v>1465</v>
      </c>
      <c r="O61" s="553" t="s">
        <v>1518</v>
      </c>
      <c r="P61" s="141">
        <v>1</v>
      </c>
      <c r="R61" s="150">
        <v>26.075708061002178</v>
      </c>
      <c r="S61" s="165">
        <v>0.3</v>
      </c>
    </row>
    <row r="62" spans="1:19" ht="12.75" customHeight="1">
      <c r="A62" s="546" t="s">
        <v>360</v>
      </c>
      <c r="B62" s="547" t="s">
        <v>1482</v>
      </c>
      <c r="C62" s="547" t="s">
        <v>1483</v>
      </c>
      <c r="D62" s="547" t="s">
        <v>1519</v>
      </c>
      <c r="E62" s="548">
        <v>39429</v>
      </c>
      <c r="F62" s="549">
        <v>11482</v>
      </c>
      <c r="G62" s="549">
        <v>0</v>
      </c>
      <c r="H62" s="550">
        <v>20484</v>
      </c>
      <c r="I62" s="549" t="s">
        <v>1520</v>
      </c>
      <c r="J62" s="551">
        <f t="shared" si="0"/>
        <v>29.055319148936171</v>
      </c>
      <c r="K62" s="550">
        <v>2821</v>
      </c>
      <c r="L62" s="549" t="s">
        <v>1336</v>
      </c>
      <c r="M62" s="549" t="s">
        <v>1337</v>
      </c>
      <c r="N62" s="552" t="s">
        <v>1465</v>
      </c>
      <c r="O62" s="553" t="s">
        <v>1412</v>
      </c>
      <c r="P62" s="141">
        <v>1</v>
      </c>
      <c r="R62" s="150">
        <v>29.055319148936171</v>
      </c>
      <c r="S62" s="165">
        <v>0.3</v>
      </c>
    </row>
    <row r="63" spans="1:19" ht="12.75" customHeight="1">
      <c r="A63" s="546" t="s">
        <v>360</v>
      </c>
      <c r="B63" s="547" t="s">
        <v>1482</v>
      </c>
      <c r="C63" s="547" t="s">
        <v>1483</v>
      </c>
      <c r="D63" s="547" t="s">
        <v>1521</v>
      </c>
      <c r="E63" s="548">
        <v>39436</v>
      </c>
      <c r="F63" s="549">
        <v>19179</v>
      </c>
      <c r="G63" s="549">
        <v>0</v>
      </c>
      <c r="H63" s="550">
        <v>19498.87</v>
      </c>
      <c r="I63" s="549" t="s">
        <v>1505</v>
      </c>
      <c r="J63" s="551">
        <f t="shared" si="0"/>
        <v>16.552521222410864</v>
      </c>
      <c r="K63" s="550">
        <v>4712</v>
      </c>
      <c r="L63" s="549" t="s">
        <v>1336</v>
      </c>
      <c r="M63" s="549" t="s">
        <v>1337</v>
      </c>
      <c r="N63" s="552" t="s">
        <v>1465</v>
      </c>
      <c r="O63" s="553" t="s">
        <v>1367</v>
      </c>
      <c r="P63" s="141">
        <v>1</v>
      </c>
      <c r="R63" s="150">
        <v>16.552521222410864</v>
      </c>
      <c r="S63" s="165">
        <v>0.3</v>
      </c>
    </row>
    <row r="64" spans="1:19" ht="12.75" customHeight="1">
      <c r="A64" s="546" t="s">
        <v>360</v>
      </c>
      <c r="B64" s="547" t="s">
        <v>1482</v>
      </c>
      <c r="C64" s="547" t="s">
        <v>1483</v>
      </c>
      <c r="D64" s="547" t="s">
        <v>1522</v>
      </c>
      <c r="E64" s="548">
        <v>39443</v>
      </c>
      <c r="F64" s="549">
        <v>14962</v>
      </c>
      <c r="G64" s="549">
        <v>0</v>
      </c>
      <c r="H64" s="550">
        <v>18095</v>
      </c>
      <c r="I64" s="549" t="s">
        <v>1523</v>
      </c>
      <c r="J64" s="551">
        <f t="shared" si="0"/>
        <v>19.689880304678997</v>
      </c>
      <c r="K64" s="550">
        <v>3676</v>
      </c>
      <c r="L64" s="549" t="s">
        <v>1336</v>
      </c>
      <c r="M64" s="549" t="s">
        <v>1337</v>
      </c>
      <c r="N64" s="552" t="s">
        <v>1465</v>
      </c>
      <c r="O64" s="553" t="s">
        <v>1524</v>
      </c>
      <c r="P64" s="141">
        <v>1</v>
      </c>
      <c r="R64" s="150">
        <v>19.689880304678997</v>
      </c>
      <c r="S64" s="165">
        <v>0.3</v>
      </c>
    </row>
    <row r="65" spans="1:19" ht="12.75" customHeight="1">
      <c r="A65" s="546" t="s">
        <v>360</v>
      </c>
      <c r="B65" s="547" t="s">
        <v>1482</v>
      </c>
      <c r="C65" s="547" t="s">
        <v>1483</v>
      </c>
      <c r="D65" s="547" t="s">
        <v>1525</v>
      </c>
      <c r="E65" s="548">
        <v>39447</v>
      </c>
      <c r="F65" s="549">
        <v>9052</v>
      </c>
      <c r="G65" s="549">
        <v>0</v>
      </c>
      <c r="H65" s="550">
        <v>15527</v>
      </c>
      <c r="I65" s="549" t="s">
        <v>1526</v>
      </c>
      <c r="J65" s="551">
        <f t="shared" si="0"/>
        <v>27.926258992805757</v>
      </c>
      <c r="K65" s="550">
        <v>2224</v>
      </c>
      <c r="L65" s="549" t="s">
        <v>1336</v>
      </c>
      <c r="M65" s="549" t="s">
        <v>1337</v>
      </c>
      <c r="N65" s="552" t="s">
        <v>1465</v>
      </c>
      <c r="O65" s="553" t="s">
        <v>1527</v>
      </c>
      <c r="P65" s="141">
        <v>1</v>
      </c>
      <c r="R65" s="150">
        <v>27.926258992805757</v>
      </c>
      <c r="S65" s="165">
        <v>0.3</v>
      </c>
    </row>
    <row r="66" spans="1:19" ht="12.75" customHeight="1">
      <c r="A66" s="546" t="s">
        <v>360</v>
      </c>
      <c r="B66" s="547" t="s">
        <v>1482</v>
      </c>
      <c r="C66" s="547" t="s">
        <v>1483</v>
      </c>
      <c r="D66" s="547" t="s">
        <v>1528</v>
      </c>
      <c r="E66" s="548">
        <v>39447</v>
      </c>
      <c r="F66" s="549">
        <v>172281</v>
      </c>
      <c r="G66" s="549">
        <v>0</v>
      </c>
      <c r="H66" s="550">
        <v>201381.19</v>
      </c>
      <c r="I66" s="549" t="s">
        <v>1529</v>
      </c>
      <c r="J66" s="551">
        <f t="shared" ref="J66:J119" si="1">H66/I66</f>
        <v>19.030541485541487</v>
      </c>
      <c r="K66" s="550">
        <v>42328</v>
      </c>
      <c r="L66" s="549" t="s">
        <v>1336</v>
      </c>
      <c r="M66" s="549" t="s">
        <v>1337</v>
      </c>
      <c r="N66" s="552" t="s">
        <v>1465</v>
      </c>
      <c r="O66" s="553" t="s">
        <v>1530</v>
      </c>
      <c r="P66" s="141">
        <v>1</v>
      </c>
      <c r="R66" s="150">
        <v>19.030541485541487</v>
      </c>
      <c r="S66" s="165">
        <v>0.3</v>
      </c>
    </row>
    <row r="67" spans="1:19" ht="12.75" customHeight="1">
      <c r="A67" s="546" t="s">
        <v>360</v>
      </c>
      <c r="B67" s="547" t="s">
        <v>1482</v>
      </c>
      <c r="C67" s="547" t="s">
        <v>1483</v>
      </c>
      <c r="D67" s="547" t="s">
        <v>1531</v>
      </c>
      <c r="E67" s="548">
        <v>39447</v>
      </c>
      <c r="F67" s="549">
        <v>19212</v>
      </c>
      <c r="G67" s="549">
        <v>0</v>
      </c>
      <c r="H67" s="550">
        <v>19722</v>
      </c>
      <c r="I67" s="549" t="s">
        <v>1532</v>
      </c>
      <c r="J67" s="551">
        <f t="shared" si="1"/>
        <v>16.713559322033898</v>
      </c>
      <c r="K67" s="550">
        <v>4720</v>
      </c>
      <c r="L67" s="549" t="s">
        <v>1336</v>
      </c>
      <c r="M67" s="549" t="s">
        <v>1337</v>
      </c>
      <c r="N67" s="552" t="s">
        <v>1465</v>
      </c>
      <c r="O67" s="553" t="s">
        <v>1533</v>
      </c>
      <c r="P67" s="141">
        <v>1</v>
      </c>
      <c r="R67" s="150">
        <v>16.713559322033898</v>
      </c>
      <c r="S67" s="165">
        <v>0.3</v>
      </c>
    </row>
    <row r="68" spans="1:19" ht="12.75" customHeight="1">
      <c r="A68" s="546" t="s">
        <v>360</v>
      </c>
      <c r="B68" s="547" t="s">
        <v>1482</v>
      </c>
      <c r="C68" s="547" t="s">
        <v>1483</v>
      </c>
      <c r="D68" s="547" t="s">
        <v>1534</v>
      </c>
      <c r="E68" s="548">
        <v>39447</v>
      </c>
      <c r="F68" s="549">
        <v>16557</v>
      </c>
      <c r="G68" s="549">
        <v>0</v>
      </c>
      <c r="H68" s="550">
        <v>32218</v>
      </c>
      <c r="I68" s="549" t="s">
        <v>1535</v>
      </c>
      <c r="J68" s="551">
        <f t="shared" si="1"/>
        <v>31.679449360865291</v>
      </c>
      <c r="K68" s="550">
        <v>4068</v>
      </c>
      <c r="L68" s="549" t="s">
        <v>1336</v>
      </c>
      <c r="M68" s="549" t="s">
        <v>1337</v>
      </c>
      <c r="N68" s="552" t="s">
        <v>1465</v>
      </c>
      <c r="O68" s="553" t="s">
        <v>1536</v>
      </c>
      <c r="P68" s="141">
        <v>1</v>
      </c>
      <c r="R68" s="150">
        <v>31.679449360865291</v>
      </c>
      <c r="S68" s="165">
        <v>0.3</v>
      </c>
    </row>
    <row r="69" spans="1:19" ht="12.75" customHeight="1">
      <c r="A69" s="546" t="s">
        <v>360</v>
      </c>
      <c r="B69" s="547" t="s">
        <v>1482</v>
      </c>
      <c r="C69" s="547" t="s">
        <v>1483</v>
      </c>
      <c r="D69" s="547" t="s">
        <v>1537</v>
      </c>
      <c r="E69" s="548">
        <v>39447</v>
      </c>
      <c r="F69" s="549">
        <v>53335</v>
      </c>
      <c r="G69" s="549">
        <v>0</v>
      </c>
      <c r="H69" s="550">
        <v>71007</v>
      </c>
      <c r="I69" s="549" t="s">
        <v>1538</v>
      </c>
      <c r="J69" s="551">
        <f t="shared" si="1"/>
        <v>21.674908424908423</v>
      </c>
      <c r="K69" s="550">
        <v>13104</v>
      </c>
      <c r="L69" s="549" t="s">
        <v>1336</v>
      </c>
      <c r="M69" s="549" t="s">
        <v>1337</v>
      </c>
      <c r="N69" s="552" t="s">
        <v>1465</v>
      </c>
      <c r="O69" s="553" t="s">
        <v>1539</v>
      </c>
      <c r="P69" s="141">
        <v>1</v>
      </c>
      <c r="R69" s="150">
        <v>21.674908424908423</v>
      </c>
      <c r="S69" s="165">
        <v>0.3</v>
      </c>
    </row>
    <row r="70" spans="1:19" ht="12.75" customHeight="1">
      <c r="A70" s="546" t="s">
        <v>360</v>
      </c>
      <c r="B70" s="547" t="s">
        <v>1482</v>
      </c>
      <c r="C70" s="547" t="s">
        <v>1483</v>
      </c>
      <c r="D70" s="547" t="s">
        <v>1540</v>
      </c>
      <c r="E70" s="548">
        <v>39447</v>
      </c>
      <c r="F70" s="549">
        <v>23420</v>
      </c>
      <c r="G70" s="549">
        <v>0</v>
      </c>
      <c r="H70" s="550">
        <v>28557</v>
      </c>
      <c r="I70" s="549" t="s">
        <v>1541</v>
      </c>
      <c r="J70" s="551">
        <f t="shared" si="1"/>
        <v>19.845031271716469</v>
      </c>
      <c r="K70" s="550">
        <v>5754</v>
      </c>
      <c r="L70" s="549" t="s">
        <v>1336</v>
      </c>
      <c r="M70" s="549" t="s">
        <v>1337</v>
      </c>
      <c r="N70" s="552" t="s">
        <v>1465</v>
      </c>
      <c r="O70" s="553" t="s">
        <v>1542</v>
      </c>
      <c r="P70" s="141">
        <v>1</v>
      </c>
      <c r="R70" s="150">
        <v>19.845031271716469</v>
      </c>
      <c r="S70" s="165">
        <v>0.3</v>
      </c>
    </row>
    <row r="71" spans="1:19" ht="12.75" customHeight="1">
      <c r="A71" s="546" t="s">
        <v>360</v>
      </c>
      <c r="B71" s="547" t="s">
        <v>1482</v>
      </c>
      <c r="C71" s="547" t="s">
        <v>1483</v>
      </c>
      <c r="D71" s="547" t="s">
        <v>1543</v>
      </c>
      <c r="E71" s="548">
        <v>39447</v>
      </c>
      <c r="F71" s="549">
        <v>29695</v>
      </c>
      <c r="G71" s="549">
        <v>0</v>
      </c>
      <c r="H71" s="550">
        <v>40492.800000000003</v>
      </c>
      <c r="I71" s="549" t="s">
        <v>1544</v>
      </c>
      <c r="J71" s="551">
        <f t="shared" si="1"/>
        <v>22.200000000000003</v>
      </c>
      <c r="K71" s="550">
        <v>7296</v>
      </c>
      <c r="L71" s="549" t="s">
        <v>1336</v>
      </c>
      <c r="M71" s="549" t="s">
        <v>1337</v>
      </c>
      <c r="N71" s="552" t="s">
        <v>1465</v>
      </c>
      <c r="O71" s="553" t="s">
        <v>1545</v>
      </c>
      <c r="P71" s="141">
        <v>1</v>
      </c>
      <c r="R71" s="150">
        <v>22.2</v>
      </c>
      <c r="S71" s="165">
        <v>0.3</v>
      </c>
    </row>
    <row r="72" spans="1:19" ht="12.75" customHeight="1">
      <c r="A72" s="546" t="s">
        <v>360</v>
      </c>
      <c r="B72" s="547" t="s">
        <v>1482</v>
      </c>
      <c r="C72" s="547" t="s">
        <v>1483</v>
      </c>
      <c r="D72" s="547" t="s">
        <v>1546</v>
      </c>
      <c r="E72" s="548">
        <v>39447</v>
      </c>
      <c r="F72" s="549">
        <v>27840</v>
      </c>
      <c r="G72" s="549">
        <v>0</v>
      </c>
      <c r="H72" s="550">
        <v>37962</v>
      </c>
      <c r="I72" s="549" t="s">
        <v>1547</v>
      </c>
      <c r="J72" s="551">
        <f t="shared" si="1"/>
        <v>22.2</v>
      </c>
      <c r="K72" s="550">
        <v>6840</v>
      </c>
      <c r="L72" s="549" t="s">
        <v>1336</v>
      </c>
      <c r="M72" s="549" t="s">
        <v>1337</v>
      </c>
      <c r="N72" s="552" t="s">
        <v>1465</v>
      </c>
      <c r="O72" s="553" t="s">
        <v>1548</v>
      </c>
      <c r="P72" s="141">
        <v>1</v>
      </c>
      <c r="R72" s="150">
        <v>22.2</v>
      </c>
      <c r="S72" s="165">
        <v>0.3</v>
      </c>
    </row>
    <row r="73" spans="1:19" ht="12.75" customHeight="1">
      <c r="A73" s="546" t="s">
        <v>360</v>
      </c>
      <c r="B73" s="547" t="s">
        <v>1482</v>
      </c>
      <c r="C73" s="547" t="s">
        <v>1483</v>
      </c>
      <c r="D73" s="547" t="s">
        <v>1549</v>
      </c>
      <c r="E73" s="548">
        <v>39447</v>
      </c>
      <c r="F73" s="549">
        <v>33408</v>
      </c>
      <c r="G73" s="549">
        <v>0</v>
      </c>
      <c r="H73" s="550">
        <v>45554.400000000001</v>
      </c>
      <c r="I73" s="549" t="s">
        <v>1550</v>
      </c>
      <c r="J73" s="551">
        <f t="shared" si="1"/>
        <v>22.2</v>
      </c>
      <c r="K73" s="550">
        <v>8208</v>
      </c>
      <c r="L73" s="549" t="s">
        <v>1336</v>
      </c>
      <c r="M73" s="549" t="s">
        <v>1337</v>
      </c>
      <c r="N73" s="552" t="s">
        <v>1465</v>
      </c>
      <c r="O73" s="553" t="s">
        <v>1551</v>
      </c>
      <c r="P73" s="141">
        <v>1</v>
      </c>
      <c r="R73" s="150">
        <v>22.2</v>
      </c>
      <c r="S73" s="165">
        <v>0.3</v>
      </c>
    </row>
    <row r="74" spans="1:19" ht="12.75" customHeight="1">
      <c r="A74" s="546" t="s">
        <v>360</v>
      </c>
      <c r="B74" s="547" t="s">
        <v>1482</v>
      </c>
      <c r="C74" s="547" t="s">
        <v>1483</v>
      </c>
      <c r="D74" s="547" t="s">
        <v>1552</v>
      </c>
      <c r="E74" s="548">
        <v>39447</v>
      </c>
      <c r="F74" s="549">
        <v>29695</v>
      </c>
      <c r="G74" s="549">
        <v>0</v>
      </c>
      <c r="H74" s="550">
        <v>40492.800000000003</v>
      </c>
      <c r="I74" s="549" t="s">
        <v>1544</v>
      </c>
      <c r="J74" s="551">
        <f t="shared" si="1"/>
        <v>22.200000000000003</v>
      </c>
      <c r="K74" s="550">
        <v>7296</v>
      </c>
      <c r="L74" s="549" t="s">
        <v>1336</v>
      </c>
      <c r="M74" s="549" t="s">
        <v>1337</v>
      </c>
      <c r="N74" s="552" t="s">
        <v>1465</v>
      </c>
      <c r="O74" s="553" t="s">
        <v>1548</v>
      </c>
      <c r="P74" s="141">
        <v>1</v>
      </c>
      <c r="R74" s="150">
        <v>22.2</v>
      </c>
      <c r="S74" s="165">
        <v>0.3</v>
      </c>
    </row>
    <row r="75" spans="1:19" ht="12.75" customHeight="1">
      <c r="A75" s="546" t="s">
        <v>360</v>
      </c>
      <c r="B75" s="547" t="s">
        <v>1482</v>
      </c>
      <c r="C75" s="547" t="s">
        <v>1483</v>
      </c>
      <c r="D75" s="547" t="s">
        <v>1553</v>
      </c>
      <c r="E75" s="548">
        <v>39447</v>
      </c>
      <c r="F75" s="549">
        <v>33408</v>
      </c>
      <c r="G75" s="549">
        <v>0</v>
      </c>
      <c r="H75" s="550">
        <v>45554.400000000001</v>
      </c>
      <c r="I75" s="549" t="s">
        <v>1550</v>
      </c>
      <c r="J75" s="551">
        <f t="shared" si="1"/>
        <v>22.2</v>
      </c>
      <c r="K75" s="550">
        <v>8208</v>
      </c>
      <c r="L75" s="549" t="s">
        <v>1336</v>
      </c>
      <c r="M75" s="549" t="s">
        <v>1337</v>
      </c>
      <c r="N75" s="552" t="s">
        <v>1465</v>
      </c>
      <c r="O75" s="553" t="s">
        <v>1551</v>
      </c>
      <c r="P75" s="141">
        <v>1</v>
      </c>
      <c r="R75" s="150">
        <v>22.2</v>
      </c>
      <c r="S75" s="165">
        <v>0.3</v>
      </c>
    </row>
    <row r="76" spans="1:19" ht="12.75" customHeight="1">
      <c r="A76" s="546" t="s">
        <v>360</v>
      </c>
      <c r="B76" s="547" t="s">
        <v>1482</v>
      </c>
      <c r="C76" s="547" t="s">
        <v>1483</v>
      </c>
      <c r="D76" s="547" t="s">
        <v>1554</v>
      </c>
      <c r="E76" s="548">
        <v>39447</v>
      </c>
      <c r="F76" s="549">
        <v>31552</v>
      </c>
      <c r="G76" s="549">
        <v>0</v>
      </c>
      <c r="H76" s="550">
        <v>43023.6</v>
      </c>
      <c r="I76" s="549" t="s">
        <v>1555</v>
      </c>
      <c r="J76" s="551">
        <f t="shared" si="1"/>
        <v>22.2</v>
      </c>
      <c r="K76" s="550">
        <v>7752</v>
      </c>
      <c r="L76" s="549" t="s">
        <v>1336</v>
      </c>
      <c r="M76" s="549" t="s">
        <v>1337</v>
      </c>
      <c r="N76" s="552" t="s">
        <v>1465</v>
      </c>
      <c r="O76" s="553" t="s">
        <v>1551</v>
      </c>
      <c r="P76" s="141">
        <v>1</v>
      </c>
      <c r="R76" s="150">
        <v>22.2</v>
      </c>
      <c r="S76" s="165">
        <v>0.3</v>
      </c>
    </row>
    <row r="77" spans="1:19" ht="12.75" customHeight="1">
      <c r="A77" s="546" t="s">
        <v>360</v>
      </c>
      <c r="B77" s="547" t="s">
        <v>1482</v>
      </c>
      <c r="C77" s="547" t="s">
        <v>1483</v>
      </c>
      <c r="D77" s="547" t="s">
        <v>1556</v>
      </c>
      <c r="E77" s="548">
        <v>39447</v>
      </c>
      <c r="F77" s="549">
        <v>50111</v>
      </c>
      <c r="G77" s="549">
        <v>0</v>
      </c>
      <c r="H77" s="550">
        <v>68331.600000000006</v>
      </c>
      <c r="I77" s="549" t="s">
        <v>1557</v>
      </c>
      <c r="J77" s="551">
        <f t="shared" si="1"/>
        <v>22.200000000000003</v>
      </c>
      <c r="K77" s="550">
        <v>12312</v>
      </c>
      <c r="L77" s="549" t="s">
        <v>1336</v>
      </c>
      <c r="M77" s="549" t="s">
        <v>1337</v>
      </c>
      <c r="N77" s="552" t="s">
        <v>1465</v>
      </c>
      <c r="O77" s="553" t="s">
        <v>1558</v>
      </c>
      <c r="P77" s="141">
        <v>1</v>
      </c>
      <c r="R77" s="150">
        <v>22.2</v>
      </c>
      <c r="S77" s="165">
        <v>0.3</v>
      </c>
    </row>
    <row r="78" spans="1:19" ht="12.75" customHeight="1">
      <c r="A78" s="546" t="s">
        <v>360</v>
      </c>
      <c r="B78" s="547" t="s">
        <v>1482</v>
      </c>
      <c r="C78" s="547" t="s">
        <v>1483</v>
      </c>
      <c r="D78" s="547" t="s">
        <v>1559</v>
      </c>
      <c r="E78" s="548">
        <v>39447</v>
      </c>
      <c r="F78" s="549">
        <v>20026</v>
      </c>
      <c r="G78" s="549">
        <v>0</v>
      </c>
      <c r="H78" s="550">
        <v>19964</v>
      </c>
      <c r="I78" s="549" t="s">
        <v>1560</v>
      </c>
      <c r="J78" s="551">
        <f t="shared" si="1"/>
        <v>16.230894308943089</v>
      </c>
      <c r="K78" s="550">
        <v>3690</v>
      </c>
      <c r="L78" s="549" t="s">
        <v>1336</v>
      </c>
      <c r="M78" s="549" t="s">
        <v>1337</v>
      </c>
      <c r="N78" s="552" t="s">
        <v>1465</v>
      </c>
      <c r="O78" s="553" t="s">
        <v>1561</v>
      </c>
      <c r="P78" s="141">
        <v>1</v>
      </c>
      <c r="R78" s="150">
        <v>16.230894308943089</v>
      </c>
      <c r="S78" s="165">
        <v>0.3</v>
      </c>
    </row>
    <row r="79" spans="1:19" ht="12.75" customHeight="1">
      <c r="A79" s="546" t="s">
        <v>360</v>
      </c>
      <c r="B79" s="547" t="s">
        <v>1482</v>
      </c>
      <c r="C79" s="547" t="s">
        <v>1483</v>
      </c>
      <c r="D79" s="547" t="s">
        <v>1562</v>
      </c>
      <c r="E79" s="548">
        <v>39447</v>
      </c>
      <c r="F79" s="549">
        <v>13334</v>
      </c>
      <c r="G79" s="549">
        <v>0</v>
      </c>
      <c r="H79" s="550">
        <v>21451</v>
      </c>
      <c r="I79" s="549" t="s">
        <v>1563</v>
      </c>
      <c r="J79" s="551">
        <f t="shared" si="1"/>
        <v>26.191697191697191</v>
      </c>
      <c r="K79" s="550">
        <v>3276</v>
      </c>
      <c r="L79" s="549" t="s">
        <v>1336</v>
      </c>
      <c r="M79" s="549" t="s">
        <v>1337</v>
      </c>
      <c r="N79" s="552" t="s">
        <v>1465</v>
      </c>
      <c r="O79" s="553" t="s">
        <v>1342</v>
      </c>
      <c r="P79" s="141">
        <v>1</v>
      </c>
      <c r="R79" s="150">
        <v>26.191697191697191</v>
      </c>
      <c r="S79" s="165">
        <v>0.3</v>
      </c>
    </row>
    <row r="80" spans="1:19" ht="12.75" customHeight="1">
      <c r="A80" s="546" t="s">
        <v>360</v>
      </c>
      <c r="B80" s="547" t="s">
        <v>1482</v>
      </c>
      <c r="C80" s="547" t="s">
        <v>1483</v>
      </c>
      <c r="D80" s="547" t="s">
        <v>1564</v>
      </c>
      <c r="E80" s="548">
        <v>39447</v>
      </c>
      <c r="F80" s="549">
        <v>56657</v>
      </c>
      <c r="G80" s="549">
        <v>0</v>
      </c>
      <c r="H80" s="550">
        <v>86246</v>
      </c>
      <c r="I80" s="549" t="s">
        <v>1565</v>
      </c>
      <c r="J80" s="551">
        <f t="shared" si="1"/>
        <v>24.783333333333335</v>
      </c>
      <c r="K80" s="550">
        <v>13920</v>
      </c>
      <c r="L80" s="549" t="s">
        <v>1336</v>
      </c>
      <c r="M80" s="549" t="s">
        <v>1337</v>
      </c>
      <c r="N80" s="552" t="s">
        <v>1465</v>
      </c>
      <c r="O80" s="553" t="s">
        <v>1566</v>
      </c>
      <c r="P80" s="141">
        <v>1</v>
      </c>
      <c r="R80" s="150">
        <v>24.783333333333335</v>
      </c>
      <c r="S80" s="165">
        <v>0.3</v>
      </c>
    </row>
    <row r="81" spans="1:19" ht="12.75" customHeight="1">
      <c r="A81" s="546" t="s">
        <v>360</v>
      </c>
      <c r="B81" s="547" t="s">
        <v>1482</v>
      </c>
      <c r="C81" s="547" t="s">
        <v>1483</v>
      </c>
      <c r="D81" s="547" t="s">
        <v>1567</v>
      </c>
      <c r="E81" s="548">
        <v>39447</v>
      </c>
      <c r="F81" s="549">
        <v>55029</v>
      </c>
      <c r="G81" s="549">
        <v>0</v>
      </c>
      <c r="H81" s="550">
        <v>95986</v>
      </c>
      <c r="I81" s="549" t="s">
        <v>1568</v>
      </c>
      <c r="J81" s="551">
        <f t="shared" si="1"/>
        <v>28.398224852071007</v>
      </c>
      <c r="K81" s="550">
        <v>13520</v>
      </c>
      <c r="L81" s="549" t="s">
        <v>1336</v>
      </c>
      <c r="M81" s="549" t="s">
        <v>1337</v>
      </c>
      <c r="N81" s="552" t="s">
        <v>1465</v>
      </c>
      <c r="O81" s="553" t="s">
        <v>1569</v>
      </c>
      <c r="P81" s="141">
        <v>1</v>
      </c>
      <c r="R81" s="150">
        <v>28.398224852071007</v>
      </c>
      <c r="S81" s="165">
        <v>0.3</v>
      </c>
    </row>
    <row r="82" spans="1:19" ht="12.75" customHeight="1">
      <c r="A82" s="546" t="s">
        <v>360</v>
      </c>
      <c r="B82" s="547" t="s">
        <v>1482</v>
      </c>
      <c r="C82" s="547" t="s">
        <v>1483</v>
      </c>
      <c r="D82" s="547" t="s">
        <v>1570</v>
      </c>
      <c r="E82" s="548">
        <v>39447</v>
      </c>
      <c r="F82" s="549">
        <v>6123</v>
      </c>
      <c r="G82" s="549">
        <v>0</v>
      </c>
      <c r="H82" s="550">
        <v>20200</v>
      </c>
      <c r="I82" s="549" t="s">
        <v>1571</v>
      </c>
      <c r="J82" s="551">
        <f t="shared" si="1"/>
        <v>38.041431261770242</v>
      </c>
      <c r="K82" s="550">
        <v>2124</v>
      </c>
      <c r="L82" s="549" t="s">
        <v>1336</v>
      </c>
      <c r="M82" s="549" t="s">
        <v>1337</v>
      </c>
      <c r="N82" s="552" t="s">
        <v>1465</v>
      </c>
      <c r="O82" s="553" t="s">
        <v>1572</v>
      </c>
      <c r="P82" s="141">
        <v>1</v>
      </c>
      <c r="R82" s="150">
        <v>38.041431261770242</v>
      </c>
      <c r="S82" s="165">
        <v>0.3</v>
      </c>
    </row>
    <row r="83" spans="1:19" ht="12.75" customHeight="1">
      <c r="A83" s="546" t="s">
        <v>360</v>
      </c>
      <c r="B83" s="547" t="s">
        <v>1482</v>
      </c>
      <c r="C83" s="547" t="s">
        <v>1483</v>
      </c>
      <c r="D83" s="547" t="s">
        <v>1573</v>
      </c>
      <c r="E83" s="548">
        <v>39447</v>
      </c>
      <c r="F83" s="549">
        <v>17795</v>
      </c>
      <c r="G83" s="549">
        <v>0</v>
      </c>
      <c r="H83" s="550">
        <v>48539.839999999997</v>
      </c>
      <c r="I83" s="549" t="s">
        <v>1574</v>
      </c>
      <c r="J83" s="551">
        <f t="shared" si="1"/>
        <v>44.409734675205854</v>
      </c>
      <c r="K83" s="550">
        <v>4372</v>
      </c>
      <c r="L83" s="549" t="s">
        <v>1336</v>
      </c>
      <c r="M83" s="549" t="s">
        <v>1337</v>
      </c>
      <c r="N83" s="552" t="s">
        <v>1465</v>
      </c>
      <c r="O83" s="553" t="s">
        <v>1536</v>
      </c>
      <c r="P83" s="141">
        <v>1</v>
      </c>
      <c r="R83" s="150">
        <v>44.409734675205854</v>
      </c>
      <c r="S83" s="165">
        <v>0.3</v>
      </c>
    </row>
    <row r="84" spans="1:19" ht="12.75" customHeight="1">
      <c r="A84" s="546" t="s">
        <v>360</v>
      </c>
      <c r="B84" s="547" t="s">
        <v>1482</v>
      </c>
      <c r="C84" s="547" t="s">
        <v>1483</v>
      </c>
      <c r="D84" s="547" t="s">
        <v>1575</v>
      </c>
      <c r="E84" s="548">
        <v>39447</v>
      </c>
      <c r="F84" s="549">
        <v>60792</v>
      </c>
      <c r="G84" s="549">
        <v>0</v>
      </c>
      <c r="H84" s="550">
        <v>89045</v>
      </c>
      <c r="I84" s="549" t="s">
        <v>1576</v>
      </c>
      <c r="J84" s="551">
        <f t="shared" si="1"/>
        <v>23.84708087841457</v>
      </c>
      <c r="K84" s="550">
        <v>14936</v>
      </c>
      <c r="L84" s="549" t="s">
        <v>1336</v>
      </c>
      <c r="M84" s="549" t="s">
        <v>1337</v>
      </c>
      <c r="N84" s="552" t="s">
        <v>1465</v>
      </c>
      <c r="O84" s="553" t="s">
        <v>1577</v>
      </c>
      <c r="P84" s="141">
        <v>1</v>
      </c>
      <c r="R84" s="150">
        <v>23.84708087841457</v>
      </c>
      <c r="S84" s="165">
        <v>0.3</v>
      </c>
    </row>
    <row r="85" spans="1:19" ht="12.75" customHeight="1">
      <c r="A85" s="546" t="s">
        <v>360</v>
      </c>
      <c r="B85" s="547" t="s">
        <v>1482</v>
      </c>
      <c r="C85" s="547" t="s">
        <v>1483</v>
      </c>
      <c r="D85" s="547" t="s">
        <v>1578</v>
      </c>
      <c r="E85" s="548">
        <v>39534</v>
      </c>
      <c r="F85" s="549">
        <v>35166</v>
      </c>
      <c r="G85" s="549">
        <v>0</v>
      </c>
      <c r="H85" s="550">
        <v>55000</v>
      </c>
      <c r="I85" s="549" t="s">
        <v>1579</v>
      </c>
      <c r="J85" s="551">
        <f t="shared" si="1"/>
        <v>25.462962962962962</v>
      </c>
      <c r="K85" s="550">
        <v>6480</v>
      </c>
      <c r="L85" s="549" t="s">
        <v>64</v>
      </c>
      <c r="M85" s="549" t="s">
        <v>1337</v>
      </c>
      <c r="N85" s="552">
        <v>0.3</v>
      </c>
      <c r="O85" s="553" t="s">
        <v>1580</v>
      </c>
      <c r="P85" s="141">
        <v>1</v>
      </c>
      <c r="R85" s="150">
        <v>25.462962962962962</v>
      </c>
      <c r="S85" s="165">
        <v>0.3</v>
      </c>
    </row>
    <row r="86" spans="1:19" ht="12.75" customHeight="1">
      <c r="A86" s="546" t="s">
        <v>360</v>
      </c>
      <c r="B86" s="547" t="s">
        <v>1482</v>
      </c>
      <c r="C86" s="547" t="s">
        <v>1483</v>
      </c>
      <c r="D86" s="547" t="s">
        <v>1581</v>
      </c>
      <c r="E86" s="548">
        <v>39568</v>
      </c>
      <c r="F86" s="549">
        <v>116341</v>
      </c>
      <c r="G86" s="549">
        <v>0</v>
      </c>
      <c r="H86" s="550">
        <v>102973.86</v>
      </c>
      <c r="I86" s="549" t="s">
        <v>1582</v>
      </c>
      <c r="J86" s="551">
        <f t="shared" si="1"/>
        <v>14.41</v>
      </c>
      <c r="K86" s="550">
        <v>21438</v>
      </c>
      <c r="L86" s="549" t="s">
        <v>1336</v>
      </c>
      <c r="M86" s="549" t="s">
        <v>1337</v>
      </c>
      <c r="N86" s="552" t="s">
        <v>1465</v>
      </c>
      <c r="O86" s="553" t="s">
        <v>1583</v>
      </c>
      <c r="P86" s="141">
        <v>1</v>
      </c>
      <c r="R86" s="150">
        <v>14.41</v>
      </c>
      <c r="S86" s="165">
        <v>0.3</v>
      </c>
    </row>
    <row r="87" spans="1:19" ht="12.75" customHeight="1">
      <c r="A87" s="546" t="s">
        <v>360</v>
      </c>
      <c r="B87" s="547" t="s">
        <v>1482</v>
      </c>
      <c r="C87" s="547" t="s">
        <v>1483</v>
      </c>
      <c r="D87" s="547" t="s">
        <v>1584</v>
      </c>
      <c r="E87" s="548">
        <v>39562</v>
      </c>
      <c r="F87" s="549">
        <v>7229</v>
      </c>
      <c r="G87" s="549">
        <v>0</v>
      </c>
      <c r="H87" s="550">
        <v>5267</v>
      </c>
      <c r="I87" s="549" t="s">
        <v>1585</v>
      </c>
      <c r="J87" s="551">
        <f t="shared" si="1"/>
        <v>11.862612612612613</v>
      </c>
      <c r="K87" s="550">
        <v>1332</v>
      </c>
      <c r="L87" s="549" t="s">
        <v>1336</v>
      </c>
      <c r="M87" s="549" t="s">
        <v>1337</v>
      </c>
      <c r="N87" s="552" t="s">
        <v>1465</v>
      </c>
      <c r="O87" s="553" t="s">
        <v>1370</v>
      </c>
      <c r="P87" s="141">
        <v>1</v>
      </c>
      <c r="R87" s="150">
        <v>11.862612612612613</v>
      </c>
      <c r="S87" s="165">
        <v>0.3</v>
      </c>
    </row>
    <row r="88" spans="1:19" ht="12.75" customHeight="1">
      <c r="A88" s="546" t="s">
        <v>360</v>
      </c>
      <c r="B88" s="547" t="s">
        <v>1482</v>
      </c>
      <c r="C88" s="547" t="s">
        <v>1483</v>
      </c>
      <c r="D88" s="547" t="s">
        <v>1586</v>
      </c>
      <c r="E88" s="548">
        <v>39568</v>
      </c>
      <c r="F88" s="549">
        <v>5454</v>
      </c>
      <c r="G88" s="549">
        <v>0</v>
      </c>
      <c r="H88" s="550">
        <v>9652</v>
      </c>
      <c r="I88" s="549" t="s">
        <v>1587</v>
      </c>
      <c r="J88" s="551">
        <f t="shared" si="1"/>
        <v>28.811940298507462</v>
      </c>
      <c r="K88" s="550">
        <v>1005</v>
      </c>
      <c r="L88" s="549" t="s">
        <v>64</v>
      </c>
      <c r="M88" s="549" t="s">
        <v>1337</v>
      </c>
      <c r="N88" s="552" t="s">
        <v>1465</v>
      </c>
      <c r="O88" s="553" t="s">
        <v>1588</v>
      </c>
      <c r="P88" s="141">
        <v>1</v>
      </c>
      <c r="R88" s="150">
        <v>28.811940298507462</v>
      </c>
      <c r="S88" s="165">
        <v>0.3</v>
      </c>
    </row>
    <row r="89" spans="1:19" ht="12.75" customHeight="1">
      <c r="A89" s="546" t="s">
        <v>360</v>
      </c>
      <c r="B89" s="547" t="s">
        <v>1482</v>
      </c>
      <c r="C89" s="547" t="s">
        <v>1483</v>
      </c>
      <c r="D89" s="547" t="s">
        <v>1589</v>
      </c>
      <c r="E89" s="548">
        <v>39611</v>
      </c>
      <c r="F89" s="549">
        <v>8832</v>
      </c>
      <c r="G89" s="549">
        <v>0</v>
      </c>
      <c r="H89" s="550">
        <v>14268</v>
      </c>
      <c r="I89" s="549" t="s">
        <v>1590</v>
      </c>
      <c r="J89" s="551">
        <f t="shared" si="1"/>
        <v>26.276243093922652</v>
      </c>
      <c r="K89" s="550">
        <v>1627.5</v>
      </c>
      <c r="L89" s="549" t="s">
        <v>64</v>
      </c>
      <c r="M89" s="549" t="s">
        <v>1337</v>
      </c>
      <c r="N89" s="552" t="s">
        <v>1465</v>
      </c>
      <c r="O89" s="553" t="s">
        <v>1342</v>
      </c>
      <c r="P89" s="141">
        <v>1</v>
      </c>
      <c r="R89" s="150">
        <v>26.276243093922652</v>
      </c>
      <c r="S89" s="165">
        <v>0.3</v>
      </c>
    </row>
    <row r="90" spans="1:19" ht="12.75" customHeight="1">
      <c r="A90" s="546" t="s">
        <v>360</v>
      </c>
      <c r="B90" s="547" t="s">
        <v>1332</v>
      </c>
      <c r="C90" s="547" t="s">
        <v>1333</v>
      </c>
      <c r="D90" s="547" t="s">
        <v>1591</v>
      </c>
      <c r="E90" s="548">
        <v>39407</v>
      </c>
      <c r="F90" s="549">
        <v>0</v>
      </c>
      <c r="G90" s="549">
        <v>0</v>
      </c>
      <c r="H90" s="550">
        <v>19552</v>
      </c>
      <c r="I90" s="549" t="s">
        <v>1592</v>
      </c>
      <c r="J90" s="551">
        <f t="shared" si="1"/>
        <v>19.09375</v>
      </c>
      <c r="K90" s="550">
        <v>4096</v>
      </c>
      <c r="L90" s="549" t="s">
        <v>1336</v>
      </c>
      <c r="M90" s="549" t="s">
        <v>1337</v>
      </c>
      <c r="N90" s="552" t="s">
        <v>1465</v>
      </c>
      <c r="O90" s="553" t="s">
        <v>1593</v>
      </c>
      <c r="P90" s="141">
        <v>1</v>
      </c>
      <c r="R90" s="150">
        <v>19.09375</v>
      </c>
      <c r="S90" s="165">
        <v>0.3</v>
      </c>
    </row>
    <row r="91" spans="1:19" ht="12.75" customHeight="1">
      <c r="A91" s="546" t="s">
        <v>360</v>
      </c>
      <c r="B91" s="547" t="s">
        <v>1332</v>
      </c>
      <c r="C91" s="547" t="s">
        <v>1333</v>
      </c>
      <c r="D91" s="547" t="s">
        <v>1594</v>
      </c>
      <c r="E91" s="548">
        <v>39422</v>
      </c>
      <c r="F91" s="549">
        <v>0</v>
      </c>
      <c r="G91" s="549">
        <v>0</v>
      </c>
      <c r="H91" s="550">
        <v>19552</v>
      </c>
      <c r="I91" s="549" t="s">
        <v>1592</v>
      </c>
      <c r="J91" s="551">
        <f t="shared" si="1"/>
        <v>19.09375</v>
      </c>
      <c r="K91" s="550">
        <v>4096</v>
      </c>
      <c r="L91" s="549" t="s">
        <v>1336</v>
      </c>
      <c r="M91" s="549" t="s">
        <v>1337</v>
      </c>
      <c r="N91" s="552">
        <v>0.3</v>
      </c>
      <c r="O91" s="553" t="s">
        <v>1593</v>
      </c>
      <c r="P91" s="141">
        <v>1</v>
      </c>
      <c r="R91" s="150">
        <v>19.09375</v>
      </c>
      <c r="S91" s="165">
        <v>0.3</v>
      </c>
    </row>
    <row r="92" spans="1:19" ht="12.75" customHeight="1">
      <c r="A92" s="546" t="s">
        <v>360</v>
      </c>
      <c r="B92" s="547" t="s">
        <v>1595</v>
      </c>
      <c r="C92" s="547" t="s">
        <v>1596</v>
      </c>
      <c r="D92" s="547" t="s">
        <v>1597</v>
      </c>
      <c r="E92" s="548">
        <v>39380</v>
      </c>
      <c r="F92" s="549">
        <v>0</v>
      </c>
      <c r="G92" s="549">
        <v>200.85</v>
      </c>
      <c r="H92" s="550">
        <v>7300</v>
      </c>
      <c r="I92" s="549" t="s">
        <v>1598</v>
      </c>
      <c r="J92" s="551">
        <f t="shared" si="1"/>
        <v>16.743119266055047</v>
      </c>
      <c r="K92" s="550">
        <v>1743</v>
      </c>
      <c r="L92" s="549" t="s">
        <v>1336</v>
      </c>
      <c r="M92" s="549" t="s">
        <v>1337</v>
      </c>
      <c r="N92" s="552" t="s">
        <v>1465</v>
      </c>
      <c r="O92" s="553" t="s">
        <v>1593</v>
      </c>
      <c r="P92" s="141">
        <v>1</v>
      </c>
      <c r="R92" s="150">
        <v>16.743119266055047</v>
      </c>
      <c r="S92" s="165">
        <v>0.3</v>
      </c>
    </row>
    <row r="93" spans="1:19" ht="12.75" customHeight="1">
      <c r="A93" s="546" t="s">
        <v>360</v>
      </c>
      <c r="B93" s="547" t="s">
        <v>1595</v>
      </c>
      <c r="C93" s="547" t="s">
        <v>1596</v>
      </c>
      <c r="D93" s="547" t="s">
        <v>1599</v>
      </c>
      <c r="E93" s="548">
        <v>39395</v>
      </c>
      <c r="F93" s="549">
        <v>0</v>
      </c>
      <c r="G93" s="549">
        <v>187.2</v>
      </c>
      <c r="H93" s="550">
        <v>9256</v>
      </c>
      <c r="I93" s="549" t="s">
        <v>1600</v>
      </c>
      <c r="J93" s="551">
        <f t="shared" si="1"/>
        <v>22.798029556650246</v>
      </c>
      <c r="K93" s="550">
        <v>913.5</v>
      </c>
      <c r="L93" s="549" t="s">
        <v>1336</v>
      </c>
      <c r="M93" s="549" t="s">
        <v>1337</v>
      </c>
      <c r="N93" s="552" t="s">
        <v>1465</v>
      </c>
      <c r="O93" s="553" t="s">
        <v>1423</v>
      </c>
      <c r="P93" s="141">
        <v>1</v>
      </c>
      <c r="R93" s="150">
        <v>22.798029556650246</v>
      </c>
      <c r="S93" s="165">
        <v>0.3</v>
      </c>
    </row>
    <row r="94" spans="1:19" ht="12.75" customHeight="1">
      <c r="A94" s="546" t="s">
        <v>360</v>
      </c>
      <c r="B94" s="547" t="s">
        <v>1595</v>
      </c>
      <c r="C94" s="547" t="s">
        <v>1596</v>
      </c>
      <c r="D94" s="547" t="s">
        <v>1601</v>
      </c>
      <c r="E94" s="548">
        <v>39395</v>
      </c>
      <c r="F94" s="549">
        <v>0</v>
      </c>
      <c r="G94" s="549">
        <v>267.8</v>
      </c>
      <c r="H94" s="550">
        <v>18670</v>
      </c>
      <c r="I94" s="549" t="s">
        <v>1602</v>
      </c>
      <c r="J94" s="551">
        <f t="shared" si="1"/>
        <v>32.189655172413794</v>
      </c>
      <c r="K94" s="550">
        <v>2320</v>
      </c>
      <c r="L94" s="549" t="s">
        <v>1336</v>
      </c>
      <c r="M94" s="549" t="s">
        <v>1337</v>
      </c>
      <c r="N94" s="552" t="s">
        <v>1465</v>
      </c>
      <c r="O94" s="553" t="s">
        <v>1527</v>
      </c>
      <c r="P94" s="141">
        <v>1</v>
      </c>
      <c r="R94" s="150">
        <v>32.189655172413794</v>
      </c>
      <c r="S94" s="165">
        <v>0.3</v>
      </c>
    </row>
    <row r="95" spans="1:19" ht="12.75" customHeight="1">
      <c r="A95" s="546" t="s">
        <v>360</v>
      </c>
      <c r="B95" s="547" t="s">
        <v>1595</v>
      </c>
      <c r="C95" s="547" t="s">
        <v>1596</v>
      </c>
      <c r="D95" s="547" t="s">
        <v>1603</v>
      </c>
      <c r="E95" s="548">
        <v>39407</v>
      </c>
      <c r="F95" s="549">
        <v>0</v>
      </c>
      <c r="G95" s="549">
        <v>549.25</v>
      </c>
      <c r="H95" s="550">
        <v>21160</v>
      </c>
      <c r="I95" s="549" t="s">
        <v>1604</v>
      </c>
      <c r="J95" s="551">
        <f t="shared" si="1"/>
        <v>17.781512605042018</v>
      </c>
      <c r="K95" s="550">
        <v>4760</v>
      </c>
      <c r="L95" s="549" t="s">
        <v>1336</v>
      </c>
      <c r="M95" s="549" t="s">
        <v>1337</v>
      </c>
      <c r="N95" s="552" t="s">
        <v>1465</v>
      </c>
      <c r="O95" s="553" t="s">
        <v>1412</v>
      </c>
      <c r="P95" s="141">
        <v>1</v>
      </c>
      <c r="R95" s="150">
        <v>17.781512605042018</v>
      </c>
      <c r="S95" s="165">
        <v>0.3</v>
      </c>
    </row>
    <row r="96" spans="1:19" ht="12.75" customHeight="1">
      <c r="A96" s="546" t="s">
        <v>360</v>
      </c>
      <c r="B96" s="547" t="s">
        <v>1595</v>
      </c>
      <c r="C96" s="547" t="s">
        <v>1596</v>
      </c>
      <c r="D96" s="547" t="s">
        <v>1605</v>
      </c>
      <c r="E96" s="548">
        <v>39407</v>
      </c>
      <c r="F96" s="549">
        <v>0</v>
      </c>
      <c r="G96" s="549">
        <v>206.05</v>
      </c>
      <c r="H96" s="550">
        <v>11981</v>
      </c>
      <c r="I96" s="549" t="s">
        <v>1606</v>
      </c>
      <c r="J96" s="551">
        <f t="shared" si="1"/>
        <v>26.86322869955157</v>
      </c>
      <c r="K96" s="550">
        <v>1003.5</v>
      </c>
      <c r="L96" s="549" t="s">
        <v>1336</v>
      </c>
      <c r="M96" s="549" t="s">
        <v>1337</v>
      </c>
      <c r="N96" s="552" t="s">
        <v>1465</v>
      </c>
      <c r="O96" s="553" t="s">
        <v>1607</v>
      </c>
      <c r="P96" s="141">
        <v>1</v>
      </c>
      <c r="R96" s="150">
        <v>26.86322869955157</v>
      </c>
      <c r="S96" s="165">
        <v>0.3</v>
      </c>
    </row>
    <row r="97" spans="1:19" ht="12.75" customHeight="1">
      <c r="A97" s="546" t="s">
        <v>360</v>
      </c>
      <c r="B97" s="547" t="s">
        <v>1595</v>
      </c>
      <c r="C97" s="547" t="s">
        <v>1596</v>
      </c>
      <c r="D97" s="547" t="s">
        <v>1608</v>
      </c>
      <c r="E97" s="548">
        <v>39415</v>
      </c>
      <c r="F97" s="549">
        <v>0</v>
      </c>
      <c r="G97" s="549">
        <v>308.10000000000002</v>
      </c>
      <c r="H97" s="550">
        <v>18331</v>
      </c>
      <c r="I97" s="549" t="s">
        <v>1609</v>
      </c>
      <c r="J97" s="551">
        <f t="shared" si="1"/>
        <v>27.441616766467067</v>
      </c>
      <c r="K97" s="550">
        <v>2672</v>
      </c>
      <c r="L97" s="549" t="s">
        <v>1336</v>
      </c>
      <c r="M97" s="549" t="s">
        <v>1337</v>
      </c>
      <c r="N97" s="552" t="s">
        <v>1465</v>
      </c>
      <c r="O97" s="553" t="s">
        <v>1610</v>
      </c>
      <c r="P97" s="141">
        <v>1</v>
      </c>
      <c r="R97" s="150">
        <v>27.441616766467067</v>
      </c>
      <c r="S97" s="165">
        <v>0.3</v>
      </c>
    </row>
    <row r="98" spans="1:19" ht="12.75" customHeight="1">
      <c r="A98" s="546" t="s">
        <v>360</v>
      </c>
      <c r="B98" s="547" t="s">
        <v>1595</v>
      </c>
      <c r="C98" s="547" t="s">
        <v>1596</v>
      </c>
      <c r="D98" s="547" t="s">
        <v>1611</v>
      </c>
      <c r="E98" s="548">
        <v>39407</v>
      </c>
      <c r="F98" s="549">
        <v>0</v>
      </c>
      <c r="G98" s="549">
        <v>435.5</v>
      </c>
      <c r="H98" s="550">
        <v>30980</v>
      </c>
      <c r="I98" s="549" t="s">
        <v>1612</v>
      </c>
      <c r="J98" s="551">
        <f t="shared" si="1"/>
        <v>32.817796610169495</v>
      </c>
      <c r="K98" s="550">
        <v>3776</v>
      </c>
      <c r="L98" s="549" t="s">
        <v>1336</v>
      </c>
      <c r="M98" s="549" t="s">
        <v>1337</v>
      </c>
      <c r="N98" s="552" t="s">
        <v>1465</v>
      </c>
      <c r="O98" s="553" t="s">
        <v>1613</v>
      </c>
      <c r="P98" s="141">
        <v>1</v>
      </c>
      <c r="R98" s="150">
        <v>32.817796610169495</v>
      </c>
      <c r="S98" s="165">
        <v>0.3</v>
      </c>
    </row>
    <row r="99" spans="1:19" ht="12.75" customHeight="1">
      <c r="A99" s="546" t="s">
        <v>360</v>
      </c>
      <c r="B99" s="547" t="s">
        <v>1595</v>
      </c>
      <c r="C99" s="547" t="s">
        <v>1596</v>
      </c>
      <c r="D99" s="547" t="s">
        <v>1614</v>
      </c>
      <c r="E99" s="548">
        <v>39429</v>
      </c>
      <c r="F99" s="549">
        <v>0</v>
      </c>
      <c r="G99" s="549">
        <v>979.55</v>
      </c>
      <c r="H99" s="550">
        <v>34300</v>
      </c>
      <c r="I99" s="549" t="s">
        <v>1615</v>
      </c>
      <c r="J99" s="551">
        <f t="shared" si="1"/>
        <v>16.156382477626</v>
      </c>
      <c r="K99" s="550">
        <v>4776.75</v>
      </c>
      <c r="L99" s="549" t="s">
        <v>1336</v>
      </c>
      <c r="M99" s="549" t="s">
        <v>1337</v>
      </c>
      <c r="N99" s="552" t="s">
        <v>1465</v>
      </c>
      <c r="O99" s="553" t="s">
        <v>1616</v>
      </c>
      <c r="P99" s="141">
        <v>1</v>
      </c>
      <c r="R99" s="150">
        <v>16.156382477626</v>
      </c>
      <c r="S99" s="165">
        <v>0.3</v>
      </c>
    </row>
    <row r="100" spans="1:19" ht="12.75" customHeight="1">
      <c r="A100" s="546" t="s">
        <v>360</v>
      </c>
      <c r="B100" s="547" t="s">
        <v>1595</v>
      </c>
      <c r="C100" s="547" t="s">
        <v>1596</v>
      </c>
      <c r="D100" s="547" t="s">
        <v>1617</v>
      </c>
      <c r="E100" s="548">
        <v>39443</v>
      </c>
      <c r="F100" s="549">
        <v>0</v>
      </c>
      <c r="G100" s="549">
        <v>421.85</v>
      </c>
      <c r="H100" s="550">
        <v>56756</v>
      </c>
      <c r="I100" s="549" t="s">
        <v>1618</v>
      </c>
      <c r="J100" s="551">
        <f t="shared" si="1"/>
        <v>23.520928305014504</v>
      </c>
      <c r="K100" s="550">
        <v>5429.25</v>
      </c>
      <c r="L100" s="549" t="s">
        <v>1336</v>
      </c>
      <c r="M100" s="549" t="s">
        <v>1619</v>
      </c>
      <c r="N100" s="552" t="s">
        <v>1465</v>
      </c>
      <c r="O100" s="553" t="s">
        <v>1545</v>
      </c>
      <c r="P100" s="141">
        <v>1</v>
      </c>
      <c r="R100" s="150">
        <v>23.520928305014504</v>
      </c>
      <c r="S100" s="165">
        <v>0.3</v>
      </c>
    </row>
    <row r="101" spans="1:19" ht="12.75" customHeight="1">
      <c r="A101" s="546" t="s">
        <v>360</v>
      </c>
      <c r="B101" s="547" t="s">
        <v>1595</v>
      </c>
      <c r="C101" s="547" t="s">
        <v>1596</v>
      </c>
      <c r="D101" s="547" t="s">
        <v>1620</v>
      </c>
      <c r="E101" s="548">
        <v>39436</v>
      </c>
      <c r="F101" s="549">
        <v>0</v>
      </c>
      <c r="G101" s="549">
        <v>549.25</v>
      </c>
      <c r="H101" s="550">
        <v>21160</v>
      </c>
      <c r="I101" s="549" t="s">
        <v>1604</v>
      </c>
      <c r="J101" s="551">
        <f t="shared" si="1"/>
        <v>17.781512605042018</v>
      </c>
      <c r="K101" s="550">
        <v>4760</v>
      </c>
      <c r="L101" s="549" t="s">
        <v>1336</v>
      </c>
      <c r="M101" s="549" t="s">
        <v>1337</v>
      </c>
      <c r="N101" s="552" t="s">
        <v>1465</v>
      </c>
      <c r="O101" s="553" t="s">
        <v>1412</v>
      </c>
      <c r="P101" s="141">
        <v>1</v>
      </c>
      <c r="R101" s="150">
        <v>17.781512605042018</v>
      </c>
      <c r="S101" s="165">
        <v>0.3</v>
      </c>
    </row>
    <row r="102" spans="1:19" ht="12.75" customHeight="1">
      <c r="A102" s="546" t="s">
        <v>360</v>
      </c>
      <c r="B102" s="547" t="s">
        <v>1595</v>
      </c>
      <c r="C102" s="547" t="s">
        <v>1596</v>
      </c>
      <c r="D102" s="547" t="s">
        <v>1621</v>
      </c>
      <c r="E102" s="548">
        <v>39447</v>
      </c>
      <c r="F102" s="549">
        <v>0</v>
      </c>
      <c r="G102" s="549">
        <v>114.4</v>
      </c>
      <c r="H102" s="550">
        <v>15546</v>
      </c>
      <c r="I102" s="549" t="s">
        <v>1622</v>
      </c>
      <c r="J102" s="551">
        <f t="shared" si="1"/>
        <v>29.724665391969406</v>
      </c>
      <c r="K102" s="550">
        <v>1176.08</v>
      </c>
      <c r="L102" s="549" t="s">
        <v>1336</v>
      </c>
      <c r="M102" s="549" t="s">
        <v>1619</v>
      </c>
      <c r="N102" s="552" t="s">
        <v>1465</v>
      </c>
      <c r="O102" s="553" t="s">
        <v>1423</v>
      </c>
      <c r="P102" s="141">
        <v>1</v>
      </c>
      <c r="R102" s="150">
        <v>29.724665391969406</v>
      </c>
      <c r="S102" s="165">
        <v>0.3</v>
      </c>
    </row>
    <row r="103" spans="1:19" ht="12.75" customHeight="1">
      <c r="A103" s="546" t="s">
        <v>360</v>
      </c>
      <c r="B103" s="547" t="s">
        <v>1595</v>
      </c>
      <c r="C103" s="547" t="s">
        <v>1596</v>
      </c>
      <c r="D103" s="547" t="s">
        <v>1623</v>
      </c>
      <c r="E103" s="548">
        <v>39447</v>
      </c>
      <c r="F103" s="549">
        <v>0</v>
      </c>
      <c r="G103" s="549">
        <v>1107.5999999999999</v>
      </c>
      <c r="H103" s="550">
        <v>66382</v>
      </c>
      <c r="I103" s="549" t="s">
        <v>1624</v>
      </c>
      <c r="J103" s="551">
        <f t="shared" si="1"/>
        <v>27.659166666666668</v>
      </c>
      <c r="K103" s="550">
        <v>9599</v>
      </c>
      <c r="L103" s="549" t="s">
        <v>1336</v>
      </c>
      <c r="M103" s="549" t="s">
        <v>1337</v>
      </c>
      <c r="N103" s="552" t="s">
        <v>1465</v>
      </c>
      <c r="O103" s="553" t="s">
        <v>1625</v>
      </c>
      <c r="P103" s="141">
        <v>1</v>
      </c>
      <c r="R103" s="150">
        <v>27.659166666666668</v>
      </c>
      <c r="S103" s="165">
        <v>0.3</v>
      </c>
    </row>
    <row r="104" spans="1:19" ht="12.75" customHeight="1">
      <c r="A104" s="546" t="s">
        <v>360</v>
      </c>
      <c r="B104" s="547" t="s">
        <v>1595</v>
      </c>
      <c r="C104" s="547" t="s">
        <v>1596</v>
      </c>
      <c r="D104" s="547" t="s">
        <v>1626</v>
      </c>
      <c r="E104" s="548">
        <v>39568</v>
      </c>
      <c r="F104" s="549">
        <v>0</v>
      </c>
      <c r="G104" s="549">
        <v>6169.15</v>
      </c>
      <c r="H104" s="550">
        <v>192732.18</v>
      </c>
      <c r="I104" s="549" t="s">
        <v>1627</v>
      </c>
      <c r="J104" s="551">
        <f t="shared" si="1"/>
        <v>14.417428186714542</v>
      </c>
      <c r="K104" s="550">
        <v>30078</v>
      </c>
      <c r="L104" s="549" t="s">
        <v>1336</v>
      </c>
      <c r="M104" s="549" t="s">
        <v>1337</v>
      </c>
      <c r="N104" s="552" t="s">
        <v>1465</v>
      </c>
      <c r="O104" s="553" t="s">
        <v>1628</v>
      </c>
      <c r="P104" s="141">
        <v>1</v>
      </c>
      <c r="R104" s="150">
        <v>14.417428186714542</v>
      </c>
      <c r="S104" s="165">
        <v>0.3</v>
      </c>
    </row>
    <row r="105" spans="1:19" ht="12.75" customHeight="1">
      <c r="A105" s="546" t="s">
        <v>360</v>
      </c>
      <c r="B105" s="547" t="s">
        <v>1595</v>
      </c>
      <c r="C105" s="547" t="s">
        <v>1596</v>
      </c>
      <c r="D105" s="547" t="s">
        <v>1629</v>
      </c>
      <c r="E105" s="548">
        <v>39568</v>
      </c>
      <c r="F105" s="549">
        <v>0</v>
      </c>
      <c r="G105" s="549">
        <v>1502.8</v>
      </c>
      <c r="H105" s="550">
        <v>46918.96</v>
      </c>
      <c r="I105" s="549" t="s">
        <v>1630</v>
      </c>
      <c r="J105" s="551">
        <f t="shared" si="1"/>
        <v>14.41</v>
      </c>
      <c r="K105" s="550">
        <v>7326</v>
      </c>
      <c r="L105" s="549" t="s">
        <v>1336</v>
      </c>
      <c r="M105" s="549" t="s">
        <v>1337</v>
      </c>
      <c r="N105" s="552" t="s">
        <v>1465</v>
      </c>
      <c r="O105" s="553" t="s">
        <v>1435</v>
      </c>
      <c r="P105" s="141">
        <v>1</v>
      </c>
      <c r="R105" s="150">
        <v>14.41</v>
      </c>
      <c r="S105" s="165">
        <v>0.3</v>
      </c>
    </row>
    <row r="106" spans="1:19" ht="12.75" customHeight="1">
      <c r="A106" s="546" t="s">
        <v>360</v>
      </c>
      <c r="B106" s="547" t="s">
        <v>1461</v>
      </c>
      <c r="C106" s="547" t="s">
        <v>1462</v>
      </c>
      <c r="D106" s="547" t="s">
        <v>1631</v>
      </c>
      <c r="E106" s="548">
        <v>39447</v>
      </c>
      <c r="F106" s="549">
        <v>6890</v>
      </c>
      <c r="G106" s="549">
        <v>0</v>
      </c>
      <c r="H106" s="550">
        <v>16985</v>
      </c>
      <c r="I106" s="549" t="s">
        <v>1632</v>
      </c>
      <c r="J106" s="551">
        <f t="shared" si="1"/>
        <v>18.998881431767337</v>
      </c>
      <c r="K106" s="550">
        <v>1788</v>
      </c>
      <c r="L106" s="549" t="s">
        <v>1472</v>
      </c>
      <c r="M106" s="549" t="s">
        <v>1421</v>
      </c>
      <c r="N106" s="552" t="s">
        <v>1633</v>
      </c>
      <c r="O106" s="553" t="s">
        <v>1634</v>
      </c>
      <c r="P106" s="141">
        <v>1</v>
      </c>
      <c r="R106" s="150">
        <v>18.998881431767337</v>
      </c>
      <c r="S106" s="165">
        <v>0.28999999999999998</v>
      </c>
    </row>
    <row r="107" spans="1:19" ht="12.75" customHeight="1">
      <c r="A107" s="546" t="s">
        <v>360</v>
      </c>
      <c r="B107" s="547" t="s">
        <v>1482</v>
      </c>
      <c r="C107" s="547" t="s">
        <v>1483</v>
      </c>
      <c r="D107" s="547" t="s">
        <v>1635</v>
      </c>
      <c r="E107" s="548">
        <v>39317</v>
      </c>
      <c r="F107" s="549">
        <v>36559</v>
      </c>
      <c r="G107" s="549">
        <v>0</v>
      </c>
      <c r="H107" s="550">
        <v>60580</v>
      </c>
      <c r="I107" s="549" t="s">
        <v>1636</v>
      </c>
      <c r="J107" s="551">
        <f t="shared" si="1"/>
        <v>22.757325319308791</v>
      </c>
      <c r="K107" s="550">
        <v>7986</v>
      </c>
      <c r="L107" s="549" t="s">
        <v>1336</v>
      </c>
      <c r="M107" s="549" t="s">
        <v>1337</v>
      </c>
      <c r="N107" s="552" t="s">
        <v>1633</v>
      </c>
      <c r="O107" s="553" t="s">
        <v>1637</v>
      </c>
      <c r="P107" s="141">
        <v>1</v>
      </c>
      <c r="R107" s="150">
        <v>22.757325319308791</v>
      </c>
      <c r="S107" s="165">
        <v>0.28999999999999998</v>
      </c>
    </row>
    <row r="108" spans="1:19" ht="12.75" customHeight="1">
      <c r="A108" s="546" t="s">
        <v>360</v>
      </c>
      <c r="B108" s="547" t="s">
        <v>1482</v>
      </c>
      <c r="C108" s="547" t="s">
        <v>1483</v>
      </c>
      <c r="D108" s="547" t="s">
        <v>1638</v>
      </c>
      <c r="E108" s="548">
        <v>39387</v>
      </c>
      <c r="F108" s="549">
        <v>89629</v>
      </c>
      <c r="G108" s="549">
        <v>0</v>
      </c>
      <c r="H108" s="550">
        <v>152580</v>
      </c>
      <c r="I108" s="549" t="s">
        <v>1639</v>
      </c>
      <c r="J108" s="551">
        <f t="shared" si="1"/>
        <v>27.716621253405993</v>
      </c>
      <c r="K108" s="550">
        <v>22021</v>
      </c>
      <c r="L108" s="549" t="s">
        <v>1336</v>
      </c>
      <c r="M108" s="549" t="s">
        <v>1619</v>
      </c>
      <c r="N108" s="552" t="s">
        <v>1633</v>
      </c>
      <c r="O108" s="553" t="s">
        <v>1640</v>
      </c>
      <c r="P108" s="141">
        <v>1</v>
      </c>
      <c r="R108" s="150">
        <v>27.716621253405993</v>
      </c>
      <c r="S108" s="165">
        <v>0.28999999999999998</v>
      </c>
    </row>
    <row r="109" spans="1:19" ht="12.75" customHeight="1">
      <c r="A109" s="546" t="s">
        <v>360</v>
      </c>
      <c r="B109" s="547" t="s">
        <v>1482</v>
      </c>
      <c r="C109" s="547" t="s">
        <v>1483</v>
      </c>
      <c r="D109" s="547" t="s">
        <v>1641</v>
      </c>
      <c r="E109" s="548">
        <v>39429</v>
      </c>
      <c r="F109" s="549">
        <v>17909</v>
      </c>
      <c r="G109" s="549">
        <v>0</v>
      </c>
      <c r="H109" s="550">
        <v>29060</v>
      </c>
      <c r="I109" s="549" t="s">
        <v>1642</v>
      </c>
      <c r="J109" s="551">
        <f t="shared" si="1"/>
        <v>26.418181818181818</v>
      </c>
      <c r="K109" s="550">
        <v>4400</v>
      </c>
      <c r="L109" s="549" t="s">
        <v>1336</v>
      </c>
      <c r="M109" s="549" t="s">
        <v>1337</v>
      </c>
      <c r="N109" s="552" t="s">
        <v>1633</v>
      </c>
      <c r="O109" s="553" t="s">
        <v>1412</v>
      </c>
      <c r="P109" s="141">
        <v>1</v>
      </c>
      <c r="R109" s="150">
        <v>26.418181818181818</v>
      </c>
      <c r="S109" s="165">
        <v>0.28999999999999998</v>
      </c>
    </row>
    <row r="110" spans="1:19" ht="12.75" customHeight="1">
      <c r="A110" s="546" t="s">
        <v>360</v>
      </c>
      <c r="B110" s="547" t="s">
        <v>1482</v>
      </c>
      <c r="C110" s="547" t="s">
        <v>1483</v>
      </c>
      <c r="D110" s="547" t="s">
        <v>1643</v>
      </c>
      <c r="E110" s="548">
        <v>39429</v>
      </c>
      <c r="F110" s="549">
        <v>24779</v>
      </c>
      <c r="G110" s="549">
        <v>0</v>
      </c>
      <c r="H110" s="550">
        <v>28852.37</v>
      </c>
      <c r="I110" s="549" t="s">
        <v>1644</v>
      </c>
      <c r="J110" s="551">
        <f t="shared" si="1"/>
        <v>18.956879106438894</v>
      </c>
      <c r="K110" s="550">
        <v>4566</v>
      </c>
      <c r="L110" s="549" t="s">
        <v>1336</v>
      </c>
      <c r="M110" s="549" t="s">
        <v>1337</v>
      </c>
      <c r="N110" s="552" t="s">
        <v>1633</v>
      </c>
      <c r="O110" s="553" t="s">
        <v>1645</v>
      </c>
      <c r="P110" s="141">
        <v>1</v>
      </c>
      <c r="R110" s="150">
        <v>18.956879106438894</v>
      </c>
      <c r="S110" s="165">
        <v>0.28999999999999998</v>
      </c>
    </row>
    <row r="111" spans="1:19" ht="12.75" customHeight="1">
      <c r="A111" s="546" t="s">
        <v>360</v>
      </c>
      <c r="B111" s="547" t="s">
        <v>1482</v>
      </c>
      <c r="C111" s="547" t="s">
        <v>1483</v>
      </c>
      <c r="D111" s="547" t="s">
        <v>1646</v>
      </c>
      <c r="E111" s="548">
        <v>39447</v>
      </c>
      <c r="F111" s="549">
        <v>50307</v>
      </c>
      <c r="G111" s="549">
        <v>0</v>
      </c>
      <c r="H111" s="550">
        <v>52647</v>
      </c>
      <c r="I111" s="549" t="s">
        <v>1647</v>
      </c>
      <c r="J111" s="551">
        <f t="shared" si="1"/>
        <v>17.037864077669902</v>
      </c>
      <c r="K111" s="550">
        <v>6180</v>
      </c>
      <c r="L111" s="549" t="s">
        <v>1472</v>
      </c>
      <c r="M111" s="549" t="s">
        <v>1421</v>
      </c>
      <c r="N111" s="552" t="s">
        <v>1633</v>
      </c>
      <c r="O111" s="553" t="s">
        <v>1648</v>
      </c>
      <c r="P111" s="141">
        <v>1</v>
      </c>
      <c r="R111" s="150">
        <v>17.037864077669902</v>
      </c>
      <c r="S111" s="165">
        <v>0.28999999999999998</v>
      </c>
    </row>
    <row r="112" spans="1:19" ht="12.75" customHeight="1">
      <c r="A112" s="546" t="s">
        <v>360</v>
      </c>
      <c r="B112" s="547" t="s">
        <v>1482</v>
      </c>
      <c r="C112" s="547" t="s">
        <v>1483</v>
      </c>
      <c r="D112" s="547" t="s">
        <v>1649</v>
      </c>
      <c r="E112" s="548">
        <v>39447</v>
      </c>
      <c r="F112" s="549">
        <v>41499</v>
      </c>
      <c r="G112" s="549">
        <v>0</v>
      </c>
      <c r="H112" s="550">
        <v>40000</v>
      </c>
      <c r="I112" s="549" t="s">
        <v>1363</v>
      </c>
      <c r="J112" s="551">
        <f t="shared" si="1"/>
        <v>15.692428403295409</v>
      </c>
      <c r="K112" s="550">
        <v>10196</v>
      </c>
      <c r="L112" s="549" t="s">
        <v>1336</v>
      </c>
      <c r="M112" s="549" t="s">
        <v>1337</v>
      </c>
      <c r="N112" s="552" t="s">
        <v>1633</v>
      </c>
      <c r="O112" s="553" t="s">
        <v>1358</v>
      </c>
      <c r="P112" s="141">
        <v>1</v>
      </c>
      <c r="R112" s="150">
        <v>15.692428403295409</v>
      </c>
      <c r="S112" s="165">
        <v>0.28999999999999998</v>
      </c>
    </row>
    <row r="113" spans="1:19" ht="12.75" customHeight="1">
      <c r="A113" s="546" t="s">
        <v>360</v>
      </c>
      <c r="B113" s="547" t="s">
        <v>1482</v>
      </c>
      <c r="C113" s="547" t="s">
        <v>1483</v>
      </c>
      <c r="D113" s="547" t="s">
        <v>1650</v>
      </c>
      <c r="E113" s="548">
        <v>39527</v>
      </c>
      <c r="F113" s="549">
        <v>50307</v>
      </c>
      <c r="G113" s="549">
        <v>0</v>
      </c>
      <c r="H113" s="550">
        <v>52647</v>
      </c>
      <c r="I113" s="549" t="s">
        <v>1647</v>
      </c>
      <c r="J113" s="551">
        <f t="shared" si="1"/>
        <v>17.037864077669902</v>
      </c>
      <c r="K113" s="550">
        <v>9270</v>
      </c>
      <c r="L113" s="549" t="s">
        <v>1336</v>
      </c>
      <c r="M113" s="549" t="s">
        <v>1337</v>
      </c>
      <c r="N113" s="552">
        <v>0.28999999999999998</v>
      </c>
      <c r="O113" s="553" t="s">
        <v>1648</v>
      </c>
      <c r="P113" s="141">
        <v>1</v>
      </c>
      <c r="R113" s="150">
        <v>17.037864077669902</v>
      </c>
      <c r="S113" s="165">
        <v>0.28999999999999998</v>
      </c>
    </row>
    <row r="114" spans="1:19" ht="12.75" customHeight="1">
      <c r="A114" s="546" t="s">
        <v>360</v>
      </c>
      <c r="B114" s="547" t="s">
        <v>1482</v>
      </c>
      <c r="C114" s="547" t="s">
        <v>1483</v>
      </c>
      <c r="D114" s="547" t="s">
        <v>1651</v>
      </c>
      <c r="E114" s="548">
        <v>39625</v>
      </c>
      <c r="F114" s="549">
        <v>63608</v>
      </c>
      <c r="G114" s="549">
        <v>0</v>
      </c>
      <c r="H114" s="550">
        <v>92038</v>
      </c>
      <c r="I114" s="549" t="s">
        <v>1652</v>
      </c>
      <c r="J114" s="551">
        <f t="shared" si="1"/>
        <v>23.557205016636807</v>
      </c>
      <c r="K114" s="550">
        <v>11721</v>
      </c>
      <c r="L114" s="549" t="s">
        <v>1336</v>
      </c>
      <c r="M114" s="549" t="s">
        <v>1337</v>
      </c>
      <c r="N114" s="552" t="s">
        <v>1633</v>
      </c>
      <c r="O114" s="553" t="s">
        <v>1653</v>
      </c>
      <c r="P114" s="141">
        <v>1</v>
      </c>
      <c r="R114" s="150">
        <v>23.557205016636807</v>
      </c>
      <c r="S114" s="165">
        <v>0.28999999999999998</v>
      </c>
    </row>
    <row r="115" spans="1:19" ht="12.75" customHeight="1">
      <c r="A115" s="546" t="s">
        <v>360</v>
      </c>
      <c r="B115" s="547" t="s">
        <v>1595</v>
      </c>
      <c r="C115" s="547" t="s">
        <v>1596</v>
      </c>
      <c r="D115" s="547" t="s">
        <v>1654</v>
      </c>
      <c r="E115" s="548">
        <v>39219</v>
      </c>
      <c r="F115" s="549">
        <v>0</v>
      </c>
      <c r="G115" s="549">
        <v>126.75</v>
      </c>
      <c r="H115" s="550">
        <v>7345</v>
      </c>
      <c r="I115" s="549" t="s">
        <v>1655</v>
      </c>
      <c r="J115" s="551">
        <f t="shared" si="1"/>
        <v>26.806569343065693</v>
      </c>
      <c r="K115" s="550">
        <v>616.9</v>
      </c>
      <c r="L115" s="549" t="s">
        <v>1336</v>
      </c>
      <c r="M115" s="549" t="s">
        <v>1337</v>
      </c>
      <c r="N115" s="552" t="s">
        <v>1633</v>
      </c>
      <c r="O115" s="553" t="s">
        <v>1656</v>
      </c>
      <c r="P115" s="141">
        <v>1</v>
      </c>
      <c r="R115" s="150">
        <v>26.806569343065693</v>
      </c>
      <c r="S115" s="165">
        <v>0.28999999999999998</v>
      </c>
    </row>
    <row r="116" spans="1:19" ht="12.75" customHeight="1">
      <c r="A116" s="546" t="s">
        <v>360</v>
      </c>
      <c r="B116" s="547" t="s">
        <v>1595</v>
      </c>
      <c r="C116" s="547" t="s">
        <v>1596</v>
      </c>
      <c r="D116" s="547" t="s">
        <v>1657</v>
      </c>
      <c r="E116" s="548">
        <v>39247</v>
      </c>
      <c r="F116" s="549">
        <v>0</v>
      </c>
      <c r="G116" s="549">
        <v>511.55</v>
      </c>
      <c r="H116" s="550">
        <v>31809</v>
      </c>
      <c r="I116" s="549" t="s">
        <v>1658</v>
      </c>
      <c r="J116" s="551">
        <f t="shared" si="1"/>
        <v>28.682596934174931</v>
      </c>
      <c r="K116" s="550">
        <v>2495.25</v>
      </c>
      <c r="L116" s="549" t="s">
        <v>1336</v>
      </c>
      <c r="M116" s="549" t="s">
        <v>1337</v>
      </c>
      <c r="N116" s="552" t="s">
        <v>1633</v>
      </c>
      <c r="O116" s="553" t="s">
        <v>1396</v>
      </c>
      <c r="P116" s="141">
        <v>1</v>
      </c>
      <c r="R116" s="150">
        <v>28.682596934174931</v>
      </c>
      <c r="S116" s="165">
        <v>0.28999999999999998</v>
      </c>
    </row>
    <row r="117" spans="1:19" ht="12.75" customHeight="1">
      <c r="A117" s="546" t="s">
        <v>360</v>
      </c>
      <c r="B117" s="547" t="s">
        <v>1595</v>
      </c>
      <c r="C117" s="547" t="s">
        <v>1596</v>
      </c>
      <c r="D117" s="547" t="s">
        <v>1659</v>
      </c>
      <c r="E117" s="548">
        <v>39568</v>
      </c>
      <c r="F117" s="549">
        <v>0</v>
      </c>
      <c r="G117" s="549">
        <v>469.3</v>
      </c>
      <c r="H117" s="550">
        <v>44434</v>
      </c>
      <c r="I117" s="549" t="s">
        <v>1660</v>
      </c>
      <c r="J117" s="551">
        <f t="shared" si="1"/>
        <v>41.066543438077638</v>
      </c>
      <c r="K117" s="550">
        <v>2434.5</v>
      </c>
      <c r="L117" s="549" t="s">
        <v>64</v>
      </c>
      <c r="M117" s="549" t="s">
        <v>1337</v>
      </c>
      <c r="N117" s="552" t="s">
        <v>1633</v>
      </c>
      <c r="O117" s="553" t="s">
        <v>1418</v>
      </c>
      <c r="P117" s="141">
        <v>1</v>
      </c>
      <c r="R117" s="150">
        <v>41.066543438077638</v>
      </c>
      <c r="S117" s="165">
        <v>0.28999999999999998</v>
      </c>
    </row>
    <row r="118" spans="1:19" ht="12.75" customHeight="1">
      <c r="A118" s="546" t="s">
        <v>360</v>
      </c>
      <c r="B118" s="547" t="s">
        <v>1595</v>
      </c>
      <c r="C118" s="547" t="s">
        <v>1596</v>
      </c>
      <c r="D118" s="547" t="s">
        <v>1661</v>
      </c>
      <c r="E118" s="548">
        <v>39387</v>
      </c>
      <c r="F118" s="549">
        <v>23379</v>
      </c>
      <c r="G118" s="549">
        <v>0</v>
      </c>
      <c r="H118" s="550">
        <v>59542</v>
      </c>
      <c r="I118" s="549" t="s">
        <v>1662</v>
      </c>
      <c r="J118" s="551">
        <f t="shared" si="1"/>
        <v>41.463788300835652</v>
      </c>
      <c r="K118" s="550">
        <v>3231</v>
      </c>
      <c r="L118" s="549" t="s">
        <v>1336</v>
      </c>
      <c r="M118" s="549" t="s">
        <v>1337</v>
      </c>
      <c r="N118" s="552" t="s">
        <v>1663</v>
      </c>
      <c r="O118" s="553" t="s">
        <v>1616</v>
      </c>
      <c r="P118" s="141">
        <v>1</v>
      </c>
      <c r="R118" s="150">
        <v>41.463788300835652</v>
      </c>
      <c r="S118" s="165">
        <v>0.25</v>
      </c>
    </row>
    <row r="119" spans="1:19" ht="12.75" customHeight="1" thickBot="1">
      <c r="A119" s="554" t="s">
        <v>360</v>
      </c>
      <c r="B119" s="555" t="s">
        <v>1595</v>
      </c>
      <c r="C119" s="555" t="s">
        <v>1596</v>
      </c>
      <c r="D119" s="555" t="s">
        <v>1664</v>
      </c>
      <c r="E119" s="556">
        <v>39407</v>
      </c>
      <c r="F119" s="557">
        <v>0</v>
      </c>
      <c r="G119" s="557">
        <v>663</v>
      </c>
      <c r="H119" s="558">
        <v>59542</v>
      </c>
      <c r="I119" s="557" t="s">
        <v>1662</v>
      </c>
      <c r="J119" s="559">
        <f t="shared" si="1"/>
        <v>41.463788300835652</v>
      </c>
      <c r="K119" s="558">
        <v>3231</v>
      </c>
      <c r="L119" s="557" t="s">
        <v>1336</v>
      </c>
      <c r="M119" s="557" t="s">
        <v>1337</v>
      </c>
      <c r="N119" s="560" t="s">
        <v>1663</v>
      </c>
      <c r="O119" s="561" t="s">
        <v>1616</v>
      </c>
      <c r="P119" s="141">
        <v>1</v>
      </c>
      <c r="R119" s="150">
        <v>41.463788300835652</v>
      </c>
      <c r="S119" s="165">
        <v>0.25</v>
      </c>
    </row>
    <row r="122" spans="1:19">
      <c r="J122" s="167" t="s">
        <v>1665</v>
      </c>
      <c r="K122" s="168" t="s">
        <v>1666</v>
      </c>
      <c r="L122" s="167" t="s">
        <v>1667</v>
      </c>
      <c r="M122" s="167" t="s">
        <v>1668</v>
      </c>
      <c r="N122" s="167" t="s">
        <v>1669</v>
      </c>
    </row>
    <row r="123" spans="1:19">
      <c r="J123" s="562">
        <v>0.35</v>
      </c>
      <c r="K123" s="563">
        <f>AVERAGE($J2:$J5)</f>
        <v>19.712383446641169</v>
      </c>
      <c r="L123" s="183">
        <f>MEDIAN($J2:$J5)</f>
        <v>21.306446222183887</v>
      </c>
      <c r="M123" s="183">
        <f>QUARTILE($J2:$J5,1)</f>
        <v>17.702961156943999</v>
      </c>
      <c r="N123" s="182">
        <f>COUNT($P2:$P5)</f>
        <v>4</v>
      </c>
    </row>
    <row r="124" spans="1:19">
      <c r="J124" s="564">
        <v>0.34</v>
      </c>
      <c r="K124" s="168">
        <f>AVERAGE($J6:$J11)</f>
        <v>25.392896458576264</v>
      </c>
      <c r="L124" s="168">
        <f>MEDIAN($J6:$J11)</f>
        <v>25.567336238064335</v>
      </c>
      <c r="M124" s="168">
        <f>QUARTILE($J6:$J11,1)</f>
        <v>21.965419302541932</v>
      </c>
      <c r="N124" s="170">
        <f>COUNT($P6:$P11)</f>
        <v>6</v>
      </c>
    </row>
    <row r="125" spans="1:19">
      <c r="J125" s="564">
        <v>0.33</v>
      </c>
      <c r="K125" s="168">
        <f>$J12</f>
        <v>18.199192956713134</v>
      </c>
      <c r="L125" s="168">
        <f>$J12</f>
        <v>18.199192956713134</v>
      </c>
      <c r="M125" s="168">
        <f>$J12</f>
        <v>18.199192956713134</v>
      </c>
      <c r="N125" s="170">
        <v>1</v>
      </c>
    </row>
    <row r="126" spans="1:19">
      <c r="J126" s="564">
        <v>0.32</v>
      </c>
      <c r="K126" s="168">
        <f>AVERAGE($J13:$J27)</f>
        <v>23.948450930799865</v>
      </c>
      <c r="L126" s="168">
        <f>MEDIAN($J13:$J27)</f>
        <v>22.514868309260834</v>
      </c>
      <c r="M126" s="168">
        <f>QUARTILE($J13:$J27,1)</f>
        <v>18.200792840625645</v>
      </c>
      <c r="N126" s="170">
        <f>COUNT($P13:$P27)</f>
        <v>15</v>
      </c>
    </row>
    <row r="127" spans="1:19">
      <c r="J127" s="564">
        <v>0.31</v>
      </c>
      <c r="K127" s="168">
        <f>AVERAGE($J28:$J43)</f>
        <v>22.592846352193028</v>
      </c>
      <c r="L127" s="168">
        <f>MEDIAN($J28:$J43)</f>
        <v>17.679160419790104</v>
      </c>
      <c r="M127" s="168">
        <f>QUARTILE($J28:$J43,1)</f>
        <v>14.487329560947646</v>
      </c>
      <c r="N127" s="170">
        <f>COUNT($P28:$P43)</f>
        <v>16</v>
      </c>
    </row>
    <row r="128" spans="1:19">
      <c r="J128" s="562">
        <v>0.3</v>
      </c>
      <c r="K128" s="565">
        <f>AVERAGE($J44:$J105)</f>
        <v>22.853746869574302</v>
      </c>
      <c r="L128" s="183">
        <f>MEDIAN($J44:$J105)</f>
        <v>22.200000000000003</v>
      </c>
      <c r="M128" s="183">
        <f>QUARTILE($J44:$J105,1)</f>
        <v>18.629581549232483</v>
      </c>
      <c r="N128" s="182">
        <f>COUNT($P44:$P105)</f>
        <v>62</v>
      </c>
    </row>
    <row r="129" spans="10:14">
      <c r="J129" s="564">
        <v>0.28999999999999998</v>
      </c>
      <c r="K129" s="168">
        <f>AVERAGE($J106:$J117)</f>
        <v>23.727413351641093</v>
      </c>
      <c r="L129" s="168">
        <f>MEDIAN($J106:$J117)</f>
        <v>23.157265167972799</v>
      </c>
      <c r="M129" s="168">
        <f>QUARTILE($J106:$J117,1)</f>
        <v>18.477125349246645</v>
      </c>
      <c r="N129" s="170">
        <f>COUNT($P106:$P117)</f>
        <v>12</v>
      </c>
    </row>
    <row r="130" spans="10:14">
      <c r="J130" s="566">
        <v>0.25</v>
      </c>
      <c r="K130" s="567">
        <f>AVERAGE($J118:$J119)</f>
        <v>41.463788300835652</v>
      </c>
      <c r="L130" s="567">
        <f>MEDIAN($J118:$J119)</f>
        <v>41.463788300835652</v>
      </c>
      <c r="M130" s="567">
        <f>QUARTILE($J118:$J119,1)</f>
        <v>41.463788300835652</v>
      </c>
      <c r="N130" s="568">
        <f>COUNT($P118:$P119)</f>
        <v>2</v>
      </c>
    </row>
    <row r="132" spans="10:14">
      <c r="J132" s="167" t="s">
        <v>1665</v>
      </c>
      <c r="K132" s="168" t="s">
        <v>1666</v>
      </c>
      <c r="L132" s="167" t="s">
        <v>1667</v>
      </c>
      <c r="M132" s="569" t="s">
        <v>1668</v>
      </c>
    </row>
    <row r="133" spans="10:14">
      <c r="J133" s="167" t="s">
        <v>1670</v>
      </c>
      <c r="K133" s="172">
        <f>K128-K123</f>
        <v>3.1413634229331322</v>
      </c>
      <c r="L133" s="172">
        <f>L128-L123</f>
        <v>0.89355377781611622</v>
      </c>
      <c r="M133" s="570">
        <f>M128-M123</f>
        <v>0.92662039228848414</v>
      </c>
    </row>
    <row r="134" spans="10:14">
      <c r="J134" s="167" t="s">
        <v>1671</v>
      </c>
      <c r="K134" s="172">
        <f>K130-K128</f>
        <v>18.610041431261351</v>
      </c>
      <c r="L134" s="172">
        <f>L130-L128</f>
        <v>19.26378830083565</v>
      </c>
      <c r="M134" s="570">
        <f>M130-M128</f>
        <v>22.834206751603169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B266"/>
  <sheetViews>
    <sheetView topLeftCell="A11" zoomScaleNormal="100" workbookViewId="0">
      <selection activeCell="A11" sqref="A11"/>
    </sheetView>
  </sheetViews>
  <sheetFormatPr defaultRowHeight="12.75"/>
  <cols>
    <col min="1" max="1" width="35" style="57" customWidth="1"/>
    <col min="2" max="2" width="30.140625" style="57" customWidth="1"/>
    <col min="3" max="3" width="19.85546875" style="57" customWidth="1"/>
    <col min="4" max="4" width="40" style="57" customWidth="1"/>
    <col min="5" max="5" width="9.7109375" style="57" customWidth="1"/>
    <col min="6" max="6" width="9.85546875" style="57" customWidth="1"/>
    <col min="7" max="8" width="10.140625" style="57" customWidth="1"/>
    <col min="9" max="27" width="9.140625" style="57"/>
    <col min="28" max="28" width="21.7109375" style="57" customWidth="1"/>
    <col min="29" max="29" width="35.85546875" style="57" customWidth="1"/>
    <col min="30" max="30" width="35.28515625" style="57" customWidth="1"/>
    <col min="31" max="31" width="15" style="57" customWidth="1"/>
    <col min="32" max="32" width="17.7109375" style="57" customWidth="1"/>
    <col min="33" max="33" width="15.140625" style="57" customWidth="1"/>
    <col min="34" max="34" width="15.7109375" style="57" customWidth="1"/>
    <col min="35" max="35" width="21.28515625" style="57" customWidth="1"/>
    <col min="36" max="36" width="17.7109375" style="57" bestFit="1" customWidth="1"/>
    <col min="37" max="37" width="15.42578125" style="57" bestFit="1" customWidth="1"/>
    <col min="38" max="38" width="14.28515625" style="57" bestFit="1" customWidth="1"/>
    <col min="39" max="39" width="14.28515625" style="57" customWidth="1"/>
    <col min="40" max="40" width="12.5703125" style="57" customWidth="1"/>
    <col min="41" max="41" width="14" style="57" bestFit="1" customWidth="1"/>
    <col min="42" max="43" width="10.85546875" style="57" bestFit="1" customWidth="1"/>
    <col min="44" max="44" width="13.42578125" style="57" customWidth="1"/>
    <col min="45" max="45" width="11.85546875" style="57" bestFit="1" customWidth="1"/>
    <col min="46" max="46" width="11" style="57" bestFit="1" customWidth="1"/>
    <col min="47" max="47" width="14.28515625" style="57" bestFit="1" customWidth="1"/>
    <col min="48" max="48" width="10.7109375" style="57" customWidth="1"/>
    <col min="49" max="49" width="13.85546875" style="57" bestFit="1" customWidth="1"/>
    <col min="50" max="50" width="11.7109375" style="57" bestFit="1" customWidth="1"/>
    <col min="51" max="51" width="15.28515625" style="57" bestFit="1" customWidth="1"/>
    <col min="52" max="54" width="12.28515625" style="57" bestFit="1" customWidth="1"/>
    <col min="55" max="55" width="12.5703125" style="57" bestFit="1" customWidth="1"/>
    <col min="56" max="58" width="14.28515625" style="57" bestFit="1" customWidth="1"/>
    <col min="59" max="59" width="13.7109375" style="57" bestFit="1" customWidth="1"/>
    <col min="60" max="60" width="14" style="57" bestFit="1" customWidth="1"/>
    <col min="61" max="61" width="12.85546875" style="57" bestFit="1" customWidth="1"/>
    <col min="62" max="62" width="15.28515625" style="57" bestFit="1" customWidth="1"/>
    <col min="63" max="63" width="12.28515625" style="57" bestFit="1" customWidth="1"/>
    <col min="64" max="64" width="10.85546875" style="57" bestFit="1" customWidth="1"/>
    <col min="65" max="65" width="12.28515625" style="57" bestFit="1" customWidth="1"/>
    <col min="66" max="66" width="12.5703125" style="57" bestFit="1" customWidth="1"/>
    <col min="67" max="16384" width="9.140625" style="57"/>
  </cols>
  <sheetData>
    <row r="1" spans="1:68">
      <c r="A1" s="56" t="s">
        <v>80</v>
      </c>
      <c r="B1" s="638" t="s">
        <v>81</v>
      </c>
      <c r="C1" s="638"/>
      <c r="D1" s="638"/>
      <c r="E1" s="638"/>
      <c r="F1" s="638"/>
      <c r="G1" s="638"/>
      <c r="H1" s="638"/>
      <c r="I1" s="638"/>
      <c r="J1" s="638"/>
      <c r="K1" s="638"/>
      <c r="L1" s="638"/>
      <c r="M1" s="638"/>
      <c r="N1" s="638"/>
      <c r="O1" s="638"/>
      <c r="P1" s="638"/>
      <c r="Q1" s="638"/>
      <c r="R1" s="638"/>
      <c r="S1" s="638"/>
    </row>
    <row r="2" spans="1:68">
      <c r="A2" s="58" t="s">
        <v>289</v>
      </c>
      <c r="B2" s="638"/>
      <c r="C2" s="638"/>
      <c r="D2" s="638"/>
      <c r="E2" s="638"/>
      <c r="F2" s="638"/>
      <c r="G2" s="638"/>
      <c r="H2" s="638"/>
      <c r="I2" s="638"/>
      <c r="J2" s="638"/>
      <c r="K2" s="638"/>
      <c r="L2" s="638"/>
      <c r="M2" s="638"/>
      <c r="N2" s="638"/>
      <c r="O2" s="638"/>
      <c r="P2" s="638"/>
      <c r="Q2" s="638"/>
      <c r="R2" s="638"/>
      <c r="S2" s="638"/>
    </row>
    <row r="3" spans="1:68">
      <c r="B3" s="638"/>
      <c r="C3" s="638"/>
      <c r="D3" s="638"/>
      <c r="E3" s="638"/>
      <c r="F3" s="638"/>
      <c r="G3" s="638"/>
      <c r="H3" s="638"/>
      <c r="I3" s="638"/>
      <c r="J3" s="638"/>
      <c r="K3" s="638"/>
      <c r="L3" s="638"/>
      <c r="M3" s="638"/>
      <c r="N3" s="638"/>
      <c r="O3" s="638"/>
      <c r="P3" s="638"/>
      <c r="Q3" s="638"/>
      <c r="R3" s="638"/>
      <c r="S3" s="638"/>
    </row>
    <row r="4" spans="1:68">
      <c r="B4" s="638"/>
      <c r="C4" s="638"/>
      <c r="D4" s="638"/>
      <c r="E4" s="638"/>
      <c r="F4" s="638"/>
      <c r="G4" s="638"/>
      <c r="H4" s="638"/>
      <c r="I4" s="638"/>
      <c r="J4" s="638"/>
      <c r="K4" s="638"/>
      <c r="L4" s="638"/>
      <c r="M4" s="638"/>
      <c r="N4" s="638"/>
      <c r="O4" s="638"/>
      <c r="P4" s="638"/>
      <c r="Q4" s="638"/>
      <c r="R4" s="638"/>
      <c r="S4" s="638"/>
    </row>
    <row r="5" spans="1:68">
      <c r="B5" s="638"/>
      <c r="C5" s="638"/>
      <c r="D5" s="638"/>
      <c r="E5" s="638"/>
      <c r="F5" s="638"/>
      <c r="G5" s="638"/>
      <c r="H5" s="638"/>
      <c r="I5" s="638"/>
      <c r="J5" s="638"/>
      <c r="K5" s="638"/>
      <c r="L5" s="638"/>
      <c r="M5" s="638"/>
      <c r="N5" s="638"/>
      <c r="O5" s="638"/>
      <c r="P5" s="638"/>
      <c r="Q5" s="638"/>
      <c r="R5" s="638"/>
      <c r="S5" s="638"/>
    </row>
    <row r="6" spans="1:68">
      <c r="B6" s="638"/>
      <c r="C6" s="638"/>
      <c r="D6" s="638"/>
      <c r="E6" s="638"/>
      <c r="F6" s="638"/>
      <c r="G6" s="638"/>
      <c r="H6" s="638"/>
      <c r="I6" s="638"/>
      <c r="J6" s="638"/>
      <c r="K6" s="638"/>
      <c r="L6" s="638"/>
      <c r="M6" s="638"/>
      <c r="N6" s="638"/>
      <c r="O6" s="638"/>
      <c r="P6" s="638"/>
      <c r="Q6" s="638"/>
      <c r="R6" s="638"/>
      <c r="S6" s="638"/>
    </row>
    <row r="7" spans="1:68">
      <c r="B7" s="27" t="s">
        <v>24</v>
      </c>
      <c r="C7" s="75" t="s">
        <v>82</v>
      </c>
      <c r="D7" s="75" t="s">
        <v>1679</v>
      </c>
    </row>
    <row r="8" spans="1:68">
      <c r="B8" s="27" t="s">
        <v>83</v>
      </c>
      <c r="C8" s="75" t="s">
        <v>84</v>
      </c>
      <c r="D8" s="75" t="s">
        <v>217</v>
      </c>
    </row>
    <row r="9" spans="1:68">
      <c r="B9" s="76" t="s">
        <v>85</v>
      </c>
      <c r="C9" s="75">
        <f>[3]FILES!$H$4</f>
        <v>2035</v>
      </c>
      <c r="D9" s="77"/>
    </row>
    <row r="10" spans="1:68">
      <c r="B10" s="77" t="s">
        <v>86</v>
      </c>
      <c r="C10" s="75"/>
      <c r="D10" s="78"/>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row>
    <row r="11" spans="1:68" ht="15">
      <c r="A11" s="79" t="str">
        <f>CONCATENATE("FLOOR AREA AVAILABLE FOR MEASURE -",$C$8)</f>
        <v>FLOOR AREA AVAILABLE FOR MEASURE -ResWx</v>
      </c>
      <c r="C11" s="57" t="s">
        <v>290</v>
      </c>
      <c r="E11" s="80">
        <v>2016</v>
      </c>
      <c r="F11" s="81">
        <v>2017</v>
      </c>
      <c r="G11" s="81">
        <v>2018</v>
      </c>
      <c r="H11" s="81">
        <v>2019</v>
      </c>
      <c r="I11" s="81">
        <v>2020</v>
      </c>
      <c r="J11" s="81">
        <v>2021</v>
      </c>
      <c r="K11" s="81">
        <v>2022</v>
      </c>
      <c r="L11" s="81">
        <v>2023</v>
      </c>
      <c r="M11" s="81">
        <v>2024</v>
      </c>
      <c r="N11" s="81">
        <v>2025</v>
      </c>
      <c r="O11" s="81">
        <v>2026</v>
      </c>
      <c r="P11" s="81">
        <v>2027</v>
      </c>
      <c r="Q11" s="81">
        <v>2028</v>
      </c>
      <c r="R11" s="81">
        <v>2029</v>
      </c>
      <c r="S11" s="81">
        <v>2030</v>
      </c>
      <c r="T11" s="81">
        <v>2031</v>
      </c>
      <c r="U11" s="81">
        <v>2032</v>
      </c>
      <c r="V11" s="81">
        <v>2033</v>
      </c>
      <c r="W11" s="81">
        <v>2034</v>
      </c>
      <c r="X11" s="81">
        <v>2035</v>
      </c>
      <c r="Y11" s="82"/>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row>
    <row r="12" spans="1:68" ht="15">
      <c r="E12" s="83" t="str">
        <f>CONCATENATE("HOMES_",E11)</f>
        <v>HOMES_2016</v>
      </c>
      <c r="F12" s="84" t="str">
        <f t="shared" ref="F12:X12" si="0">CONCATENATE("HOMES_",F11)</f>
        <v>HOMES_2017</v>
      </c>
      <c r="G12" s="84" t="str">
        <f t="shared" si="0"/>
        <v>HOMES_2018</v>
      </c>
      <c r="H12" s="84" t="str">
        <f t="shared" si="0"/>
        <v>HOMES_2019</v>
      </c>
      <c r="I12" s="84" t="str">
        <f t="shared" si="0"/>
        <v>HOMES_2020</v>
      </c>
      <c r="J12" s="84" t="str">
        <f t="shared" si="0"/>
        <v>HOMES_2021</v>
      </c>
      <c r="K12" s="84" t="str">
        <f t="shared" si="0"/>
        <v>HOMES_2022</v>
      </c>
      <c r="L12" s="84" t="str">
        <f t="shared" si="0"/>
        <v>HOMES_2023</v>
      </c>
      <c r="M12" s="84" t="str">
        <f t="shared" si="0"/>
        <v>HOMES_2024</v>
      </c>
      <c r="N12" s="84" t="str">
        <f t="shared" si="0"/>
        <v>HOMES_2025</v>
      </c>
      <c r="O12" s="84" t="str">
        <f t="shared" si="0"/>
        <v>HOMES_2026</v>
      </c>
      <c r="P12" s="84" t="str">
        <f t="shared" si="0"/>
        <v>HOMES_2027</v>
      </c>
      <c r="Q12" s="84" t="str">
        <f t="shared" si="0"/>
        <v>HOMES_2028</v>
      </c>
      <c r="R12" s="84" t="str">
        <f t="shared" si="0"/>
        <v>HOMES_2029</v>
      </c>
      <c r="S12" s="84" t="str">
        <f t="shared" si="0"/>
        <v>HOMES_2030</v>
      </c>
      <c r="T12" s="84" t="str">
        <f t="shared" si="0"/>
        <v>HOMES_2031</v>
      </c>
      <c r="U12" s="84" t="str">
        <f t="shared" si="0"/>
        <v>HOMES_2032</v>
      </c>
      <c r="V12" s="84" t="str">
        <f t="shared" si="0"/>
        <v>HOMES_2033</v>
      </c>
      <c r="W12" s="84" t="str">
        <f t="shared" si="0"/>
        <v>HOMES_2034</v>
      </c>
      <c r="X12" s="84" t="str">
        <f t="shared" si="0"/>
        <v>HOMES_2035</v>
      </c>
      <c r="Y12" s="85"/>
    </row>
    <row r="13" spans="1:68">
      <c r="C13" s="57" t="s">
        <v>25</v>
      </c>
      <c r="E13" s="48">
        <f>INDEX(ResBase,MATCH($D$8&amp;$C13&amp;$D$7,'[2]Res Forecast (Base Case)'!$B$14:$B$61,0),MATCH(E$11,'[2]Res Forecast (Base Case)'!$AK$12:$BD$12,0)+34)</f>
        <v>4203528.2719999999</v>
      </c>
      <c r="F13" s="48">
        <f>INDEX(ResBase,MATCH($D$8&amp;$C13&amp;$D$7,'[2]Res Forecast (Base Case)'!$B$14:$B$61,0),MATCH(F$11,'[2]Res Forecast (Base Case)'!$AK$12:$BD$12,0)+34)</f>
        <v>4193982.9785983553</v>
      </c>
      <c r="G13" s="48">
        <f>INDEX(ResBase,MATCH($D$8&amp;$C13&amp;$D$7,'[2]Res Forecast (Base Case)'!$B$14:$B$61,0),MATCH(G$11,'[2]Res Forecast (Base Case)'!$AK$12:$BD$12,0)+34)</f>
        <v>4184459.3604704877</v>
      </c>
      <c r="H13" s="48">
        <f>INDEX(ResBase,MATCH($D$8&amp;$C13&amp;$D$7,'[2]Res Forecast (Base Case)'!$B$14:$B$61,0),MATCH(H$11,'[2]Res Forecast (Base Case)'!$AK$12:$BD$12,0)+34)</f>
        <v>4174957.36839659</v>
      </c>
      <c r="I13" s="48">
        <f>INDEX(ResBase,MATCH($D$8&amp;$C13&amp;$D$7,'[2]Res Forecast (Base Case)'!$B$14:$B$61,0),MATCH(I$11,'[2]Res Forecast (Base Case)'!$AK$12:$BD$12,0)+34)</f>
        <v>4165476.9532686244</v>
      </c>
      <c r="J13" s="48">
        <f>INDEX(ResBase,MATCH($D$8&amp;$C13&amp;$D$7,'[2]Res Forecast (Base Case)'!$B$14:$B$61,0),MATCH(J$11,'[2]Res Forecast (Base Case)'!$AK$12:$BD$12,0)+34)</f>
        <v>4156018.0660900641</v>
      </c>
      <c r="K13" s="48">
        <f>INDEX(ResBase,MATCH($D$8&amp;$C13&amp;$D$7,'[2]Res Forecast (Base Case)'!$B$14:$B$61,0),MATCH(K$11,'[2]Res Forecast (Base Case)'!$AK$12:$BD$12,0)+34)</f>
        <v>4146580.6579756448</v>
      </c>
      <c r="L13" s="48">
        <f>INDEX(ResBase,MATCH($D$8&amp;$C13&amp;$D$7,'[2]Res Forecast (Base Case)'!$B$14:$B$61,0),MATCH(L$11,'[2]Res Forecast (Base Case)'!$AK$12:$BD$12,0)+34)</f>
        <v>4137164.6801511091</v>
      </c>
      <c r="M13" s="48">
        <f>INDEX(ResBase,MATCH($D$8&amp;$C13&amp;$D$7,'[2]Res Forecast (Base Case)'!$B$14:$B$61,0),MATCH(M$11,'[2]Res Forecast (Base Case)'!$AK$12:$BD$12,0)+34)</f>
        <v>4127770.0839529554</v>
      </c>
      <c r="N13" s="48">
        <f>INDEX(ResBase,MATCH($D$8&amp;$C13&amp;$D$7,'[2]Res Forecast (Base Case)'!$B$14:$B$61,0),MATCH(N$11,'[2]Res Forecast (Base Case)'!$AK$12:$BD$12,0)+34)</f>
        <v>4118396.8208281873</v>
      </c>
      <c r="O13" s="48">
        <f>INDEX(ResBase,MATCH($D$8&amp;$C13&amp;$D$7,'[2]Res Forecast (Base Case)'!$B$14:$B$61,0),MATCH(O$11,'[2]Res Forecast (Base Case)'!$AK$12:$BD$12,0)+34)</f>
        <v>4109044.8423340586</v>
      </c>
      <c r="P13" s="48">
        <f>INDEX(ResBase,MATCH($D$8&amp;$C13&amp;$D$7,'[2]Res Forecast (Base Case)'!$B$14:$B$61,0),MATCH(P$11,'[2]Res Forecast (Base Case)'!$AK$12:$BD$12,0)+34)</f>
        <v>4099714.1001378288</v>
      </c>
      <c r="Q13" s="48">
        <f>INDEX(ResBase,MATCH($D$8&amp;$C13&amp;$D$7,'[2]Res Forecast (Base Case)'!$B$14:$B$61,0),MATCH(Q$11,'[2]Res Forecast (Base Case)'!$AK$12:$BD$12,0)+34)</f>
        <v>4090404.5460165106</v>
      </c>
      <c r="R13" s="48">
        <f>INDEX(ResBase,MATCH($D$8&amp;$C13&amp;$D$7,'[2]Res Forecast (Base Case)'!$B$14:$B$61,0),MATCH(R$11,'[2]Res Forecast (Base Case)'!$AK$12:$BD$12,0)+34)</f>
        <v>4081116.1318566194</v>
      </c>
      <c r="S13" s="48">
        <f>INDEX(ResBase,MATCH($D$8&amp;$C13&amp;$D$7,'[2]Res Forecast (Base Case)'!$B$14:$B$61,0),MATCH(S$11,'[2]Res Forecast (Base Case)'!$AK$12:$BD$12,0)+34)</f>
        <v>4071848.8096539262</v>
      </c>
      <c r="T13" s="48">
        <f>INDEX(ResBase,MATCH($D$8&amp;$C13&amp;$D$7,'[2]Res Forecast (Base Case)'!$B$14:$B$61,0),MATCH(T$11,'[2]Res Forecast (Base Case)'!$AK$12:$BD$12,0)+34)</f>
        <v>4062602.5315132081</v>
      </c>
      <c r="U13" s="48">
        <f>INDEX(ResBase,MATCH($D$8&amp;$C13&amp;$D$7,'[2]Res Forecast (Base Case)'!$B$14:$B$61,0),MATCH(U$11,'[2]Res Forecast (Base Case)'!$AK$12:$BD$12,0)+34)</f>
        <v>4053377.2496480034</v>
      </c>
      <c r="V13" s="48">
        <f>INDEX(ResBase,MATCH($D$8&amp;$C13&amp;$D$7,'[2]Res Forecast (Base Case)'!$B$14:$B$61,0),MATCH(V$11,'[2]Res Forecast (Base Case)'!$AK$12:$BD$12,0)+34)</f>
        <v>4044172.9163803621</v>
      </c>
      <c r="W13" s="48">
        <f>INDEX(ResBase,MATCH($D$8&amp;$C13&amp;$D$7,'[2]Res Forecast (Base Case)'!$B$14:$B$61,0),MATCH(W$11,'[2]Res Forecast (Base Case)'!$AK$12:$BD$12,0)+34)</f>
        <v>4034989.4841406001</v>
      </c>
      <c r="X13" s="48">
        <f>INDEX(ResBase,MATCH($D$8&amp;$C13&amp;$D$7,'[2]Res Forecast (Base Case)'!$B$14:$B$61,0),MATCH(X$11,'[2]Res Forecast (Base Case)'!$AK$12:$BD$12,0)+34)</f>
        <v>4025826.9054670548</v>
      </c>
      <c r="Y13" s="48"/>
    </row>
    <row r="14" spans="1:68">
      <c r="C14" s="57" t="s">
        <v>87</v>
      </c>
      <c r="E14" s="48">
        <f>INDEX(ResBase,MATCH($D$8&amp;$C14&amp;$D$7,'[2]Res Forecast (Base Case)'!$B$14:$B$61,0),MATCH(E$11,'[2]Res Forecast (Base Case)'!$AK$12:$BD$12,0)+34)</f>
        <v>926243.25609262148</v>
      </c>
      <c r="F14" s="48">
        <f>INDEX(ResBase,MATCH($D$8&amp;$C14&amp;$D$7,'[2]Res Forecast (Base Case)'!$B$14:$B$61,0),MATCH(F$11,'[2]Res Forecast (Base Case)'!$AK$12:$BD$12,0)+34)</f>
        <v>924139.92640956037</v>
      </c>
      <c r="G14" s="48">
        <f>INDEX(ResBase,MATCH($D$8&amp;$C14&amp;$D$7,'[2]Res Forecast (Base Case)'!$B$14:$B$61,0),MATCH(G$11,'[2]Res Forecast (Base Case)'!$AK$12:$BD$12,0)+34)</f>
        <v>922041.3730050053</v>
      </c>
      <c r="H14" s="48">
        <f>INDEX(ResBase,MATCH($D$8&amp;$C14&amp;$D$7,'[2]Res Forecast (Base Case)'!$B$14:$B$61,0),MATCH(H$11,'[2]Res Forecast (Base Case)'!$AK$12:$BD$12,0)+34)</f>
        <v>919947.58503289847</v>
      </c>
      <c r="I14" s="48">
        <f>INDEX(ResBase,MATCH($D$8&amp;$C14&amp;$D$7,'[2]Res Forecast (Base Case)'!$B$14:$B$61,0),MATCH(I$11,'[2]Res Forecast (Base Case)'!$AK$12:$BD$12,0)+34)</f>
        <v>917858.55167181045</v>
      </c>
      <c r="J14" s="48">
        <f>INDEX(ResBase,MATCH($D$8&amp;$C14&amp;$D$7,'[2]Res Forecast (Base Case)'!$B$14:$B$61,0),MATCH(J$11,'[2]Res Forecast (Base Case)'!$AK$12:$BD$12,0)+34)</f>
        <v>915774.26212488639</v>
      </c>
      <c r="K14" s="48">
        <f>INDEX(ResBase,MATCH($D$8&amp;$C14&amp;$D$7,'[2]Res Forecast (Base Case)'!$B$14:$B$61,0),MATCH(K$11,'[2]Res Forecast (Base Case)'!$AK$12:$BD$12,0)+34)</f>
        <v>913694.70561978838</v>
      </c>
      <c r="L14" s="48">
        <f>INDEX(ResBase,MATCH($D$8&amp;$C14&amp;$D$7,'[2]Res Forecast (Base Case)'!$B$14:$B$61,0),MATCH(L$11,'[2]Res Forecast (Base Case)'!$AK$12:$BD$12,0)+34)</f>
        <v>911619.87140864041</v>
      </c>
      <c r="M14" s="48">
        <f>INDEX(ResBase,MATCH($D$8&amp;$C14&amp;$D$7,'[2]Res Forecast (Base Case)'!$B$14:$B$61,0),MATCH(M$11,'[2]Res Forecast (Base Case)'!$AK$12:$BD$12,0)+34)</f>
        <v>909549.74876797362</v>
      </c>
      <c r="N14" s="48">
        <f>INDEX(ResBase,MATCH($D$8&amp;$C14&amp;$D$7,'[2]Res Forecast (Base Case)'!$B$14:$B$61,0),MATCH(N$11,'[2]Res Forecast (Base Case)'!$AK$12:$BD$12,0)+34)</f>
        <v>907484.32699866977</v>
      </c>
      <c r="O14" s="48">
        <f>INDEX(ResBase,MATCH($D$8&amp;$C14&amp;$D$7,'[2]Res Forecast (Base Case)'!$B$14:$B$61,0),MATCH(O$11,'[2]Res Forecast (Base Case)'!$AK$12:$BD$12,0)+34)</f>
        <v>905423.59542590659</v>
      </c>
      <c r="P14" s="48">
        <f>INDEX(ResBase,MATCH($D$8&amp;$C14&amp;$D$7,'[2]Res Forecast (Base Case)'!$B$14:$B$61,0),MATCH(P$11,'[2]Res Forecast (Base Case)'!$AK$12:$BD$12,0)+34)</f>
        <v>903367.54339910217</v>
      </c>
      <c r="Q14" s="48">
        <f>INDEX(ResBase,MATCH($D$8&amp;$C14&amp;$D$7,'[2]Res Forecast (Base Case)'!$B$14:$B$61,0),MATCH(Q$11,'[2]Res Forecast (Base Case)'!$AK$12:$BD$12,0)+34)</f>
        <v>901316.16029185988</v>
      </c>
      <c r="R14" s="48">
        <f>INDEX(ResBase,MATCH($D$8&amp;$C14&amp;$D$7,'[2]Res Forecast (Base Case)'!$B$14:$B$61,0),MATCH(R$11,'[2]Res Forecast (Base Case)'!$AK$12:$BD$12,0)+34)</f>
        <v>899269.43550191447</v>
      </c>
      <c r="S14" s="48">
        <f>INDEX(ResBase,MATCH($D$8&amp;$C14&amp;$D$7,'[2]Res Forecast (Base Case)'!$B$14:$B$61,0),MATCH(S$11,'[2]Res Forecast (Base Case)'!$AK$12:$BD$12,0)+34)</f>
        <v>897227.35845107585</v>
      </c>
      <c r="T14" s="48">
        <f>INDEX(ResBase,MATCH($D$8&amp;$C14&amp;$D$7,'[2]Res Forecast (Base Case)'!$B$14:$B$61,0),MATCH(T$11,'[2]Res Forecast (Base Case)'!$AK$12:$BD$12,0)+34)</f>
        <v>895189.9185851753</v>
      </c>
      <c r="U14" s="48">
        <f>INDEX(ResBase,MATCH($D$8&amp;$C14&amp;$D$7,'[2]Res Forecast (Base Case)'!$B$14:$B$61,0),MATCH(U$11,'[2]Res Forecast (Base Case)'!$AK$12:$BD$12,0)+34)</f>
        <v>893157.10537401051</v>
      </c>
      <c r="V14" s="48">
        <f>INDEX(ResBase,MATCH($D$8&amp;$C14&amp;$D$7,'[2]Res Forecast (Base Case)'!$B$14:$B$61,0),MATCH(V$11,'[2]Res Forecast (Base Case)'!$AK$12:$BD$12,0)+34)</f>
        <v>891128.90831129183</v>
      </c>
      <c r="W14" s="48">
        <f>INDEX(ResBase,MATCH($D$8&amp;$C14&amp;$D$7,'[2]Res Forecast (Base Case)'!$B$14:$B$61,0),MATCH(W$11,'[2]Res Forecast (Base Case)'!$AK$12:$BD$12,0)+34)</f>
        <v>889105.31691458682</v>
      </c>
      <c r="X14" s="48">
        <f>INDEX(ResBase,MATCH($D$8&amp;$C14&amp;$D$7,'[2]Res Forecast (Base Case)'!$B$14:$B$61,0),MATCH(X$11,'[2]Res Forecast (Base Case)'!$AK$12:$BD$12,0)+34)</f>
        <v>887086.32072526717</v>
      </c>
      <c r="Y14" s="48"/>
    </row>
    <row r="15" spans="1:68">
      <c r="C15" s="57" t="s">
        <v>88</v>
      </c>
      <c r="E15" s="48">
        <f>INDEX(ResBase,MATCH($D$8&amp;$C15&amp;$D$7,'[2]Res Forecast (Base Case)'!$B$14:$B$61,0),MATCH(E$11,'[2]Res Forecast (Base Case)'!$AK$12:$BD$12,0)+34)</f>
        <v>211180.07985625503</v>
      </c>
      <c r="F15" s="48">
        <f>INDEX(ResBase,MATCH($D$8&amp;$C15&amp;$D$7,'[2]Res Forecast (Base Case)'!$B$14:$B$61,0),MATCH(F$11,'[2]Res Forecast (Base Case)'!$AK$12:$BD$12,0)+34)</f>
        <v>210700.52836963299</v>
      </c>
      <c r="G15" s="48">
        <f>INDEX(ResBase,MATCH($D$8&amp;$C15&amp;$D$7,'[2]Res Forecast (Base Case)'!$B$14:$B$61,0),MATCH(G$11,'[2]Res Forecast (Base Case)'!$AK$12:$BD$12,0)+34)</f>
        <v>210222.06585706791</v>
      </c>
      <c r="H15" s="48">
        <f>INDEX(ResBase,MATCH($D$8&amp;$C15&amp;$D$7,'[2]Res Forecast (Base Case)'!$B$14:$B$61,0),MATCH(H$11,'[2]Res Forecast (Base Case)'!$AK$12:$BD$12,0)+34)</f>
        <v>209744.68984569819</v>
      </c>
      <c r="I15" s="48">
        <f>INDEX(ResBase,MATCH($D$8&amp;$C15&amp;$D$7,'[2]Res Forecast (Base Case)'!$B$14:$B$61,0),MATCH(I$11,'[2]Res Forecast (Base Case)'!$AK$12:$BD$12,0)+34)</f>
        <v>209268.39786827751</v>
      </c>
      <c r="J15" s="48">
        <f>INDEX(ResBase,MATCH($D$8&amp;$C15&amp;$D$7,'[2]Res Forecast (Base Case)'!$B$14:$B$61,0),MATCH(J$11,'[2]Res Forecast (Base Case)'!$AK$12:$BD$12,0)+34)</f>
        <v>208793.18746316229</v>
      </c>
      <c r="K15" s="48">
        <f>INDEX(ResBase,MATCH($D$8&amp;$C15&amp;$D$7,'[2]Res Forecast (Base Case)'!$B$14:$B$61,0),MATCH(K$11,'[2]Res Forecast (Base Case)'!$AK$12:$BD$12,0)+34)</f>
        <v>208319.05617429892</v>
      </c>
      <c r="L15" s="48">
        <f>INDEX(ResBase,MATCH($D$8&amp;$C15&amp;$D$7,'[2]Res Forecast (Base Case)'!$B$14:$B$61,0),MATCH(L$11,'[2]Res Forecast (Base Case)'!$AK$12:$BD$12,0)+34)</f>
        <v>207846.00155121088</v>
      </c>
      <c r="M15" s="48">
        <f>INDEX(ResBase,MATCH($D$8&amp;$C15&amp;$D$7,'[2]Res Forecast (Base Case)'!$B$14:$B$61,0),MATCH(M$11,'[2]Res Forecast (Base Case)'!$AK$12:$BD$12,0)+34)</f>
        <v>207374.0211489865</v>
      </c>
      <c r="N15" s="48">
        <f>INDEX(ResBase,MATCH($D$8&amp;$C15&amp;$D$7,'[2]Res Forecast (Base Case)'!$B$14:$B$61,0),MATCH(N$11,'[2]Res Forecast (Base Case)'!$AK$12:$BD$12,0)+34)</f>
        <v>206903.11252826577</v>
      </c>
      <c r="O15" s="48">
        <f>INDEX(ResBase,MATCH($D$8&amp;$C15&amp;$D$7,'[2]Res Forecast (Base Case)'!$B$14:$B$61,0),MATCH(O$11,'[2]Res Forecast (Base Case)'!$AK$12:$BD$12,0)+34)</f>
        <v>206433.27325522827</v>
      </c>
      <c r="P15" s="48">
        <f>INDEX(ResBase,MATCH($D$8&amp;$C15&amp;$D$7,'[2]Res Forecast (Base Case)'!$B$14:$B$61,0),MATCH(P$11,'[2]Res Forecast (Base Case)'!$AK$12:$BD$12,0)+34)</f>
        <v>205964.50090158021</v>
      </c>
      <c r="Q15" s="48">
        <f>INDEX(ResBase,MATCH($D$8&amp;$C15&amp;$D$7,'[2]Res Forecast (Base Case)'!$B$14:$B$61,0),MATCH(Q$11,'[2]Res Forecast (Base Case)'!$AK$12:$BD$12,0)+34)</f>
        <v>205496.79304454199</v>
      </c>
      <c r="R15" s="48">
        <f>INDEX(ResBase,MATCH($D$8&amp;$C15&amp;$D$7,'[2]Res Forecast (Base Case)'!$B$14:$B$61,0),MATCH(R$11,'[2]Res Forecast (Base Case)'!$AK$12:$BD$12,0)+34)</f>
        <v>205030.14726683579</v>
      </c>
      <c r="S15" s="48">
        <f>INDEX(ResBase,MATCH($D$8&amp;$C15&amp;$D$7,'[2]Res Forecast (Base Case)'!$B$14:$B$61,0),MATCH(S$11,'[2]Res Forecast (Base Case)'!$AK$12:$BD$12,0)+34)</f>
        <v>204564.56115667295</v>
      </c>
      <c r="T15" s="48">
        <f>INDEX(ResBase,MATCH($D$8&amp;$C15&amp;$D$7,'[2]Res Forecast (Base Case)'!$B$14:$B$61,0),MATCH(T$11,'[2]Res Forecast (Base Case)'!$AK$12:$BD$12,0)+34)</f>
        <v>204100.03230774152</v>
      </c>
      <c r="U15" s="48">
        <f>INDEX(ResBase,MATCH($D$8&amp;$C15&amp;$D$7,'[2]Res Forecast (Base Case)'!$B$14:$B$61,0),MATCH(U$11,'[2]Res Forecast (Base Case)'!$AK$12:$BD$12,0)+34)</f>
        <v>203636.55831919383</v>
      </c>
      <c r="V15" s="48">
        <f>INDEX(ResBase,MATCH($D$8&amp;$C15&amp;$D$7,'[2]Res Forecast (Base Case)'!$B$14:$B$61,0),MATCH(V$11,'[2]Res Forecast (Base Case)'!$AK$12:$BD$12,0)+34)</f>
        <v>203174.13679563423</v>
      </c>
      <c r="W15" s="48">
        <f>INDEX(ResBase,MATCH($D$8&amp;$C15&amp;$D$7,'[2]Res Forecast (Base Case)'!$B$14:$B$61,0),MATCH(W$11,'[2]Res Forecast (Base Case)'!$AK$12:$BD$12,0)+34)</f>
        <v>202712.76534710638</v>
      </c>
      <c r="X15" s="48">
        <f>INDEX(ResBase,MATCH($D$8&amp;$C15&amp;$D$7,'[2]Res Forecast (Base Case)'!$B$14:$B$61,0),MATCH(X$11,'[2]Res Forecast (Base Case)'!$AK$12:$BD$12,0)+34)</f>
        <v>202252.44158908122</v>
      </c>
      <c r="Y15" s="48"/>
    </row>
    <row r="16" spans="1:68">
      <c r="C16" s="57" t="s">
        <v>89</v>
      </c>
      <c r="E16" s="48">
        <f>INDEX(ResBase,MATCH($D$8&amp;$C16&amp;$D$7,'[2]Res Forecast (Base Case)'!$B$14:$B$61,0),MATCH(E$11,'[2]Res Forecast (Base Case)'!$AK$12:$BD$12,0)+34)</f>
        <v>572006.3278356482</v>
      </c>
      <c r="F16" s="48">
        <f>INDEX(ResBase,MATCH($D$8&amp;$C16&amp;$D$7,'[2]Res Forecast (Base Case)'!$B$14:$B$61,0),MATCH(F$11,'[2]Res Forecast (Base Case)'!$AK$12:$BD$12,0)+34)</f>
        <v>565893.30394507048</v>
      </c>
      <c r="G16" s="48">
        <f>INDEX(ResBase,MATCH($D$8&amp;$C16&amp;$D$7,'[2]Res Forecast (Base Case)'!$B$14:$B$61,0),MATCH(G$11,'[2]Res Forecast (Base Case)'!$AK$12:$BD$12,0)+34)</f>
        <v>559845.60985814757</v>
      </c>
      <c r="H16" s="48">
        <f>INDEX(ResBase,MATCH($D$8&amp;$C16&amp;$D$7,'[2]Res Forecast (Base Case)'!$B$14:$B$61,0),MATCH(H$11,'[2]Res Forecast (Base Case)'!$AK$12:$BD$12,0)+34)</f>
        <v>553862.54739615123</v>
      </c>
      <c r="I16" s="48">
        <f>INDEX(ResBase,MATCH($D$8&amp;$C16&amp;$D$7,'[2]Res Forecast (Base Case)'!$B$14:$B$61,0),MATCH(I$11,'[2]Res Forecast (Base Case)'!$AK$12:$BD$12,0)+34)</f>
        <v>547943.42584177968</v>
      </c>
      <c r="J16" s="48">
        <f>INDEX(ResBase,MATCH($D$8&amp;$C16&amp;$D$7,'[2]Res Forecast (Base Case)'!$B$14:$B$61,0),MATCH(J$11,'[2]Res Forecast (Base Case)'!$AK$12:$BD$12,0)+34)</f>
        <v>542087.56185941794</v>
      </c>
      <c r="K16" s="48">
        <f>INDEX(ResBase,MATCH($D$8&amp;$C16&amp;$D$7,'[2]Res Forecast (Base Case)'!$B$14:$B$61,0),MATCH(K$11,'[2]Res Forecast (Base Case)'!$AK$12:$BD$12,0)+34)</f>
        <v>536294.27941624937</v>
      </c>
      <c r="L16" s="48">
        <f>INDEX(ResBase,MATCH($D$8&amp;$C16&amp;$D$7,'[2]Res Forecast (Base Case)'!$B$14:$B$61,0),MATCH(L$11,'[2]Res Forecast (Base Case)'!$AK$12:$BD$12,0)+34)</f>
        <v>530562.90970421082</v>
      </c>
      <c r="M16" s="48">
        <f>INDEX(ResBase,MATCH($D$8&amp;$C16&amp;$D$7,'[2]Res Forecast (Base Case)'!$B$14:$B$61,0),MATCH(M$11,'[2]Res Forecast (Base Case)'!$AK$12:$BD$12,0)+34)</f>
        <v>524892.79106278194</v>
      </c>
      <c r="N16" s="48">
        <f>INDEX(ResBase,MATCH($D$8&amp;$C16&amp;$D$7,'[2]Res Forecast (Base Case)'!$B$14:$B$61,0),MATCH(N$11,'[2]Res Forecast (Base Case)'!$AK$12:$BD$12,0)+34)</f>
        <v>519283.26890259917</v>
      </c>
      <c r="O16" s="48">
        <f>INDEX(ResBase,MATCH($D$8&amp;$C16&amp;$D$7,'[2]Res Forecast (Base Case)'!$B$14:$B$61,0),MATCH(O$11,'[2]Res Forecast (Base Case)'!$AK$12:$BD$12,0)+34)</f>
        <v>513733.69562988722</v>
      </c>
      <c r="P16" s="48">
        <f>INDEX(ResBase,MATCH($D$8&amp;$C16&amp;$D$7,'[2]Res Forecast (Base Case)'!$B$14:$B$61,0),MATCH(P$11,'[2]Res Forecast (Base Case)'!$AK$12:$BD$12,0)+34)</f>
        <v>508243.4305716962</v>
      </c>
      <c r="Q16" s="48">
        <f>INDEX(ResBase,MATCH($D$8&amp;$C16&amp;$D$7,'[2]Res Forecast (Base Case)'!$B$14:$B$61,0),MATCH(Q$11,'[2]Res Forecast (Base Case)'!$AK$12:$BD$12,0)+34)</f>
        <v>502811.8399019395</v>
      </c>
      <c r="R16" s="48">
        <f>INDEX(ResBase,MATCH($D$8&amp;$C16&amp;$D$7,'[2]Res Forecast (Base Case)'!$B$14:$B$61,0),MATCH(R$11,'[2]Res Forecast (Base Case)'!$AK$12:$BD$12,0)+34)</f>
        <v>497438.2965682213</v>
      </c>
      <c r="S16" s="48">
        <f>INDEX(ResBase,MATCH($D$8&amp;$C16&amp;$D$7,'[2]Res Forecast (Base Case)'!$B$14:$B$61,0),MATCH(S$11,'[2]Res Forecast (Base Case)'!$AK$12:$BD$12,0)+34)</f>
        <v>492122.18021944637</v>
      </c>
      <c r="T16" s="48">
        <f>INDEX(ResBase,MATCH($D$8&amp;$C16&amp;$D$7,'[2]Res Forecast (Base Case)'!$B$14:$B$61,0),MATCH(T$11,'[2]Res Forecast (Base Case)'!$AK$12:$BD$12,0)+34)</f>
        <v>486862.87713420321</v>
      </c>
      <c r="U16" s="48">
        <f>INDEX(ResBase,MATCH($D$8&amp;$C16&amp;$D$7,'[2]Res Forecast (Base Case)'!$B$14:$B$61,0),MATCH(U$11,'[2]Res Forecast (Base Case)'!$AK$12:$BD$12,0)+34)</f>
        <v>481659.78014991269</v>
      </c>
      <c r="V16" s="48">
        <f>INDEX(ResBase,MATCH($D$8&amp;$C16&amp;$D$7,'[2]Res Forecast (Base Case)'!$B$14:$B$61,0),MATCH(V$11,'[2]Res Forecast (Base Case)'!$AK$12:$BD$12,0)+34)</f>
        <v>476512.28859273402</v>
      </c>
      <c r="W16" s="48">
        <f>INDEX(ResBase,MATCH($D$8&amp;$C16&amp;$D$7,'[2]Res Forecast (Base Case)'!$B$14:$B$61,0),MATCH(W$11,'[2]Res Forecast (Base Case)'!$AK$12:$BD$12,0)+34)</f>
        <v>471419.80820821953</v>
      </c>
      <c r="X16" s="48">
        <f>INDEX(ResBase,MATCH($D$8&amp;$C16&amp;$D$7,'[2]Res Forecast (Base Case)'!$B$14:$B$61,0),MATCH(X$11,'[2]Res Forecast (Base Case)'!$AK$12:$BD$12,0)+34)</f>
        <v>466381.75109271082</v>
      </c>
      <c r="Y16" s="48"/>
    </row>
    <row r="17" spans="1:26">
      <c r="E17" s="60"/>
      <c r="F17" s="60"/>
      <c r="G17" s="60"/>
      <c r="H17" s="60"/>
      <c r="I17" s="60"/>
      <c r="J17" s="60"/>
      <c r="K17" s="60"/>
      <c r="L17" s="60"/>
      <c r="M17" s="60"/>
      <c r="N17" s="60"/>
      <c r="O17" s="60"/>
      <c r="P17" s="60"/>
      <c r="Q17" s="60"/>
      <c r="R17" s="60"/>
      <c r="S17" s="60"/>
      <c r="T17" s="60"/>
      <c r="U17" s="60"/>
      <c r="V17" s="60"/>
      <c r="W17" s="60"/>
      <c r="X17" s="60"/>
      <c r="Y17" s="60"/>
    </row>
    <row r="18" spans="1:26">
      <c r="B18" s="57" t="s">
        <v>90</v>
      </c>
      <c r="C18" s="57" t="s">
        <v>91</v>
      </c>
      <c r="E18" s="60">
        <f t="shared" ref="E18:X18" si="1">SUM(E13:E16)</f>
        <v>5912957.9357845243</v>
      </c>
      <c r="F18" s="60">
        <f t="shared" si="1"/>
        <v>5894716.7373226183</v>
      </c>
      <c r="G18" s="60">
        <f t="shared" si="1"/>
        <v>5876568.4091907088</v>
      </c>
      <c r="H18" s="60">
        <f t="shared" si="1"/>
        <v>5858512.1906713378</v>
      </c>
      <c r="I18" s="60">
        <f t="shared" si="1"/>
        <v>5840547.3286504922</v>
      </c>
      <c r="J18" s="60">
        <f t="shared" si="1"/>
        <v>5822673.077537531</v>
      </c>
      <c r="K18" s="60">
        <f t="shared" si="1"/>
        <v>5804888.6991859814</v>
      </c>
      <c r="L18" s="60">
        <f t="shared" si="1"/>
        <v>5787193.462815172</v>
      </c>
      <c r="M18" s="60">
        <f t="shared" si="1"/>
        <v>5769586.6449326966</v>
      </c>
      <c r="N18" s="60">
        <f t="shared" si="1"/>
        <v>5752067.5292577213</v>
      </c>
      <c r="O18" s="60">
        <f t="shared" si="1"/>
        <v>5734635.406645081</v>
      </c>
      <c r="P18" s="60">
        <f t="shared" si="1"/>
        <v>5717289.5750102066</v>
      </c>
      <c r="Q18" s="60">
        <f t="shared" si="1"/>
        <v>5700029.3392548524</v>
      </c>
      <c r="R18" s="60">
        <f t="shared" si="1"/>
        <v>5682854.0111935912</v>
      </c>
      <c r="S18" s="60">
        <f t="shared" si="1"/>
        <v>5665762.9094811222</v>
      </c>
      <c r="T18" s="60">
        <f t="shared" si="1"/>
        <v>5648755.3595403275</v>
      </c>
      <c r="U18" s="60">
        <f t="shared" si="1"/>
        <v>5631830.6934911208</v>
      </c>
      <c r="V18" s="60">
        <f t="shared" si="1"/>
        <v>5614988.250080023</v>
      </c>
      <c r="W18" s="60">
        <f t="shared" si="1"/>
        <v>5598227.3746105134</v>
      </c>
      <c r="X18" s="60">
        <f t="shared" si="1"/>
        <v>5581547.4188741138</v>
      </c>
      <c r="Y18" s="60"/>
    </row>
    <row r="19" spans="1:26">
      <c r="D19" s="60"/>
      <c r="E19" s="60"/>
      <c r="F19" s="60"/>
      <c r="G19" s="60"/>
      <c r="H19" s="60"/>
      <c r="I19" s="60"/>
      <c r="J19" s="60"/>
      <c r="K19" s="60"/>
      <c r="L19" s="60"/>
      <c r="M19" s="60"/>
      <c r="N19" s="60"/>
      <c r="O19" s="60"/>
      <c r="P19" s="60"/>
      <c r="Q19" s="60"/>
      <c r="R19" s="60"/>
      <c r="S19" s="60"/>
      <c r="T19" s="60"/>
      <c r="U19" s="60"/>
      <c r="V19" s="60"/>
      <c r="W19" s="60"/>
      <c r="X19" s="60"/>
    </row>
    <row r="20" spans="1:26">
      <c r="D20" s="60"/>
      <c r="E20" s="60"/>
      <c r="F20" s="60"/>
      <c r="G20" s="60"/>
      <c r="H20" s="60"/>
      <c r="I20" s="60"/>
      <c r="J20" s="60"/>
      <c r="K20" s="60"/>
      <c r="L20" s="60"/>
      <c r="M20" s="60"/>
      <c r="N20" s="60"/>
      <c r="O20" s="60"/>
      <c r="P20" s="60"/>
      <c r="Q20" s="60"/>
      <c r="R20" s="60"/>
      <c r="S20" s="60"/>
      <c r="T20" s="60"/>
      <c r="U20" s="60"/>
      <c r="V20" s="60"/>
      <c r="W20" s="60"/>
      <c r="X20" s="60"/>
    </row>
    <row r="21" spans="1:26" ht="15">
      <c r="A21" s="79" t="str">
        <f>CONCATENATE("# HOMES APPLICABLE BY YEAR FOR MEASURE - ",C22)</f>
        <v># HOMES APPLICABLE BY YEAR FOR MEASURE - ResWx - Retro</v>
      </c>
      <c r="D21" s="60"/>
      <c r="E21" s="60"/>
      <c r="F21" s="60"/>
      <c r="G21" s="60"/>
      <c r="H21" s="60"/>
      <c r="I21" s="60"/>
      <c r="J21" s="60"/>
      <c r="K21" s="60"/>
      <c r="L21" s="60"/>
      <c r="M21" s="60"/>
      <c r="N21" s="60"/>
      <c r="O21" s="60"/>
      <c r="P21" s="60"/>
      <c r="Q21" s="60"/>
      <c r="R21" s="60"/>
      <c r="S21" s="60"/>
      <c r="T21" s="60"/>
      <c r="U21" s="60"/>
      <c r="V21" s="60"/>
      <c r="W21" s="60"/>
      <c r="X21" s="60"/>
      <c r="Z21" s="599">
        <v>0.85</v>
      </c>
    </row>
    <row r="22" spans="1:26" ht="15">
      <c r="A22" s="86" t="s">
        <v>92</v>
      </c>
      <c r="B22" s="86" t="s">
        <v>291</v>
      </c>
      <c r="C22" s="86" t="str">
        <f>CONCATENATE(C8," - ",C7)</f>
        <v>ResWx - Retro</v>
      </c>
      <c r="D22" s="57">
        <v>2</v>
      </c>
      <c r="E22" s="57">
        <v>3</v>
      </c>
      <c r="F22" s="57">
        <v>4</v>
      </c>
      <c r="G22" s="57">
        <v>5</v>
      </c>
      <c r="H22" s="57">
        <v>6</v>
      </c>
      <c r="I22" s="57">
        <v>7</v>
      </c>
      <c r="J22" s="57">
        <v>8</v>
      </c>
      <c r="K22" s="57">
        <v>9</v>
      </c>
      <c r="L22" s="57">
        <v>10</v>
      </c>
      <c r="M22" s="57">
        <v>11</v>
      </c>
      <c r="N22" s="57">
        <v>12</v>
      </c>
      <c r="O22" s="57">
        <v>13</v>
      </c>
      <c r="P22" s="57">
        <v>14</v>
      </c>
      <c r="Q22" s="57">
        <v>15</v>
      </c>
      <c r="R22" s="57">
        <v>16</v>
      </c>
      <c r="S22" s="57">
        <v>17</v>
      </c>
      <c r="T22" s="57">
        <v>18</v>
      </c>
      <c r="U22" s="57">
        <v>19</v>
      </c>
      <c r="V22" s="57">
        <v>20</v>
      </c>
      <c r="W22" s="57">
        <v>21</v>
      </c>
      <c r="X22" s="57">
        <v>22</v>
      </c>
      <c r="Z22" s="594" t="s">
        <v>2132</v>
      </c>
    </row>
    <row r="23" spans="1:26">
      <c r="A23" s="93">
        <f>INDEX([3]!ResApplic,MATCH(CONCATENATE(LEFT($D23,FIND("_",$D23)-1)," - ",$C$7),[3]APPLIC!$B$9:$B$201,0)+1,MATCH($C23,[3]APPLIC!$C$8:$F$8,0)+1)</f>
        <v>8.6999999999999966E-2</v>
      </c>
      <c r="B23" s="89">
        <f>VLOOKUP(RIGHT($D23,LEN(D23)-FIND("_",$D23)),Weighting!$D$16:$H$19,5,FALSE)</f>
        <v>5.302693394780917E-2</v>
      </c>
      <c r="C23" s="57" t="s">
        <v>87</v>
      </c>
      <c r="D23" s="60" t="s">
        <v>234</v>
      </c>
      <c r="E23" s="60">
        <f>$A23*VLOOKUP($C23,$C$13:$Y$16,E$22,FALSE)*$B23</f>
        <v>4273.078076557159</v>
      </c>
      <c r="F23" s="60">
        <f t="shared" ref="F23:U35" si="2">$A23*VLOOKUP($C23,$C$13:$Y$16,F$22,FALSE)*$B23</f>
        <v>4263.3746947540076</v>
      </c>
      <c r="G23" s="60">
        <f t="shared" si="2"/>
        <v>4253.6933475630794</v>
      </c>
      <c r="H23" s="60">
        <f t="shared" si="2"/>
        <v>4244.0339849477859</v>
      </c>
      <c r="I23" s="60">
        <f t="shared" si="2"/>
        <v>4234.3965569851589</v>
      </c>
      <c r="J23" s="60">
        <f t="shared" si="2"/>
        <v>4224.7810138656005</v>
      </c>
      <c r="K23" s="60">
        <f t="shared" si="2"/>
        <v>4215.1873058926194</v>
      </c>
      <c r="L23" s="60">
        <f t="shared" si="2"/>
        <v>4205.6153834825736</v>
      </c>
      <c r="M23" s="60">
        <f t="shared" si="2"/>
        <v>4196.0651971644193</v>
      </c>
      <c r="N23" s="60">
        <f t="shared" si="2"/>
        <v>4186.5366975794532</v>
      </c>
      <c r="O23" s="60">
        <f t="shared" si="2"/>
        <v>4177.0298354810557</v>
      </c>
      <c r="P23" s="60">
        <f t="shared" si="2"/>
        <v>4167.5445617344358</v>
      </c>
      <c r="Q23" s="60">
        <f t="shared" si="2"/>
        <v>4158.0808273163793</v>
      </c>
      <c r="R23" s="60">
        <f t="shared" si="2"/>
        <v>4148.638583314997</v>
      </c>
      <c r="S23" s="60">
        <f t="shared" si="2"/>
        <v>4139.2177809294662</v>
      </c>
      <c r="T23" s="60">
        <f t="shared" si="2"/>
        <v>4129.8183714697843</v>
      </c>
      <c r="U23" s="60">
        <f t="shared" si="2"/>
        <v>4120.4403063565142</v>
      </c>
      <c r="V23" s="60">
        <f t="shared" ref="V23:X38" si="3">$A23*VLOOKUP($C23,$C$13:$Y$16,V$22,FALSE)*$B23</f>
        <v>4111.0835371205349</v>
      </c>
      <c r="W23" s="60">
        <f t="shared" si="3"/>
        <v>4101.7480154027871</v>
      </c>
      <c r="X23" s="60">
        <f>$A23*VLOOKUP($C23,$C$13:$Y$16,X$22,FALSE)*$B23</f>
        <v>4092.4336929540291</v>
      </c>
      <c r="Y23" s="60"/>
      <c r="Z23" s="600">
        <f>A23*B23*$Z$21*VLOOKUP($C23,$C$13:$X$16,$X$22,FALSE)</f>
        <v>3478.5686390109245</v>
      </c>
    </row>
    <row r="24" spans="1:26">
      <c r="A24" s="93">
        <f>INDEX([3]!ResApplic,MATCH(CONCATENATE(LEFT($D24,FIND("_",$D24)-1)," - ",$C$7),[3]APPLIC!$B$9:$B$201,0)+1,MATCH($C24,[3]APPLIC!$C$8:$F$8,0)+1)</f>
        <v>2.1455163910870823E-2</v>
      </c>
      <c r="B24" s="89">
        <f>VLOOKUP(RIGHT($D24,LEN(D24)-FIND("_",$D24)),Weighting!$D$16:$H$19,5,FALSE)</f>
        <v>5.302693394780917E-2</v>
      </c>
      <c r="C24" s="57" t="str">
        <f>$C$23</f>
        <v>Multifamily - Low Rise</v>
      </c>
      <c r="D24" s="60" t="s">
        <v>235</v>
      </c>
      <c r="E24" s="60">
        <f t="shared" ref="E24:T36" si="4">$A24*VLOOKUP($C24,$C$13:$Y$16,E$22,FALSE)*$B24</f>
        <v>1053.7883969710631</v>
      </c>
      <c r="F24" s="60">
        <f t="shared" si="2"/>
        <v>1051.3954355104154</v>
      </c>
      <c r="G24" s="60">
        <f t="shared" si="2"/>
        <v>1049.0079080292726</v>
      </c>
      <c r="H24" s="60">
        <f t="shared" si="2"/>
        <v>1046.6258021880581</v>
      </c>
      <c r="I24" s="60">
        <f t="shared" si="2"/>
        <v>1044.2491056752149</v>
      </c>
      <c r="J24" s="60">
        <f t="shared" si="2"/>
        <v>1041.877806207144</v>
      </c>
      <c r="K24" s="60">
        <f t="shared" si="2"/>
        <v>1039.5118915281398</v>
      </c>
      <c r="L24" s="60">
        <f t="shared" si="2"/>
        <v>1037.1513494103274</v>
      </c>
      <c r="M24" s="60">
        <f t="shared" si="2"/>
        <v>1034.7961676535995</v>
      </c>
      <c r="N24" s="60">
        <f t="shared" si="2"/>
        <v>1032.4463340855523</v>
      </c>
      <c r="O24" s="60">
        <f t="shared" si="2"/>
        <v>1030.1018365614239</v>
      </c>
      <c r="P24" s="60">
        <f t="shared" si="2"/>
        <v>1027.7626629640306</v>
      </c>
      <c r="Q24" s="60">
        <f t="shared" si="2"/>
        <v>1025.4288012037048</v>
      </c>
      <c r="R24" s="60">
        <f t="shared" si="2"/>
        <v>1023.1002392182322</v>
      </c>
      <c r="S24" s="60">
        <f t="shared" si="2"/>
        <v>1020.77696497279</v>
      </c>
      <c r="T24" s="60">
        <f t="shared" si="2"/>
        <v>1018.4589664598835</v>
      </c>
      <c r="U24" s="60">
        <f t="shared" si="2"/>
        <v>1016.1462316992854</v>
      </c>
      <c r="V24" s="60">
        <f t="shared" si="3"/>
        <v>1013.8387487379737</v>
      </c>
      <c r="W24" s="60">
        <f t="shared" si="3"/>
        <v>1011.5365056500682</v>
      </c>
      <c r="X24" s="60">
        <f t="shared" si="3"/>
        <v>1009.2394905367715</v>
      </c>
      <c r="Y24" s="60"/>
      <c r="Z24" s="600">
        <f t="shared" ref="Z24:Z61" si="5">A24*B24*$Z$21*VLOOKUP($C24,$C$13:$X$16,$X$22,FALSE)</f>
        <v>857.8535669562558</v>
      </c>
    </row>
    <row r="25" spans="1:26">
      <c r="A25" s="93">
        <f>INDEX([3]!ResApplic,MATCH(CONCATENATE(LEFT($D25,FIND("_",$D25)-1)," - ",$C$7),[3]APPLIC!$B$9:$B$201,0)+1,MATCH($C25,[3]APPLIC!$C$8:$F$8,0)+1)</f>
        <v>0.23754483608912919</v>
      </c>
      <c r="B25" s="89">
        <f>VLOOKUP(RIGHT($D25,LEN(D25)-FIND("_",$D25)),Weighting!$D$16:$H$19,5,FALSE)</f>
        <v>5.302693394780917E-2</v>
      </c>
      <c r="C25" s="57" t="str">
        <f t="shared" ref="C25:C61" si="6">$C$23</f>
        <v>Multifamily - Low Rise</v>
      </c>
      <c r="D25" s="60" t="s">
        <v>236</v>
      </c>
      <c r="E25" s="60">
        <f t="shared" si="4"/>
        <v>11667.214152779565</v>
      </c>
      <c r="F25" s="60">
        <f t="shared" si="2"/>
        <v>11640.720035079108</v>
      </c>
      <c r="G25" s="60">
        <f t="shared" si="2"/>
        <v>11614.286080693004</v>
      </c>
      <c r="H25" s="60">
        <f t="shared" si="2"/>
        <v>11587.912153001333</v>
      </c>
      <c r="I25" s="60">
        <f t="shared" si="2"/>
        <v>11561.598115694402</v>
      </c>
      <c r="J25" s="60">
        <f t="shared" si="2"/>
        <v>11535.343832772065</v>
      </c>
      <c r="K25" s="60">
        <f t="shared" si="2"/>
        <v>11509.149168542997</v>
      </c>
      <c r="L25" s="60">
        <f t="shared" si="2"/>
        <v>11483.013987624005</v>
      </c>
      <c r="M25" s="60">
        <f t="shared" si="2"/>
        <v>11456.938154939333</v>
      </c>
      <c r="N25" s="60">
        <f t="shared" si="2"/>
        <v>11430.921535719954</v>
      </c>
      <c r="O25" s="60">
        <f t="shared" si="2"/>
        <v>11404.963995502874</v>
      </c>
      <c r="P25" s="60">
        <f t="shared" si="2"/>
        <v>11379.065400130445</v>
      </c>
      <c r="Q25" s="60">
        <f t="shared" si="2"/>
        <v>11353.225615749659</v>
      </c>
      <c r="R25" s="60">
        <f t="shared" si="2"/>
        <v>11327.444508811475</v>
      </c>
      <c r="S25" s="60">
        <f t="shared" si="2"/>
        <v>11301.721946070107</v>
      </c>
      <c r="T25" s="60">
        <f t="shared" si="2"/>
        <v>11276.057794582353</v>
      </c>
      <c r="U25" s="60">
        <f t="shared" si="2"/>
        <v>11250.451921706896</v>
      </c>
      <c r="V25" s="60">
        <f t="shared" si="3"/>
        <v>11224.904195103623</v>
      </c>
      <c r="W25" s="60">
        <f t="shared" si="3"/>
        <v>11199.414482732947</v>
      </c>
      <c r="X25" s="60">
        <f t="shared" si="3"/>
        <v>11173.982652855113</v>
      </c>
      <c r="Y25" s="60"/>
      <c r="Z25" s="600">
        <f t="shared" si="5"/>
        <v>9497.8852549268468</v>
      </c>
    </row>
    <row r="26" spans="1:26">
      <c r="A26" s="93">
        <f>INDEX([3]!ResApplic,MATCH(CONCATENATE(LEFT($D26,FIND("_",$D26)-1)," - ",$C$7),[3]APPLIC!$B$9:$B$201,0)+1,MATCH($C26,[3]APPLIC!$C$8:$F$8,0)+1)</f>
        <v>5.4136342171710254E-2</v>
      </c>
      <c r="B26" s="89">
        <f>VLOOKUP(RIGHT($D26,LEN(D26)-FIND("_",$D26)),Weighting!$D$16:$H$19,5,FALSE)</f>
        <v>5.302693394780917E-2</v>
      </c>
      <c r="C26" s="57" t="str">
        <f t="shared" si="6"/>
        <v>Multifamily - Low Rise</v>
      </c>
      <c r="D26" s="60" t="s">
        <v>1672</v>
      </c>
      <c r="E26" s="60">
        <f t="shared" si="4"/>
        <v>2658.951918148643</v>
      </c>
      <c r="F26" s="60">
        <f t="shared" si="2"/>
        <v>2652.9139227748715</v>
      </c>
      <c r="G26" s="60">
        <f t="shared" si="2"/>
        <v>2646.8896385885359</v>
      </c>
      <c r="H26" s="60">
        <f t="shared" si="2"/>
        <v>2640.879034454028</v>
      </c>
      <c r="I26" s="60">
        <f t="shared" si="2"/>
        <v>2634.8820793064419</v>
      </c>
      <c r="J26" s="60">
        <f t="shared" si="2"/>
        <v>2628.8987421514166</v>
      </c>
      <c r="K26" s="60">
        <f t="shared" si="2"/>
        <v>2622.9289920649708</v>
      </c>
      <c r="L26" s="60">
        <f t="shared" si="2"/>
        <v>2616.9727981933465</v>
      </c>
      <c r="M26" s="60">
        <f t="shared" si="2"/>
        <v>2611.0301297528504</v>
      </c>
      <c r="N26" s="60">
        <f t="shared" si="2"/>
        <v>2605.1009560296925</v>
      </c>
      <c r="O26" s="60">
        <f t="shared" si="2"/>
        <v>2599.1852463798286</v>
      </c>
      <c r="P26" s="60">
        <f t="shared" si="2"/>
        <v>2593.2829702288018</v>
      </c>
      <c r="Q26" s="60">
        <f t="shared" si="2"/>
        <v>2587.3940970715826</v>
      </c>
      <c r="R26" s="60">
        <f t="shared" si="2"/>
        <v>2581.5185964724142</v>
      </c>
      <c r="S26" s="60">
        <f t="shared" si="2"/>
        <v>2575.6564380646537</v>
      </c>
      <c r="T26" s="60">
        <f t="shared" si="2"/>
        <v>2569.8075915506156</v>
      </c>
      <c r="U26" s="60">
        <f t="shared" si="2"/>
        <v>2563.9720267014136</v>
      </c>
      <c r="V26" s="60">
        <f t="shared" si="3"/>
        <v>2558.1497133568078</v>
      </c>
      <c r="W26" s="60">
        <f t="shared" si="3"/>
        <v>2552.340621425044</v>
      </c>
      <c r="X26" s="60">
        <f t="shared" si="3"/>
        <v>2546.5447208827036</v>
      </c>
      <c r="Y26" s="60"/>
      <c r="Z26" s="600">
        <f t="shared" si="5"/>
        <v>2164.5630127502982</v>
      </c>
    </row>
    <row r="27" spans="1:26">
      <c r="A27" s="93">
        <f>INDEX([3]!ResApplic,MATCH(CONCATENATE(LEFT($D27,FIND("_",$D27)-1)," - ",$C$7),[3]APPLIC!$B$9:$B$201,0)+1,MATCH($C27,[3]APPLIC!$C$8:$F$8,0)+1)</f>
        <v>1.0754159339533284E-2</v>
      </c>
      <c r="B27" s="89">
        <f>VLOOKUP(RIGHT($D27,LEN(D27)-FIND("_",$D27)),Weighting!$D$16:$H$19,5,FALSE)</f>
        <v>5.302693394780917E-2</v>
      </c>
      <c r="C27" s="57" t="str">
        <f t="shared" si="6"/>
        <v>Multifamily - Low Rise</v>
      </c>
      <c r="D27" s="60" t="s">
        <v>230</v>
      </c>
      <c r="E27" s="60">
        <f t="shared" si="4"/>
        <v>528.19956902944955</v>
      </c>
      <c r="F27" s="60">
        <f t="shared" si="2"/>
        <v>527.0001240404448</v>
      </c>
      <c r="G27" s="60">
        <f t="shared" si="2"/>
        <v>525.80340277248411</v>
      </c>
      <c r="H27" s="60">
        <f t="shared" si="2"/>
        <v>524.60939904049326</v>
      </c>
      <c r="I27" s="60">
        <f t="shared" si="2"/>
        <v>523.41810667344316</v>
      </c>
      <c r="J27" s="60">
        <f t="shared" si="2"/>
        <v>522.22951951431799</v>
      </c>
      <c r="K27" s="60">
        <f t="shared" si="2"/>
        <v>521.04363142008367</v>
      </c>
      <c r="L27" s="60">
        <f t="shared" si="2"/>
        <v>519.86043626165508</v>
      </c>
      <c r="M27" s="60">
        <f t="shared" si="2"/>
        <v>518.67992792386588</v>
      </c>
      <c r="N27" s="60">
        <f t="shared" si="2"/>
        <v>517.50210030543599</v>
      </c>
      <c r="O27" s="60">
        <f t="shared" si="2"/>
        <v>516.32694731894014</v>
      </c>
      <c r="P27" s="60">
        <f t="shared" si="2"/>
        <v>515.15446289077647</v>
      </c>
      <c r="Q27" s="60">
        <f t="shared" si="2"/>
        <v>513.98464096113503</v>
      </c>
      <c r="R27" s="60">
        <f t="shared" si="2"/>
        <v>512.81747548396686</v>
      </c>
      <c r="S27" s="60">
        <f t="shared" si="2"/>
        <v>511.65296042695257</v>
      </c>
      <c r="T27" s="60">
        <f t="shared" si="2"/>
        <v>510.49108977147051</v>
      </c>
      <c r="U27" s="60">
        <f t="shared" si="2"/>
        <v>509.33185751256678</v>
      </c>
      <c r="V27" s="60">
        <f t="shared" si="3"/>
        <v>508.17525765892356</v>
      </c>
      <c r="W27" s="60">
        <f t="shared" si="3"/>
        <v>507.02128423282772</v>
      </c>
      <c r="X27" s="60">
        <f t="shared" si="3"/>
        <v>505.86993127014114</v>
      </c>
      <c r="Y27" s="60"/>
      <c r="Z27" s="600">
        <f t="shared" si="5"/>
        <v>429.98944157962001</v>
      </c>
    </row>
    <row r="28" spans="1:26">
      <c r="A28" s="93">
        <f>INDEX([3]!ResApplic,MATCH(CONCATENATE(LEFT($D28,FIND("_",$D28)-1)," - ",$C$7),[3]APPLIC!$B$9:$B$201,0)+1,MATCH($C28,[3]APPLIC!$C$8:$F$8,0)+1)</f>
        <v>6.4148166587866887E-2</v>
      </c>
      <c r="B28" s="89">
        <f>VLOOKUP(RIGHT($D28,LEN(D28)-FIND("_",$D28)),Weighting!$D$16:$H$19,5,FALSE)</f>
        <v>5.302693394780917E-2</v>
      </c>
      <c r="C28" s="57" t="str">
        <f t="shared" si="6"/>
        <v>Multifamily - Low Rise</v>
      </c>
      <c r="D28" s="60" t="s">
        <v>231</v>
      </c>
      <c r="E28" s="60">
        <f t="shared" si="4"/>
        <v>3150.6910838844892</v>
      </c>
      <c r="F28" s="60">
        <f t="shared" si="2"/>
        <v>3143.5364384549007</v>
      </c>
      <c r="G28" s="60">
        <f t="shared" si="2"/>
        <v>3136.3980399215825</v>
      </c>
      <c r="H28" s="60">
        <f t="shared" si="2"/>
        <v>3129.2758513907957</v>
      </c>
      <c r="I28" s="60">
        <f t="shared" si="2"/>
        <v>3122.1698360525752</v>
      </c>
      <c r="J28" s="60">
        <f t="shared" si="2"/>
        <v>3115.0799571805496</v>
      </c>
      <c r="K28" s="60">
        <f t="shared" si="2"/>
        <v>3108.0061781317436</v>
      </c>
      <c r="L28" s="60">
        <f t="shared" si="2"/>
        <v>3100.9484623463895</v>
      </c>
      <c r="M28" s="60">
        <f t="shared" si="2"/>
        <v>3093.906773347745</v>
      </c>
      <c r="N28" s="60">
        <f t="shared" si="2"/>
        <v>3086.8810747418961</v>
      </c>
      <c r="O28" s="60">
        <f t="shared" si="2"/>
        <v>3079.8713302175756</v>
      </c>
      <c r="P28" s="60">
        <f t="shared" si="2"/>
        <v>3072.8775035459698</v>
      </c>
      <c r="Q28" s="60">
        <f t="shared" si="2"/>
        <v>3065.8995585805351</v>
      </c>
      <c r="R28" s="60">
        <f t="shared" si="2"/>
        <v>3058.9374592568115</v>
      </c>
      <c r="S28" s="60">
        <f t="shared" si="2"/>
        <v>3051.9911695922319</v>
      </c>
      <c r="T28" s="60">
        <f t="shared" si="2"/>
        <v>3045.0606536859418</v>
      </c>
      <c r="U28" s="60">
        <f t="shared" si="2"/>
        <v>3038.1458757186097</v>
      </c>
      <c r="V28" s="60">
        <f t="shared" si="3"/>
        <v>3031.2467999522437</v>
      </c>
      <c r="W28" s="60">
        <f t="shared" si="3"/>
        <v>3024.3633907300054</v>
      </c>
      <c r="X28" s="60">
        <f t="shared" si="3"/>
        <v>3017.4956124760279</v>
      </c>
      <c r="Y28" s="60"/>
      <c r="Z28" s="600">
        <f t="shared" si="5"/>
        <v>2564.871270604624</v>
      </c>
    </row>
    <row r="29" spans="1:26">
      <c r="A29" s="93">
        <f>INDEX([3]!ResApplic,MATCH(CONCATENATE(LEFT($D29,FIND("_",$D29)-1)," - ",$C$7),[3]APPLIC!$B$9:$B$201,0)+1,MATCH($C29,[3]APPLIC!$C$8:$F$8,0)+1)</f>
        <v>3.7086444829429757E-2</v>
      </c>
      <c r="B29" s="89">
        <f>VLOOKUP(RIGHT($D29,LEN(D29)-FIND("_",$D29)),Weighting!$D$16:$H$19,5,FALSE)</f>
        <v>5.302693394780917E-2</v>
      </c>
      <c r="C29" s="57" t="str">
        <f t="shared" si="6"/>
        <v>Multifamily - Low Rise</v>
      </c>
      <c r="D29" s="60" t="s">
        <v>1673</v>
      </c>
      <c r="E29" s="60">
        <f t="shared" si="4"/>
        <v>1821.5318889434823</v>
      </c>
      <c r="F29" s="60">
        <f t="shared" si="2"/>
        <v>1817.3955218871438</v>
      </c>
      <c r="G29" s="60">
        <f t="shared" si="2"/>
        <v>1813.2685477667885</v>
      </c>
      <c r="H29" s="60">
        <f t="shared" si="2"/>
        <v>1809.150945252771</v>
      </c>
      <c r="I29" s="60">
        <f t="shared" si="2"/>
        <v>1805.0426930638791</v>
      </c>
      <c r="J29" s="60">
        <f t="shared" si="2"/>
        <v>1800.9437699672299</v>
      </c>
      <c r="K29" s="60">
        <f t="shared" si="2"/>
        <v>1796.8541547781533</v>
      </c>
      <c r="L29" s="60">
        <f t="shared" si="2"/>
        <v>1792.7738263600872</v>
      </c>
      <c r="M29" s="60">
        <f t="shared" si="2"/>
        <v>1788.7027636244668</v>
      </c>
      <c r="N29" s="60">
        <f t="shared" si="2"/>
        <v>1784.640945530615</v>
      </c>
      <c r="O29" s="60">
        <f t="shared" si="2"/>
        <v>1780.5883510856356</v>
      </c>
      <c r="P29" s="60">
        <f t="shared" si="2"/>
        <v>1776.5449593443016</v>
      </c>
      <c r="Q29" s="60">
        <f t="shared" si="2"/>
        <v>1772.5107494089496</v>
      </c>
      <c r="R29" s="60">
        <f t="shared" si="2"/>
        <v>1768.4857004293715</v>
      </c>
      <c r="S29" s="60">
        <f t="shared" si="2"/>
        <v>1764.4697916027055</v>
      </c>
      <c r="T29" s="60">
        <f t="shared" si="2"/>
        <v>1760.4630021733294</v>
      </c>
      <c r="U29" s="60">
        <f t="shared" si="2"/>
        <v>1756.4653114327537</v>
      </c>
      <c r="V29" s="60">
        <f t="shared" si="3"/>
        <v>1752.4766987195139</v>
      </c>
      <c r="W29" s="60">
        <f t="shared" si="3"/>
        <v>1748.4971434190636</v>
      </c>
      <c r="X29" s="60">
        <f t="shared" si="3"/>
        <v>1744.5266249636682</v>
      </c>
      <c r="Y29" s="60"/>
      <c r="Z29" s="600">
        <f t="shared" si="5"/>
        <v>1482.8476312191181</v>
      </c>
    </row>
    <row r="30" spans="1:26">
      <c r="A30" s="93">
        <f>INDEX([3]!ResApplic,MATCH(CONCATENATE(LEFT($D30,FIND("_",$D30)-1)," - ",$C$7),[3]APPLIC!$B$9:$B$201,0)+1,MATCH($C30,[3]APPLIC!$C$8:$F$8,0)+1)</f>
        <v>1.0053116760243517E-2</v>
      </c>
      <c r="B30" s="89">
        <f>VLOOKUP(RIGHT($D30,LEN(D30)-FIND("_",$D30)),Weighting!$D$16:$H$19,5,FALSE)</f>
        <v>5.302693394780917E-2</v>
      </c>
      <c r="C30" s="57" t="str">
        <f t="shared" si="6"/>
        <v>Multifamily - Low Rise</v>
      </c>
      <c r="D30" s="60" t="s">
        <v>232</v>
      </c>
      <c r="E30" s="60">
        <f t="shared" si="4"/>
        <v>493.76727389960826</v>
      </c>
      <c r="F30" s="60">
        <f t="shared" si="2"/>
        <v>492.6460183796508</v>
      </c>
      <c r="G30" s="60">
        <f t="shared" si="2"/>
        <v>491.52730902669845</v>
      </c>
      <c r="H30" s="60">
        <f t="shared" si="2"/>
        <v>490.41114005886993</v>
      </c>
      <c r="I30" s="60">
        <f t="shared" si="2"/>
        <v>489.29750570741334</v>
      </c>
      <c r="J30" s="60">
        <f t="shared" si="2"/>
        <v>488.18640021667687</v>
      </c>
      <c r="K30" s="60">
        <f t="shared" si="2"/>
        <v>487.07781784407842</v>
      </c>
      <c r="L30" s="60">
        <f t="shared" si="2"/>
        <v>485.97175286007626</v>
      </c>
      <c r="M30" s="60">
        <f t="shared" si="2"/>
        <v>484.86819954813978</v>
      </c>
      <c r="N30" s="60">
        <f t="shared" si="2"/>
        <v>483.76715220471908</v>
      </c>
      <c r="O30" s="60">
        <f t="shared" si="2"/>
        <v>482.66860513921654</v>
      </c>
      <c r="P30" s="60">
        <f t="shared" si="2"/>
        <v>481.5725526739563</v>
      </c>
      <c r="Q30" s="60">
        <f t="shared" si="2"/>
        <v>480.47898914415555</v>
      </c>
      <c r="R30" s="60">
        <f t="shared" si="2"/>
        <v>479.38790889789567</v>
      </c>
      <c r="S30" s="60">
        <f t="shared" si="2"/>
        <v>478.29930629609203</v>
      </c>
      <c r="T30" s="60">
        <f t="shared" si="2"/>
        <v>477.21317571246539</v>
      </c>
      <c r="U30" s="60">
        <f t="shared" si="2"/>
        <v>476.12951153351287</v>
      </c>
      <c r="V30" s="60">
        <f t="shared" si="3"/>
        <v>475.04830815847885</v>
      </c>
      <c r="W30" s="60">
        <f t="shared" si="3"/>
        <v>473.9695599993259</v>
      </c>
      <c r="X30" s="60">
        <f t="shared" si="3"/>
        <v>472.89326148070614</v>
      </c>
      <c r="Y30" s="60"/>
      <c r="Z30" s="600">
        <f t="shared" si="5"/>
        <v>401.95927225860027</v>
      </c>
    </row>
    <row r="31" spans="1:26">
      <c r="A31" s="93">
        <f>INDEX([3]!ResApplic,MATCH(CONCATENATE(LEFT($D31,FIND("_",$D31)-1)," - ",$C$7),[3]APPLIC!$B$9:$B$201,0)+1,MATCH($C31,[3]APPLIC!$C$8:$F$8,0)+1)</f>
        <v>0.14766594591946242</v>
      </c>
      <c r="B31" s="89">
        <f>VLOOKUP(RIGHT($D31,LEN(D31)-FIND("_",$D31)),Weighting!$D$16:$H$19,5,FALSE)</f>
        <v>5.302693394780917E-2</v>
      </c>
      <c r="C31" s="57" t="str">
        <f t="shared" si="6"/>
        <v>Multifamily - Low Rise</v>
      </c>
      <c r="D31" s="60" t="s">
        <v>233</v>
      </c>
      <c r="E31" s="60">
        <f t="shared" si="4"/>
        <v>7252.7369673854046</v>
      </c>
      <c r="F31" s="60">
        <f t="shared" si="2"/>
        <v>7236.2673231028757</v>
      </c>
      <c r="G31" s="60">
        <f t="shared" si="2"/>
        <v>7219.8350783819196</v>
      </c>
      <c r="H31" s="60">
        <f t="shared" si="2"/>
        <v>7203.4401482949488</v>
      </c>
      <c r="I31" s="60">
        <f t="shared" si="2"/>
        <v>7187.082448107225</v>
      </c>
      <c r="J31" s="60">
        <f t="shared" si="2"/>
        <v>7170.7618932764335</v>
      </c>
      <c r="K31" s="60">
        <f t="shared" si="2"/>
        <v>7154.4783994522331</v>
      </c>
      <c r="L31" s="60">
        <f t="shared" si="2"/>
        <v>7138.2318824758295</v>
      </c>
      <c r="M31" s="60">
        <f t="shared" si="2"/>
        <v>7122.0222583795394</v>
      </c>
      <c r="N31" s="60">
        <f t="shared" si="2"/>
        <v>7105.8494433863525</v>
      </c>
      <c r="O31" s="60">
        <f t="shared" si="2"/>
        <v>7089.7133539095039</v>
      </c>
      <c r="P31" s="60">
        <f t="shared" si="2"/>
        <v>7073.6139065520365</v>
      </c>
      <c r="Q31" s="60">
        <f t="shared" si="2"/>
        <v>7057.5510181063701</v>
      </c>
      <c r="R31" s="60">
        <f t="shared" si="2"/>
        <v>7041.524605553881</v>
      </c>
      <c r="S31" s="60">
        <f t="shared" si="2"/>
        <v>7025.5345860644593</v>
      </c>
      <c r="T31" s="60">
        <f t="shared" si="2"/>
        <v>7009.5808769960895</v>
      </c>
      <c r="U31" s="60">
        <f t="shared" si="2"/>
        <v>6993.6633958944176</v>
      </c>
      <c r="V31" s="60">
        <f t="shared" si="3"/>
        <v>6977.7820604923381</v>
      </c>
      <c r="W31" s="60">
        <f t="shared" si="3"/>
        <v>6961.9367887095459</v>
      </c>
      <c r="X31" s="60">
        <f t="shared" si="3"/>
        <v>6946.1274986521348</v>
      </c>
      <c r="Y31" s="60"/>
      <c r="Z31" s="600">
        <f t="shared" si="5"/>
        <v>5904.2083738543151</v>
      </c>
    </row>
    <row r="32" spans="1:26">
      <c r="A32" s="93">
        <f>INDEX([3]!ResApplic,MATCH(CONCATENATE(LEFT($D32,FIND("_",$D32)-1)," - ",$C$7),[3]APPLIC!$B$9:$B$201,0)+1,MATCH($C32,[3]APPLIC!$C$8:$F$8,0)+1)</f>
        <v>3.1895898862292736E-2</v>
      </c>
      <c r="B32" s="89">
        <f>VLOOKUP(RIGHT($D32,LEN(D32)-FIND("_",$D32)),Weighting!$D$16:$H$19,5,FALSE)</f>
        <v>5.302693394780917E-2</v>
      </c>
      <c r="C32" s="57" t="str">
        <f t="shared" si="6"/>
        <v>Multifamily - Low Rise</v>
      </c>
      <c r="D32" s="60" t="s">
        <v>239</v>
      </c>
      <c r="E32" s="60">
        <f t="shared" si="4"/>
        <v>1566.5938639143399</v>
      </c>
      <c r="F32" s="60">
        <f t="shared" si="2"/>
        <v>1563.0364146658858</v>
      </c>
      <c r="G32" s="60">
        <f t="shared" si="2"/>
        <v>1559.4870437365455</v>
      </c>
      <c r="H32" s="60">
        <f t="shared" si="2"/>
        <v>1555.9457327819293</v>
      </c>
      <c r="I32" s="60">
        <f t="shared" si="2"/>
        <v>1552.412463499302</v>
      </c>
      <c r="J32" s="60">
        <f t="shared" si="2"/>
        <v>1548.8872176274922</v>
      </c>
      <c r="K32" s="60">
        <f t="shared" si="2"/>
        <v>1545.3699769467958</v>
      </c>
      <c r="L32" s="60">
        <f t="shared" si="2"/>
        <v>1541.8607232788813</v>
      </c>
      <c r="M32" s="60">
        <f t="shared" si="2"/>
        <v>1538.359438486699</v>
      </c>
      <c r="N32" s="60">
        <f t="shared" si="2"/>
        <v>1534.8661044743831</v>
      </c>
      <c r="O32" s="60">
        <f t="shared" si="2"/>
        <v>1531.3807031871618</v>
      </c>
      <c r="P32" s="60">
        <f t="shared" si="2"/>
        <v>1527.9032166112611</v>
      </c>
      <c r="Q32" s="60">
        <f t="shared" si="2"/>
        <v>1524.4336267738136</v>
      </c>
      <c r="R32" s="60">
        <f t="shared" si="2"/>
        <v>1520.9719157427655</v>
      </c>
      <c r="S32" s="60">
        <f t="shared" si="2"/>
        <v>1517.5180656267823</v>
      </c>
      <c r="T32" s="60">
        <f t="shared" si="2"/>
        <v>1514.0720585751585</v>
      </c>
      <c r="U32" s="60">
        <f t="shared" si="2"/>
        <v>1510.6338767777233</v>
      </c>
      <c r="V32" s="60">
        <f t="shared" si="3"/>
        <v>1507.2035024647507</v>
      </c>
      <c r="W32" s="60">
        <f t="shared" si="3"/>
        <v>1503.7809179068656</v>
      </c>
      <c r="X32" s="60">
        <f t="shared" si="3"/>
        <v>1500.3661054149534</v>
      </c>
      <c r="Y32" s="60"/>
      <c r="Z32" s="600">
        <f t="shared" si="5"/>
        <v>1275.3111896027103</v>
      </c>
    </row>
    <row r="33" spans="1:26">
      <c r="A33" s="93">
        <f>INDEX([3]!ResApplic,MATCH(CONCATENATE(LEFT($D33,FIND("_",$D33)-1)," - ",$C$7),[3]APPLIC!$B$9:$B$201,0)+1,MATCH($C33,[3]APPLIC!$C$8:$F$8,0)+1)</f>
        <v>0.16574038870037966</v>
      </c>
      <c r="B33" s="89">
        <f>VLOOKUP(RIGHT($D33,LEN(D33)-FIND("_",$D33)),Weighting!$D$16:$H$19,5,FALSE)</f>
        <v>5.302693394780917E-2</v>
      </c>
      <c r="C33" s="57" t="str">
        <f t="shared" si="6"/>
        <v>Multifamily - Low Rise</v>
      </c>
      <c r="D33" s="60" t="s">
        <v>240</v>
      </c>
      <c r="E33" s="60">
        <f t="shared" si="4"/>
        <v>8140.4784063868328</v>
      </c>
      <c r="F33" s="60">
        <f t="shared" si="2"/>
        <v>8121.9928630332415</v>
      </c>
      <c r="G33" s="60">
        <f t="shared" si="2"/>
        <v>8103.5492969807383</v>
      </c>
      <c r="H33" s="60">
        <f t="shared" si="2"/>
        <v>8085.147612906524</v>
      </c>
      <c r="I33" s="60">
        <f t="shared" si="2"/>
        <v>8066.7877157042522</v>
      </c>
      <c r="J33" s="60">
        <f t="shared" si="2"/>
        <v>8048.4695104835519</v>
      </c>
      <c r="K33" s="60">
        <f t="shared" si="2"/>
        <v>8030.1929025695299</v>
      </c>
      <c r="L33" s="60">
        <f t="shared" si="2"/>
        <v>8011.9577975022785</v>
      </c>
      <c r="M33" s="60">
        <f t="shared" si="2"/>
        <v>7993.7641010363959</v>
      </c>
      <c r="N33" s="60">
        <f t="shared" si="2"/>
        <v>7975.611719140491</v>
      </c>
      <c r="O33" s="60">
        <f t="shared" si="2"/>
        <v>7957.5005579967055</v>
      </c>
      <c r="P33" s="60">
        <f t="shared" si="2"/>
        <v>7939.4305240002195</v>
      </c>
      <c r="Q33" s="60">
        <f t="shared" si="2"/>
        <v>7921.4015237587728</v>
      </c>
      <c r="R33" s="60">
        <f t="shared" si="2"/>
        <v>7903.4134640921866</v>
      </c>
      <c r="S33" s="60">
        <f t="shared" si="2"/>
        <v>7885.4662520318725</v>
      </c>
      <c r="T33" s="60">
        <f t="shared" si="2"/>
        <v>7867.5597948203595</v>
      </c>
      <c r="U33" s="60">
        <f t="shared" si="2"/>
        <v>7849.693999910809</v>
      </c>
      <c r="V33" s="60">
        <f t="shared" si="3"/>
        <v>7831.8687749665451</v>
      </c>
      <c r="W33" s="60">
        <f t="shared" si="3"/>
        <v>7814.0840278605647</v>
      </c>
      <c r="X33" s="60">
        <f t="shared" si="3"/>
        <v>7796.3396666750723</v>
      </c>
      <c r="Y33" s="60"/>
      <c r="Z33" s="600">
        <f t="shared" si="5"/>
        <v>6626.8887166738104</v>
      </c>
    </row>
    <row r="34" spans="1:26">
      <c r="A34" s="93">
        <f>INDEX([3]!ResApplic,MATCH(CONCATENATE(LEFT($D34,FIND("_",$D34)-1)," - ",$C$7),[3]APPLIC!$B$9:$B$201,0)+1,MATCH($C34,[3]APPLIC!$C$8:$F$8,0)+1)</f>
        <v>0.12758359544917094</v>
      </c>
      <c r="B34" s="89">
        <f>VLOOKUP(RIGHT($D34,LEN(D34)-FIND("_",$D34)),Weighting!$D$16:$H$19,5,FALSE)</f>
        <v>5.302693394780917E-2</v>
      </c>
      <c r="C34" s="57" t="str">
        <f t="shared" si="6"/>
        <v>Multifamily - Low Rise</v>
      </c>
      <c r="D34" s="60" t="s">
        <v>237</v>
      </c>
      <c r="E34" s="60">
        <f t="shared" si="4"/>
        <v>6266.3754556573595</v>
      </c>
      <c r="F34" s="60">
        <f t="shared" si="2"/>
        <v>6252.1456586635431</v>
      </c>
      <c r="G34" s="60">
        <f t="shared" si="2"/>
        <v>6237.948174946182</v>
      </c>
      <c r="H34" s="60">
        <f t="shared" si="2"/>
        <v>6223.7829311277173</v>
      </c>
      <c r="I34" s="60">
        <f t="shared" si="2"/>
        <v>6209.6498539972081</v>
      </c>
      <c r="J34" s="60">
        <f t="shared" si="2"/>
        <v>6195.5488705099688</v>
      </c>
      <c r="K34" s="60">
        <f t="shared" si="2"/>
        <v>6181.479907787183</v>
      </c>
      <c r="L34" s="60">
        <f t="shared" si="2"/>
        <v>6167.4428931155253</v>
      </c>
      <c r="M34" s="60">
        <f t="shared" si="2"/>
        <v>6153.437753946796</v>
      </c>
      <c r="N34" s="60">
        <f t="shared" si="2"/>
        <v>6139.4644178975323</v>
      </c>
      <c r="O34" s="60">
        <f t="shared" si="2"/>
        <v>6125.5228127486471</v>
      </c>
      <c r="P34" s="60">
        <f t="shared" si="2"/>
        <v>6111.6128664450443</v>
      </c>
      <c r="Q34" s="60">
        <f t="shared" si="2"/>
        <v>6097.7345070952542</v>
      </c>
      <c r="R34" s="60">
        <f t="shared" si="2"/>
        <v>6083.8876629710621</v>
      </c>
      <c r="S34" s="60">
        <f t="shared" si="2"/>
        <v>6070.0722625071294</v>
      </c>
      <c r="T34" s="60">
        <f t="shared" si="2"/>
        <v>6056.288234300634</v>
      </c>
      <c r="U34" s="60">
        <f t="shared" si="2"/>
        <v>6042.5355071108934</v>
      </c>
      <c r="V34" s="60">
        <f t="shared" si="3"/>
        <v>6028.8140098590029</v>
      </c>
      <c r="W34" s="60">
        <f t="shared" si="3"/>
        <v>6015.1236716274625</v>
      </c>
      <c r="X34" s="60">
        <f t="shared" si="3"/>
        <v>6001.4644216598135</v>
      </c>
      <c r="Y34" s="60"/>
      <c r="Z34" s="600">
        <f t="shared" si="5"/>
        <v>5101.2447584108413</v>
      </c>
    </row>
    <row r="35" spans="1:26">
      <c r="A35" s="93">
        <f>INDEX([3]!ResApplic,MATCH(CONCATENATE(LEFT($D35,FIND("_",$D35)-1)," - ",$C$7),[3]APPLIC!$B$9:$B$201,0)+1,MATCH($C35,[3]APPLIC!$C$8:$F$8,0)+1)</f>
        <v>0.66296155480151864</v>
      </c>
      <c r="B35" s="89">
        <f>VLOOKUP(RIGHT($D35,LEN(D35)-FIND("_",$D35)),Weighting!$D$16:$H$19,5,FALSE)</f>
        <v>5.302693394780917E-2</v>
      </c>
      <c r="C35" s="57" t="str">
        <f t="shared" si="6"/>
        <v>Multifamily - Low Rise</v>
      </c>
      <c r="D35" s="60" t="s">
        <v>238</v>
      </c>
      <c r="E35" s="60">
        <f t="shared" si="4"/>
        <v>32561.913625547331</v>
      </c>
      <c r="F35" s="60">
        <f t="shared" si="2"/>
        <v>32487.971452132966</v>
      </c>
      <c r="G35" s="60">
        <f t="shared" si="2"/>
        <v>32414.197187922953</v>
      </c>
      <c r="H35" s="60">
        <f t="shared" si="2"/>
        <v>32340.590451626096</v>
      </c>
      <c r="I35" s="60">
        <f t="shared" si="2"/>
        <v>32267.150862817009</v>
      </c>
      <c r="J35" s="60">
        <f t="shared" si="2"/>
        <v>32193.878041934207</v>
      </c>
      <c r="K35" s="60">
        <f t="shared" si="2"/>
        <v>32120.77161027812</v>
      </c>
      <c r="L35" s="60">
        <f t="shared" si="2"/>
        <v>32047.831190009114</v>
      </c>
      <c r="M35" s="60">
        <f t="shared" si="2"/>
        <v>31975.056404145584</v>
      </c>
      <c r="N35" s="60">
        <f t="shared" si="2"/>
        <v>31902.446876561964</v>
      </c>
      <c r="O35" s="60">
        <f t="shared" si="2"/>
        <v>31830.002231986822</v>
      </c>
      <c r="P35" s="60">
        <f t="shared" si="2"/>
        <v>31757.722096000878</v>
      </c>
      <c r="Q35" s="60">
        <f t="shared" si="2"/>
        <v>31685.606095035091</v>
      </c>
      <c r="R35" s="60">
        <f t="shared" si="2"/>
        <v>31613.653856368746</v>
      </c>
      <c r="S35" s="60">
        <f t="shared" si="2"/>
        <v>31541.86500812749</v>
      </c>
      <c r="T35" s="60">
        <f t="shared" si="2"/>
        <v>31470.239179281438</v>
      </c>
      <c r="U35" s="60">
        <f t="shared" si="2"/>
        <v>31398.775999643236</v>
      </c>
      <c r="V35" s="60">
        <f t="shared" si="3"/>
        <v>31327.47509986618</v>
      </c>
      <c r="W35" s="60">
        <f t="shared" si="3"/>
        <v>31256.336111442259</v>
      </c>
      <c r="X35" s="60">
        <f t="shared" si="3"/>
        <v>31185.358666700289</v>
      </c>
      <c r="Y35" s="60"/>
      <c r="Z35" s="600">
        <f t="shared" si="5"/>
        <v>26507.554866695242</v>
      </c>
    </row>
    <row r="36" spans="1:26">
      <c r="A36" s="93">
        <f>INDEX([3]!ResApplic,MATCH(CONCATENATE(LEFT($D36,FIND("_",$D36)-1)," - ",$C$7),[3]APPLIC!$B$9:$B$201,0)+1,MATCH($C36,[3]APPLIC!$C$8:$F$8,0)+1)</f>
        <v>8.6999999999999966E-2</v>
      </c>
      <c r="B36" s="89">
        <f>VLOOKUP(RIGHT($D36,LEN(D36)-FIND("_",$D36)),Weighting!$D$16:$H$19,5,FALSE)</f>
        <v>1.6319173126358888E-2</v>
      </c>
      <c r="C36" s="57" t="str">
        <f t="shared" si="6"/>
        <v>Multifamily - Low Rise</v>
      </c>
      <c r="D36" s="60" t="s">
        <v>223</v>
      </c>
      <c r="E36" s="60">
        <f t="shared" si="4"/>
        <v>1315.0505926369135</v>
      </c>
      <c r="F36" s="60">
        <f t="shared" si="4"/>
        <v>1312.064352329061</v>
      </c>
      <c r="G36" s="60">
        <f t="shared" si="4"/>
        <v>1309.0848932288864</v>
      </c>
      <c r="H36" s="60">
        <f t="shared" si="4"/>
        <v>1306.1121999375036</v>
      </c>
      <c r="I36" s="60">
        <f t="shared" si="4"/>
        <v>1303.1462570909925</v>
      </c>
      <c r="J36" s="60">
        <f t="shared" si="4"/>
        <v>1300.1870493603233</v>
      </c>
      <c r="K36" s="60">
        <f t="shared" si="4"/>
        <v>1297.2345614512751</v>
      </c>
      <c r="L36" s="60">
        <f t="shared" si="4"/>
        <v>1294.2887781043564</v>
      </c>
      <c r="M36" s="60">
        <f t="shared" si="4"/>
        <v>1291.3496840947284</v>
      </c>
      <c r="N36" s="60">
        <f t="shared" si="4"/>
        <v>1288.4172642321253</v>
      </c>
      <c r="O36" s="60">
        <f t="shared" si="4"/>
        <v>1285.4915033607751</v>
      </c>
      <c r="P36" s="60">
        <f t="shared" si="4"/>
        <v>1282.5723863593219</v>
      </c>
      <c r="Q36" s="60">
        <f t="shared" si="4"/>
        <v>1279.6598981407467</v>
      </c>
      <c r="R36" s="60">
        <f t="shared" si="4"/>
        <v>1276.7540236522925</v>
      </c>
      <c r="S36" s="60">
        <f t="shared" si="4"/>
        <v>1273.8547478753824</v>
      </c>
      <c r="T36" s="60">
        <f t="shared" si="4"/>
        <v>1270.9620558255451</v>
      </c>
      <c r="U36" s="60">
        <f t="shared" ref="U36:X48" si="7">$A36*VLOOKUP($C36,$C$13:$Y$16,U$22,FALSE)*$B36</f>
        <v>1268.0759325523354</v>
      </c>
      <c r="V36" s="60">
        <f t="shared" si="3"/>
        <v>1265.1963631392591</v>
      </c>
      <c r="W36" s="60">
        <f t="shared" si="3"/>
        <v>1262.3233327036928</v>
      </c>
      <c r="X36" s="60">
        <f t="shared" si="3"/>
        <v>1259.4568263968108</v>
      </c>
      <c r="Y36" s="60"/>
      <c r="Z36" s="600">
        <f t="shared" si="5"/>
        <v>1070.5383024372893</v>
      </c>
    </row>
    <row r="37" spans="1:26">
      <c r="A37" s="93">
        <f>INDEX([3]!ResApplic,MATCH(CONCATENATE(LEFT($D37,FIND("_",$D37)-1)," - ",$C$7),[3]APPLIC!$B$9:$B$201,0)+1,MATCH($C37,[3]APPLIC!$C$8:$F$8,0)+1)</f>
        <v>2.1455163910870823E-2</v>
      </c>
      <c r="B37" s="89">
        <f>VLOOKUP(RIGHT($D37,LEN(D37)-FIND("_",$D37)),Weighting!$D$16:$H$19,5,FALSE)</f>
        <v>1.6319173126358888E-2</v>
      </c>
      <c r="C37" s="57" t="str">
        <f t="shared" si="6"/>
        <v>Multifamily - Low Rise</v>
      </c>
      <c r="D37" s="60" t="s">
        <v>224</v>
      </c>
      <c r="E37" s="60">
        <f t="shared" ref="E37:T49" si="8">$A37*VLOOKUP($C37,$C$13:$Y$16,E$22,FALSE)*$B37</f>
        <v>324.30604616221615</v>
      </c>
      <c r="F37" s="60">
        <f t="shared" si="8"/>
        <v>323.56960621644345</v>
      </c>
      <c r="G37" s="60">
        <f t="shared" si="8"/>
        <v>322.83483859161612</v>
      </c>
      <c r="H37" s="60">
        <f t="shared" si="8"/>
        <v>322.1017394901981</v>
      </c>
      <c r="I37" s="60">
        <f t="shared" si="8"/>
        <v>321.37030512327664</v>
      </c>
      <c r="J37" s="60">
        <f t="shared" si="8"/>
        <v>320.64053171054303</v>
      </c>
      <c r="K37" s="60">
        <f t="shared" si="8"/>
        <v>319.9124154802729</v>
      </c>
      <c r="L37" s="60">
        <f t="shared" si="8"/>
        <v>319.18595266930674</v>
      </c>
      <c r="M37" s="60">
        <f t="shared" si="8"/>
        <v>318.46113952303062</v>
      </c>
      <c r="N37" s="60">
        <f t="shared" si="8"/>
        <v>317.7379722953566</v>
      </c>
      <c r="O37" s="60">
        <f t="shared" si="8"/>
        <v>317.01644724870334</v>
      </c>
      <c r="P37" s="60">
        <f t="shared" si="8"/>
        <v>316.296560653977</v>
      </c>
      <c r="Q37" s="60">
        <f t="shared" si="8"/>
        <v>315.57830879055166</v>
      </c>
      <c r="R37" s="60">
        <f t="shared" si="8"/>
        <v>314.86168794625047</v>
      </c>
      <c r="S37" s="60">
        <f t="shared" si="8"/>
        <v>314.1466944173261</v>
      </c>
      <c r="T37" s="60">
        <f t="shared" si="8"/>
        <v>313.43332450844179</v>
      </c>
      <c r="U37" s="60">
        <f t="shared" si="7"/>
        <v>312.7215745326522</v>
      </c>
      <c r="V37" s="60">
        <f t="shared" si="3"/>
        <v>312.0114408113846</v>
      </c>
      <c r="W37" s="60">
        <f t="shared" si="3"/>
        <v>311.30291967441917</v>
      </c>
      <c r="X37" s="60">
        <f t="shared" si="3"/>
        <v>310.59600745987086</v>
      </c>
      <c r="Y37" s="60"/>
      <c r="Z37" s="600">
        <f t="shared" si="5"/>
        <v>264.00660634089024</v>
      </c>
    </row>
    <row r="38" spans="1:26">
      <c r="A38" s="93">
        <f>INDEX([3]!ResApplic,MATCH(CONCATENATE(LEFT($D38,FIND("_",$D38)-1)," - ",$C$7),[3]APPLIC!$B$9:$B$201,0)+1,MATCH($C38,[3]APPLIC!$C$8:$F$8,0)+1)</f>
        <v>0.23754483608912919</v>
      </c>
      <c r="B38" s="89">
        <f>VLOOKUP(RIGHT($D38,LEN(D38)-FIND("_",$D38)),Weighting!$D$16:$H$19,5,FALSE)</f>
        <v>1.6319173126358888E-2</v>
      </c>
      <c r="C38" s="57" t="str">
        <f t="shared" si="6"/>
        <v>Multifamily - Low Rise</v>
      </c>
      <c r="D38" s="60" t="s">
        <v>225</v>
      </c>
      <c r="E38" s="60">
        <f t="shared" si="8"/>
        <v>3590.6146836419302</v>
      </c>
      <c r="F38" s="60">
        <f t="shared" si="8"/>
        <v>3582.461051866625</v>
      </c>
      <c r="G38" s="60">
        <f t="shared" si="8"/>
        <v>3574.3259355035766</v>
      </c>
      <c r="H38" s="60">
        <f t="shared" si="8"/>
        <v>3566.2092925076595</v>
      </c>
      <c r="I38" s="60">
        <f t="shared" si="8"/>
        <v>3558.11108092922</v>
      </c>
      <c r="J38" s="60">
        <f t="shared" si="8"/>
        <v>3550.0312589138698</v>
      </c>
      <c r="K38" s="60">
        <f t="shared" si="8"/>
        <v>3541.9697847022603</v>
      </c>
      <c r="L38" s="60">
        <f t="shared" si="8"/>
        <v>3533.9266166298703</v>
      </c>
      <c r="M38" s="60">
        <f t="shared" si="8"/>
        <v>3525.9017131267947</v>
      </c>
      <c r="N38" s="60">
        <f t="shared" si="8"/>
        <v>3517.8950327175239</v>
      </c>
      <c r="O38" s="60">
        <f t="shared" si="8"/>
        <v>3509.9065340207326</v>
      </c>
      <c r="P38" s="60">
        <f t="shared" si="8"/>
        <v>3501.9361757490628</v>
      </c>
      <c r="Q38" s="60">
        <f t="shared" si="8"/>
        <v>3493.9839167089144</v>
      </c>
      <c r="R38" s="60">
        <f t="shared" si="8"/>
        <v>3486.0497158002308</v>
      </c>
      <c r="S38" s="60">
        <f t="shared" si="8"/>
        <v>3478.1335320162852</v>
      </c>
      <c r="T38" s="60">
        <f t="shared" si="8"/>
        <v>3470.2353244434703</v>
      </c>
      <c r="U38" s="60">
        <f t="shared" si="7"/>
        <v>3462.355052261084</v>
      </c>
      <c r="V38" s="60">
        <f t="shared" si="3"/>
        <v>3454.4926747411237</v>
      </c>
      <c r="W38" s="60">
        <f t="shared" si="3"/>
        <v>3446.6481512480705</v>
      </c>
      <c r="X38" s="60">
        <f t="shared" si="3"/>
        <v>3438.8214412386828</v>
      </c>
      <c r="Y38" s="60"/>
      <c r="Z38" s="600">
        <f t="shared" si="5"/>
        <v>2922.9982250528806</v>
      </c>
    </row>
    <row r="39" spans="1:26">
      <c r="A39" s="93">
        <f>INDEX([3]!ResApplic,MATCH(CONCATENATE(LEFT($D39,FIND("_",$D39)-1)," - ",$C$7),[3]APPLIC!$B$9:$B$201,0)+1,MATCH($C39,[3]APPLIC!$C$8:$F$8,0)+1)</f>
        <v>5.4136342171710254E-2</v>
      </c>
      <c r="B39" s="89">
        <f>VLOOKUP(RIGHT($D39,LEN(D39)-FIND("_",$D39)),Weighting!$D$16:$H$19,5,FALSE)</f>
        <v>1.6319173126358888E-2</v>
      </c>
      <c r="C39" s="57" t="str">
        <f t="shared" si="6"/>
        <v>Multifamily - Low Rise</v>
      </c>
      <c r="D39" s="60" t="s">
        <v>1674</v>
      </c>
      <c r="E39" s="60">
        <f t="shared" si="8"/>
        <v>818.29918225404981</v>
      </c>
      <c r="F39" s="60">
        <f t="shared" si="8"/>
        <v>816.44097389643071</v>
      </c>
      <c r="G39" s="60">
        <f t="shared" si="8"/>
        <v>814.58698519144616</v>
      </c>
      <c r="H39" s="60">
        <f t="shared" si="8"/>
        <v>812.73720655703403</v>
      </c>
      <c r="I39" s="60">
        <f t="shared" si="8"/>
        <v>810.8916284328908</v>
      </c>
      <c r="J39" s="60">
        <f t="shared" si="8"/>
        <v>809.05024128042328</v>
      </c>
      <c r="K39" s="60">
        <f t="shared" si="8"/>
        <v>807.21303558269824</v>
      </c>
      <c r="L39" s="60">
        <f t="shared" si="8"/>
        <v>805.38000184439341</v>
      </c>
      <c r="M39" s="60">
        <f t="shared" si="8"/>
        <v>803.55113059174937</v>
      </c>
      <c r="N39" s="60">
        <f t="shared" si="8"/>
        <v>801.72641237251946</v>
      </c>
      <c r="O39" s="60">
        <f t="shared" si="8"/>
        <v>799.90583775592154</v>
      </c>
      <c r="P39" s="60">
        <f t="shared" si="8"/>
        <v>798.08939733258887</v>
      </c>
      <c r="Q39" s="60">
        <f t="shared" si="8"/>
        <v>796.27708171452173</v>
      </c>
      <c r="R39" s="60">
        <f t="shared" si="8"/>
        <v>794.46888153503892</v>
      </c>
      <c r="S39" s="60">
        <f t="shared" si="8"/>
        <v>792.66478744872916</v>
      </c>
      <c r="T39" s="60">
        <f t="shared" si="8"/>
        <v>790.86479013140286</v>
      </c>
      <c r="U39" s="60">
        <f t="shared" si="7"/>
        <v>789.06888028004403</v>
      </c>
      <c r="V39" s="60">
        <f t="shared" si="7"/>
        <v>787.27704861276254</v>
      </c>
      <c r="W39" s="60">
        <f t="shared" si="7"/>
        <v>785.48928586874479</v>
      </c>
      <c r="X39" s="60">
        <f t="shared" si="7"/>
        <v>783.70558280820762</v>
      </c>
      <c r="Y39" s="60"/>
      <c r="Z39" s="600">
        <f t="shared" si="5"/>
        <v>666.14974538697641</v>
      </c>
    </row>
    <row r="40" spans="1:26">
      <c r="A40" s="93">
        <f>INDEX([3]!ResApplic,MATCH(CONCATENATE(LEFT($D40,FIND("_",$D40)-1)," - ",$C$7),[3]APPLIC!$B$9:$B$201,0)+1,MATCH($C40,[3]APPLIC!$C$8:$F$8,0)+1)</f>
        <v>1.0754159339533284E-2</v>
      </c>
      <c r="B40" s="89">
        <f>VLOOKUP(RIGHT($D40,LEN(D40)-FIND("_",$D40)),Weighting!$D$16:$H$19,5,FALSE)</f>
        <v>1.6319173126358888E-2</v>
      </c>
      <c r="C40" s="57" t="str">
        <f t="shared" si="6"/>
        <v>Multifamily - Low Rise</v>
      </c>
      <c r="D40" s="60" t="s">
        <v>219</v>
      </c>
      <c r="E40" s="60">
        <f t="shared" si="8"/>
        <v>162.55475416971322</v>
      </c>
      <c r="F40" s="60">
        <f t="shared" si="8"/>
        <v>162.18562193871568</v>
      </c>
      <c r="G40" s="60">
        <f t="shared" si="8"/>
        <v>161.81732793976286</v>
      </c>
      <c r="H40" s="60">
        <f t="shared" si="8"/>
        <v>161.44987026938247</v>
      </c>
      <c r="I40" s="60">
        <f t="shared" si="8"/>
        <v>161.08324702842467</v>
      </c>
      <c r="J40" s="60">
        <f t="shared" si="8"/>
        <v>160.71745632205233</v>
      </c>
      <c r="K40" s="60">
        <f t="shared" si="8"/>
        <v>160.35249625973103</v>
      </c>
      <c r="L40" s="60">
        <f t="shared" si="8"/>
        <v>159.98836495521942</v>
      </c>
      <c r="M40" s="60">
        <f t="shared" si="8"/>
        <v>159.62506052655962</v>
      </c>
      <c r="N40" s="60">
        <f t="shared" si="8"/>
        <v>159.26258109606712</v>
      </c>
      <c r="O40" s="60">
        <f t="shared" si="8"/>
        <v>158.90092479032148</v>
      </c>
      <c r="P40" s="60">
        <f t="shared" si="8"/>
        <v>158.5400897401563</v>
      </c>
      <c r="Q40" s="60">
        <f t="shared" si="8"/>
        <v>158.18007408064975</v>
      </c>
      <c r="R40" s="60">
        <f t="shared" si="8"/>
        <v>157.820875951115</v>
      </c>
      <c r="S40" s="60">
        <f t="shared" si="8"/>
        <v>157.46249349509043</v>
      </c>
      <c r="T40" s="60">
        <f t="shared" si="8"/>
        <v>157.10492486033004</v>
      </c>
      <c r="U40" s="60">
        <f t="shared" si="7"/>
        <v>156.74816819879405</v>
      </c>
      <c r="V40" s="60">
        <f t="shared" si="7"/>
        <v>156.39222166663924</v>
      </c>
      <c r="W40" s="60">
        <f t="shared" si="7"/>
        <v>156.03708342420927</v>
      </c>
      <c r="X40" s="60">
        <f t="shared" si="7"/>
        <v>155.6827516360255</v>
      </c>
      <c r="Y40" s="60"/>
      <c r="Z40" s="600">
        <f t="shared" si="5"/>
        <v>132.33033889062168</v>
      </c>
    </row>
    <row r="41" spans="1:26">
      <c r="A41" s="93">
        <f>INDEX([3]!ResApplic,MATCH(CONCATENATE(LEFT($D41,FIND("_",$D41)-1)," - ",$C$7),[3]APPLIC!$B$9:$B$201,0)+1,MATCH($C41,[3]APPLIC!$C$8:$F$8,0)+1)</f>
        <v>6.4148166587866887E-2</v>
      </c>
      <c r="B41" s="89">
        <f>VLOOKUP(RIGHT($D41,LEN(D41)-FIND("_",$D41)),Weighting!$D$16:$H$19,5,FALSE)</f>
        <v>1.6319173126358888E-2</v>
      </c>
      <c r="C41" s="57" t="str">
        <f t="shared" si="6"/>
        <v>Multifamily - Low Rise</v>
      </c>
      <c r="D41" s="60" t="s">
        <v>220</v>
      </c>
      <c r="E41" s="60">
        <f t="shared" si="8"/>
        <v>969.63315503386013</v>
      </c>
      <c r="F41" s="60">
        <f t="shared" si="8"/>
        <v>967.43129479547474</v>
      </c>
      <c r="G41" s="60">
        <f t="shared" si="8"/>
        <v>965.23443458053544</v>
      </c>
      <c r="H41" s="60">
        <f t="shared" si="8"/>
        <v>963.04256303490024</v>
      </c>
      <c r="I41" s="60">
        <f t="shared" si="8"/>
        <v>960.85566883020954</v>
      </c>
      <c r="J41" s="60">
        <f t="shared" si="8"/>
        <v>958.67374066382945</v>
      </c>
      <c r="K41" s="60">
        <f t="shared" si="8"/>
        <v>956.49676725879158</v>
      </c>
      <c r="L41" s="60">
        <f t="shared" si="8"/>
        <v>954.32473736373515</v>
      </c>
      <c r="M41" s="60">
        <f t="shared" si="8"/>
        <v>952.15763975285006</v>
      </c>
      <c r="N41" s="60">
        <f t="shared" si="8"/>
        <v>949.99546322581739</v>
      </c>
      <c r="O41" s="60">
        <f t="shared" si="8"/>
        <v>947.83819660775259</v>
      </c>
      <c r="P41" s="60">
        <f t="shared" si="8"/>
        <v>945.68582874914682</v>
      </c>
      <c r="Q41" s="60">
        <f t="shared" si="8"/>
        <v>943.53834852580951</v>
      </c>
      <c r="R41" s="60">
        <f t="shared" si="8"/>
        <v>941.39574483881188</v>
      </c>
      <c r="S41" s="60">
        <f t="shared" si="8"/>
        <v>939.25800661442804</v>
      </c>
      <c r="T41" s="60">
        <f t="shared" si="8"/>
        <v>937.12512280407896</v>
      </c>
      <c r="U41" s="60">
        <f t="shared" si="7"/>
        <v>934.99708238427479</v>
      </c>
      <c r="V41" s="60">
        <f t="shared" si="7"/>
        <v>932.87387435655808</v>
      </c>
      <c r="W41" s="60">
        <f t="shared" si="7"/>
        <v>930.75548774744652</v>
      </c>
      <c r="X41" s="60">
        <f t="shared" si="7"/>
        <v>928.64191160837697</v>
      </c>
      <c r="Y41" s="60"/>
      <c r="Z41" s="600">
        <f t="shared" si="5"/>
        <v>789.34562486712048</v>
      </c>
    </row>
    <row r="42" spans="1:26">
      <c r="A42" s="93">
        <f>INDEX([3]!ResApplic,MATCH(CONCATENATE(LEFT($D42,FIND("_",$D42)-1)," - ",$C$7),[3]APPLIC!$B$9:$B$201,0)+1,MATCH($C42,[3]APPLIC!$C$8:$F$8,0)+1)</f>
        <v>3.7086444829429757E-2</v>
      </c>
      <c r="B42" s="89">
        <f>VLOOKUP(RIGHT($D42,LEN(D42)-FIND("_",$D42)),Weighting!$D$16:$H$19,5,FALSE)</f>
        <v>1.6319173126358888E-2</v>
      </c>
      <c r="C42" s="57" t="str">
        <f t="shared" si="6"/>
        <v>Multifamily - Low Rise</v>
      </c>
      <c r="D42" s="60" t="s">
        <v>1675</v>
      </c>
      <c r="E42" s="60">
        <f t="shared" si="8"/>
        <v>560.58104887054969</v>
      </c>
      <c r="F42" s="60">
        <f t="shared" si="8"/>
        <v>559.30807144038192</v>
      </c>
      <c r="G42" s="60">
        <f t="shared" si="8"/>
        <v>558.03798471003529</v>
      </c>
      <c r="H42" s="60">
        <f t="shared" si="8"/>
        <v>556.77078211525725</v>
      </c>
      <c r="I42" s="60">
        <f t="shared" si="8"/>
        <v>555.50645710670119</v>
      </c>
      <c r="J42" s="60">
        <f t="shared" si="8"/>
        <v>554.24500314989336</v>
      </c>
      <c r="K42" s="60">
        <f t="shared" si="8"/>
        <v>552.98641372519808</v>
      </c>
      <c r="L42" s="60">
        <f t="shared" si="8"/>
        <v>551.73068232778485</v>
      </c>
      <c r="M42" s="60">
        <f t="shared" si="8"/>
        <v>550.47780246759442</v>
      </c>
      <c r="N42" s="60">
        <f t="shared" si="8"/>
        <v>549.22776766930519</v>
      </c>
      <c r="O42" s="60">
        <f t="shared" si="8"/>
        <v>547.98057147230031</v>
      </c>
      <c r="P42" s="60">
        <f t="shared" si="8"/>
        <v>546.73620743063304</v>
      </c>
      <c r="Q42" s="60">
        <f t="shared" si="8"/>
        <v>545.49466911299453</v>
      </c>
      <c r="R42" s="60">
        <f t="shared" si="8"/>
        <v>544.25595010268069</v>
      </c>
      <c r="S42" s="60">
        <f t="shared" si="8"/>
        <v>543.02004399755799</v>
      </c>
      <c r="T42" s="60">
        <f t="shared" si="8"/>
        <v>541.7869444100312</v>
      </c>
      <c r="U42" s="60">
        <f t="shared" si="7"/>
        <v>540.55664496701036</v>
      </c>
      <c r="V42" s="60">
        <f t="shared" si="7"/>
        <v>539.32913930987729</v>
      </c>
      <c r="W42" s="60">
        <f t="shared" si="7"/>
        <v>538.1044210944533</v>
      </c>
      <c r="X42" s="60">
        <f t="shared" si="7"/>
        <v>536.88248399096597</v>
      </c>
      <c r="Y42" s="60"/>
      <c r="Z42" s="600">
        <f t="shared" si="5"/>
        <v>456.35011139232103</v>
      </c>
    </row>
    <row r="43" spans="1:26">
      <c r="A43" s="93">
        <f>INDEX([3]!ResApplic,MATCH(CONCATENATE(LEFT($D43,FIND("_",$D43)-1)," - ",$C$7),[3]APPLIC!$B$9:$B$201,0)+1,MATCH($C43,[3]APPLIC!$C$8:$F$8,0)+1)</f>
        <v>1.0053116760243517E-2</v>
      </c>
      <c r="B43" s="89">
        <f>VLOOKUP(RIGHT($D43,LEN(D43)-FIND("_",$D43)),Weighting!$D$16:$H$19,5,FALSE)</f>
        <v>1.6319173126358888E-2</v>
      </c>
      <c r="C43" s="57" t="str">
        <f t="shared" si="6"/>
        <v>Multifamily - Low Rise</v>
      </c>
      <c r="D43" s="60" t="s">
        <v>221</v>
      </c>
      <c r="E43" s="60">
        <f t="shared" si="8"/>
        <v>151.95812820007274</v>
      </c>
      <c r="F43" s="60">
        <f t="shared" si="8"/>
        <v>151.61305897606141</v>
      </c>
      <c r="G43" s="60">
        <f t="shared" si="8"/>
        <v>151.26877334138987</v>
      </c>
      <c r="H43" s="60">
        <f t="shared" si="8"/>
        <v>150.9252695166696</v>
      </c>
      <c r="I43" s="60">
        <f t="shared" si="8"/>
        <v>150.58254572655252</v>
      </c>
      <c r="J43" s="60">
        <f t="shared" si="8"/>
        <v>150.24060019972228</v>
      </c>
      <c r="K43" s="60">
        <f t="shared" si="8"/>
        <v>149.89943116888466</v>
      </c>
      <c r="L43" s="60">
        <f t="shared" si="8"/>
        <v>149.55903687075875</v>
      </c>
      <c r="M43" s="60">
        <f t="shared" si="8"/>
        <v>149.21941554606772</v>
      </c>
      <c r="N43" s="60">
        <f t="shared" si="8"/>
        <v>148.88056543952968</v>
      </c>
      <c r="O43" s="60">
        <f t="shared" si="8"/>
        <v>148.54248479984884</v>
      </c>
      <c r="P43" s="60">
        <f t="shared" si="8"/>
        <v>148.20517187970606</v>
      </c>
      <c r="Q43" s="60">
        <f t="shared" si="8"/>
        <v>147.86862493575009</v>
      </c>
      <c r="R43" s="60">
        <f t="shared" si="8"/>
        <v>147.53284222858866</v>
      </c>
      <c r="S43" s="60">
        <f t="shared" si="8"/>
        <v>147.19782202277921</v>
      </c>
      <c r="T43" s="60">
        <f t="shared" si="8"/>
        <v>146.86356258682008</v>
      </c>
      <c r="U43" s="60">
        <f t="shared" si="7"/>
        <v>146.53006219314156</v>
      </c>
      <c r="V43" s="60">
        <f t="shared" si="7"/>
        <v>146.19731911809691</v>
      </c>
      <c r="W43" s="60">
        <f t="shared" si="7"/>
        <v>145.86533164195347</v>
      </c>
      <c r="X43" s="60">
        <f t="shared" si="7"/>
        <v>145.53409804888383</v>
      </c>
      <c r="Y43" s="60"/>
      <c r="Z43" s="600">
        <f t="shared" si="5"/>
        <v>123.70398334155126</v>
      </c>
    </row>
    <row r="44" spans="1:26">
      <c r="A44" s="93">
        <f>INDEX([3]!ResApplic,MATCH(CONCATENATE(LEFT($D44,FIND("_",$D44)-1)," - ",$C$7),[3]APPLIC!$B$9:$B$201,0)+1,MATCH($C44,[3]APPLIC!$C$8:$F$8,0)+1)</f>
        <v>0.14766594591946242</v>
      </c>
      <c r="B44" s="89">
        <f>VLOOKUP(RIGHT($D44,LEN(D44)-FIND("_",$D44)),Weighting!$D$16:$H$19,5,FALSE)</f>
        <v>1.6319173126358888E-2</v>
      </c>
      <c r="C44" s="57" t="str">
        <f t="shared" si="6"/>
        <v>Multifamily - Low Rise</v>
      </c>
      <c r="D44" s="60" t="s">
        <v>222</v>
      </c>
      <c r="E44" s="60">
        <f t="shared" si="8"/>
        <v>2232.0481573986153</v>
      </c>
      <c r="F44" s="60">
        <f t="shared" si="8"/>
        <v>2226.9795826882491</v>
      </c>
      <c r="G44" s="60">
        <f t="shared" si="8"/>
        <v>2221.9225177876101</v>
      </c>
      <c r="H44" s="60">
        <f t="shared" si="8"/>
        <v>2216.8769365600178</v>
      </c>
      <c r="I44" s="60">
        <f t="shared" si="8"/>
        <v>2211.8428129281428</v>
      </c>
      <c r="J44" s="60">
        <f t="shared" si="8"/>
        <v>2206.8201208738737</v>
      </c>
      <c r="K44" s="60">
        <f t="shared" si="8"/>
        <v>2201.808834438179</v>
      </c>
      <c r="L44" s="60">
        <f t="shared" si="8"/>
        <v>2196.8089277209774</v>
      </c>
      <c r="M44" s="60">
        <f t="shared" si="8"/>
        <v>2191.8203748810015</v>
      </c>
      <c r="N44" s="60">
        <f t="shared" si="8"/>
        <v>2186.8431501356645</v>
      </c>
      <c r="O44" s="60">
        <f t="shared" si="8"/>
        <v>2181.8772277609278</v>
      </c>
      <c r="P44" s="60">
        <f t="shared" si="8"/>
        <v>2176.922582091167</v>
      </c>
      <c r="Q44" s="60">
        <f t="shared" si="8"/>
        <v>2171.9791875190385</v>
      </c>
      <c r="R44" s="60">
        <f t="shared" si="8"/>
        <v>2167.0470184953506</v>
      </c>
      <c r="S44" s="60">
        <f t="shared" si="8"/>
        <v>2162.126049528928</v>
      </c>
      <c r="T44" s="60">
        <f t="shared" si="8"/>
        <v>2157.2162551864803</v>
      </c>
      <c r="U44" s="60">
        <f t="shared" si="7"/>
        <v>2152.3176100924725</v>
      </c>
      <c r="V44" s="60">
        <f t="shared" si="7"/>
        <v>2147.4300889289939</v>
      </c>
      <c r="W44" s="60">
        <f t="shared" si="7"/>
        <v>2142.5536664356227</v>
      </c>
      <c r="X44" s="60">
        <f t="shared" si="7"/>
        <v>2137.6883174093023</v>
      </c>
      <c r="Y44" s="60"/>
      <c r="Z44" s="600">
        <f t="shared" si="5"/>
        <v>1817.0350697979072</v>
      </c>
    </row>
    <row r="45" spans="1:26">
      <c r="A45" s="93">
        <f>INDEX([3]!ResApplic,MATCH(CONCATENATE(LEFT($D45,FIND("_",$D45)-1)," - ",$C$7),[3]APPLIC!$B$9:$B$201,0)+1,MATCH($C45,[3]APPLIC!$C$8:$F$8,0)+1)</f>
        <v>3.1895898862292736E-2</v>
      </c>
      <c r="B45" s="89">
        <f>VLOOKUP(RIGHT($D45,LEN(D45)-FIND("_",$D45)),Weighting!$D$16:$H$19,5,FALSE)</f>
        <v>1.6319173126358888E-2</v>
      </c>
      <c r="C45" s="57" t="str">
        <f t="shared" si="6"/>
        <v>Multifamily - Low Rise</v>
      </c>
      <c r="D45" s="60" t="s">
        <v>228</v>
      </c>
      <c r="E45" s="60">
        <f t="shared" si="8"/>
        <v>482.12322645454174</v>
      </c>
      <c r="F45" s="60">
        <f t="shared" si="8"/>
        <v>481.02841244491231</v>
      </c>
      <c r="G45" s="60">
        <f t="shared" si="8"/>
        <v>479.93608455843525</v>
      </c>
      <c r="H45" s="60">
        <f t="shared" si="8"/>
        <v>478.8462371495782</v>
      </c>
      <c r="I45" s="60">
        <f t="shared" si="8"/>
        <v>477.75886458562809</v>
      </c>
      <c r="J45" s="60">
        <f t="shared" si="8"/>
        <v>476.67396124666328</v>
      </c>
      <c r="K45" s="60">
        <f t="shared" si="8"/>
        <v>475.5915215255236</v>
      </c>
      <c r="L45" s="60">
        <f t="shared" si="8"/>
        <v>474.51153982778169</v>
      </c>
      <c r="M45" s="60">
        <f t="shared" si="8"/>
        <v>473.4340105717144</v>
      </c>
      <c r="N45" s="60">
        <f t="shared" si="8"/>
        <v>472.35892818827335</v>
      </c>
      <c r="O45" s="60">
        <f t="shared" si="8"/>
        <v>471.28628712105683</v>
      </c>
      <c r="P45" s="60">
        <f t="shared" si="8"/>
        <v>470.21608182628029</v>
      </c>
      <c r="Q45" s="60">
        <f t="shared" si="8"/>
        <v>469.14830677274824</v>
      </c>
      <c r="R45" s="60">
        <f t="shared" si="8"/>
        <v>468.08295644182579</v>
      </c>
      <c r="S45" s="60">
        <f t="shared" si="8"/>
        <v>467.02002532740954</v>
      </c>
      <c r="T45" s="60">
        <f t="shared" si="8"/>
        <v>465.95950793589952</v>
      </c>
      <c r="U45" s="60">
        <f t="shared" si="7"/>
        <v>464.90139878617072</v>
      </c>
      <c r="V45" s="60">
        <f t="shared" si="7"/>
        <v>463.84569240954499</v>
      </c>
      <c r="W45" s="60">
        <f t="shared" si="7"/>
        <v>462.79238334976219</v>
      </c>
      <c r="X45" s="60">
        <f t="shared" si="7"/>
        <v>461.74146616295263</v>
      </c>
      <c r="Y45" s="60"/>
      <c r="Z45" s="600">
        <f t="shared" si="5"/>
        <v>392.48024623850972</v>
      </c>
    </row>
    <row r="46" spans="1:26">
      <c r="A46" s="93">
        <f>INDEX([3]!ResApplic,MATCH(CONCATENATE(LEFT($D46,FIND("_",$D46)-1)," - ",$C$7),[3]APPLIC!$B$9:$B$201,0)+1,MATCH($C46,[3]APPLIC!$C$8:$F$8,0)+1)</f>
        <v>0.16574038870037966</v>
      </c>
      <c r="B46" s="89">
        <f>VLOOKUP(RIGHT($D46,LEN(D46)-FIND("_",$D46)),Weighting!$D$16:$H$19,5,FALSE)</f>
        <v>1.6319173126358888E-2</v>
      </c>
      <c r="C46" s="57" t="str">
        <f t="shared" si="6"/>
        <v>Multifamily - Low Rise</v>
      </c>
      <c r="D46" s="60" t="s">
        <v>229</v>
      </c>
      <c r="E46" s="60">
        <f t="shared" si="8"/>
        <v>2505.2528320035258</v>
      </c>
      <c r="F46" s="60">
        <f t="shared" si="8"/>
        <v>2499.563859252075</v>
      </c>
      <c r="G46" s="60">
        <f t="shared" si="8"/>
        <v>2493.8878051212728</v>
      </c>
      <c r="H46" s="60">
        <f t="shared" si="8"/>
        <v>2488.2246402752867</v>
      </c>
      <c r="I46" s="60">
        <f t="shared" si="8"/>
        <v>2482.5743354448978</v>
      </c>
      <c r="J46" s="60">
        <f t="shared" si="8"/>
        <v>2476.936861427354</v>
      </c>
      <c r="K46" s="60">
        <f t="shared" si="8"/>
        <v>2471.3121890862176</v>
      </c>
      <c r="L46" s="60">
        <f t="shared" si="8"/>
        <v>2465.7002893512131</v>
      </c>
      <c r="M46" s="60">
        <f t="shared" si="8"/>
        <v>2460.1011332180792</v>
      </c>
      <c r="N46" s="60">
        <f t="shared" si="8"/>
        <v>2454.5146917484171</v>
      </c>
      <c r="O46" s="60">
        <f t="shared" si="8"/>
        <v>2448.9409360695445</v>
      </c>
      <c r="P46" s="60">
        <f t="shared" si="8"/>
        <v>2443.3798373743402</v>
      </c>
      <c r="Q46" s="60">
        <f t="shared" si="8"/>
        <v>2437.8313669211002</v>
      </c>
      <c r="R46" s="60">
        <f t="shared" si="8"/>
        <v>2432.2954960333882</v>
      </c>
      <c r="S46" s="60">
        <f t="shared" si="8"/>
        <v>2426.7721960998861</v>
      </c>
      <c r="T46" s="60">
        <f t="shared" si="8"/>
        <v>2421.2614385742477</v>
      </c>
      <c r="U46" s="60">
        <f t="shared" si="7"/>
        <v>2415.7631949749493</v>
      </c>
      <c r="V46" s="60">
        <f t="shared" si="7"/>
        <v>2410.2774368851447</v>
      </c>
      <c r="W46" s="60">
        <f t="shared" si="7"/>
        <v>2404.8041359525155</v>
      </c>
      <c r="X46" s="60">
        <f t="shared" si="7"/>
        <v>2399.3432638891281</v>
      </c>
      <c r="Y46" s="60"/>
      <c r="Z46" s="600">
        <f t="shared" si="5"/>
        <v>2039.4417743057584</v>
      </c>
    </row>
    <row r="47" spans="1:26">
      <c r="A47" s="93">
        <f>INDEX([3]!ResApplic,MATCH(CONCATENATE(LEFT($D47,FIND("_",$D47)-1)," - ",$C$7),[3]APPLIC!$B$9:$B$201,0)+1,MATCH($C47,[3]APPLIC!$C$8:$F$8,0)+1)</f>
        <v>0.12758359544917094</v>
      </c>
      <c r="B47" s="89">
        <f>VLOOKUP(RIGHT($D47,LEN(D47)-FIND("_",$D47)),Weighting!$D$16:$H$19,5,FALSE)</f>
        <v>1.6319173126358888E-2</v>
      </c>
      <c r="C47" s="57" t="str">
        <f t="shared" si="6"/>
        <v>Multifamily - Low Rise</v>
      </c>
      <c r="D47" s="60" t="s">
        <v>226</v>
      </c>
      <c r="E47" s="60">
        <f t="shared" si="8"/>
        <v>1928.4929058181669</v>
      </c>
      <c r="F47" s="60">
        <f t="shared" si="8"/>
        <v>1924.1136497796492</v>
      </c>
      <c r="G47" s="60">
        <f t="shared" si="8"/>
        <v>1919.744338233741</v>
      </c>
      <c r="H47" s="60">
        <f t="shared" si="8"/>
        <v>1915.3849485983128</v>
      </c>
      <c r="I47" s="60">
        <f t="shared" si="8"/>
        <v>1911.0354583425124</v>
      </c>
      <c r="J47" s="60">
        <f t="shared" si="8"/>
        <v>1906.6958449866531</v>
      </c>
      <c r="K47" s="60">
        <f t="shared" si="8"/>
        <v>1902.3660861020944</v>
      </c>
      <c r="L47" s="60">
        <f t="shared" si="8"/>
        <v>1898.0461593111268</v>
      </c>
      <c r="M47" s="60">
        <f t="shared" si="8"/>
        <v>1893.7360422868576</v>
      </c>
      <c r="N47" s="60">
        <f t="shared" si="8"/>
        <v>1889.4357127530934</v>
      </c>
      <c r="O47" s="60">
        <f t="shared" si="8"/>
        <v>1885.1451484842273</v>
      </c>
      <c r="P47" s="60">
        <f t="shared" si="8"/>
        <v>1880.8643273051212</v>
      </c>
      <c r="Q47" s="60">
        <f t="shared" si="8"/>
        <v>1876.593227090993</v>
      </c>
      <c r="R47" s="60">
        <f t="shared" si="8"/>
        <v>1872.3318257673031</v>
      </c>
      <c r="S47" s="60">
        <f t="shared" si="8"/>
        <v>1868.0801013096382</v>
      </c>
      <c r="T47" s="60">
        <f t="shared" si="8"/>
        <v>1863.8380317435981</v>
      </c>
      <c r="U47" s="60">
        <f t="shared" si="7"/>
        <v>1859.6055951446829</v>
      </c>
      <c r="V47" s="60">
        <f t="shared" si="7"/>
        <v>1855.38276963818</v>
      </c>
      <c r="W47" s="60">
        <f t="shared" si="7"/>
        <v>1851.1695333990488</v>
      </c>
      <c r="X47" s="60">
        <f t="shared" si="7"/>
        <v>1846.9658646518105</v>
      </c>
      <c r="Y47" s="60"/>
      <c r="Z47" s="600">
        <f t="shared" si="5"/>
        <v>1569.9209849540389</v>
      </c>
    </row>
    <row r="48" spans="1:26">
      <c r="A48" s="93">
        <f>INDEX([3]!ResApplic,MATCH(CONCATENATE(LEFT($D48,FIND("_",$D48)-1)," - ",$C$7),[3]APPLIC!$B$9:$B$201,0)+1,MATCH($C48,[3]APPLIC!$C$8:$F$8,0)+1)</f>
        <v>0.66296155480151864</v>
      </c>
      <c r="B48" s="89">
        <f>VLOOKUP(RIGHT($D48,LEN(D48)-FIND("_",$D48)),Weighting!$D$16:$H$19,5,FALSE)</f>
        <v>1.6319173126358888E-2</v>
      </c>
      <c r="C48" s="57" t="str">
        <f t="shared" si="6"/>
        <v>Multifamily - Low Rise</v>
      </c>
      <c r="D48" s="60" t="s">
        <v>227</v>
      </c>
      <c r="E48" s="60">
        <f t="shared" si="8"/>
        <v>10021.011328014103</v>
      </c>
      <c r="F48" s="60">
        <f t="shared" si="8"/>
        <v>9998.2554370082999</v>
      </c>
      <c r="G48" s="60">
        <f t="shared" si="8"/>
        <v>9975.5512204850911</v>
      </c>
      <c r="H48" s="60">
        <f t="shared" si="8"/>
        <v>9952.8985611011467</v>
      </c>
      <c r="I48" s="60">
        <f t="shared" si="8"/>
        <v>9930.2973417795911</v>
      </c>
      <c r="J48" s="60">
        <f t="shared" si="8"/>
        <v>9907.7474457094158</v>
      </c>
      <c r="K48" s="60">
        <f t="shared" si="8"/>
        <v>9885.2487563448703</v>
      </c>
      <c r="L48" s="60">
        <f t="shared" si="8"/>
        <v>9862.8011574048523</v>
      </c>
      <c r="M48" s="60">
        <f t="shared" si="8"/>
        <v>9840.4045328723168</v>
      </c>
      <c r="N48" s="60">
        <f t="shared" si="8"/>
        <v>9818.0587669936685</v>
      </c>
      <c r="O48" s="60">
        <f t="shared" si="8"/>
        <v>9795.7637442781779</v>
      </c>
      <c r="P48" s="60">
        <f t="shared" si="8"/>
        <v>9773.519349497361</v>
      </c>
      <c r="Q48" s="60">
        <f t="shared" si="8"/>
        <v>9751.3254676844008</v>
      </c>
      <c r="R48" s="60">
        <f t="shared" si="8"/>
        <v>9729.1819841335528</v>
      </c>
      <c r="S48" s="60">
        <f t="shared" si="8"/>
        <v>9707.0887843995442</v>
      </c>
      <c r="T48" s="60">
        <f t="shared" si="8"/>
        <v>9685.0457542969907</v>
      </c>
      <c r="U48" s="60">
        <f t="shared" si="7"/>
        <v>9663.0527798997973</v>
      </c>
      <c r="V48" s="60">
        <f t="shared" si="7"/>
        <v>9641.1097475405786</v>
      </c>
      <c r="W48" s="60">
        <f t="shared" si="7"/>
        <v>9619.2165438100619</v>
      </c>
      <c r="X48" s="60">
        <f t="shared" si="7"/>
        <v>9597.3730555565126</v>
      </c>
      <c r="Y48" s="60"/>
      <c r="Z48" s="600">
        <f t="shared" si="5"/>
        <v>8157.7670972230335</v>
      </c>
    </row>
    <row r="49" spans="1:27">
      <c r="A49" s="93">
        <f>INDEX([3]!ResApplic,MATCH(CONCATENATE(LEFT($D49,FIND("_",$D49)-1)," - ",$C$7),[3]APPLIC!$B$9:$B$201,0)+1,MATCH($C49,[3]APPLIC!$C$8:$F$8,0)+1)</f>
        <v>8.6999999999999966E-2</v>
      </c>
      <c r="B49" s="89">
        <f>VLOOKUP(RIGHT($D49,LEN(D49)-FIND("_",$D49)),Weighting!$D$16:$H$19,5,FALSE)</f>
        <v>0.81169245245930366</v>
      </c>
      <c r="C49" s="57" t="str">
        <f t="shared" si="6"/>
        <v>Multifamily - Low Rise</v>
      </c>
      <c r="D49" s="60" t="s">
        <v>245</v>
      </c>
      <c r="E49" s="60">
        <f t="shared" si="8"/>
        <v>65408.745429718816</v>
      </c>
      <c r="F49" s="60">
        <f t="shared" si="8"/>
        <v>65260.214085615444</v>
      </c>
      <c r="G49" s="60">
        <f t="shared" si="8"/>
        <v>65112.02002913371</v>
      </c>
      <c r="H49" s="60">
        <f t="shared" si="8"/>
        <v>64964.16249435491</v>
      </c>
      <c r="I49" s="60">
        <f t="shared" si="8"/>
        <v>64816.640717099537</v>
      </c>
      <c r="J49" s="60">
        <f t="shared" si="8"/>
        <v>64669.453934923433</v>
      </c>
      <c r="K49" s="60">
        <f t="shared" si="8"/>
        <v>64522.601387113828</v>
      </c>
      <c r="L49" s="60">
        <f t="shared" si="8"/>
        <v>64376.082314685329</v>
      </c>
      <c r="M49" s="60">
        <f t="shared" si="8"/>
        <v>64229.89596037611</v>
      </c>
      <c r="N49" s="60">
        <f t="shared" si="8"/>
        <v>64084.041568643966</v>
      </c>
      <c r="O49" s="60">
        <f t="shared" si="8"/>
        <v>63938.518385662348</v>
      </c>
      <c r="P49" s="60">
        <f t="shared" si="8"/>
        <v>63793.325659316542</v>
      </c>
      <c r="Q49" s="60">
        <f t="shared" si="8"/>
        <v>63648.462639199701</v>
      </c>
      <c r="R49" s="60">
        <f t="shared" si="8"/>
        <v>63503.928576609083</v>
      </c>
      <c r="S49" s="60">
        <f t="shared" si="8"/>
        <v>63359.722724542051</v>
      </c>
      <c r="T49" s="60">
        <f t="shared" ref="T49:T61" si="9">$A49*VLOOKUP($C49,$C$13:$Y$16,T$22,FALSE)*$B49</f>
        <v>63215.844337692317</v>
      </c>
      <c r="U49" s="60">
        <f t="shared" ref="U49:X61" si="10">$A49*VLOOKUP($C49,$C$13:$Y$16,U$22,FALSE)*$B49</f>
        <v>63072.292672446019</v>
      </c>
      <c r="V49" s="60">
        <f t="shared" si="10"/>
        <v>62929.066986877951</v>
      </c>
      <c r="W49" s="60">
        <f t="shared" si="10"/>
        <v>62786.16654074761</v>
      </c>
      <c r="X49" s="60">
        <f t="shared" si="10"/>
        <v>62643.590595495523</v>
      </c>
      <c r="Y49" s="60"/>
      <c r="Z49" s="600">
        <f t="shared" si="5"/>
        <v>53247.052006171194</v>
      </c>
    </row>
    <row r="50" spans="1:27">
      <c r="A50" s="93">
        <f>INDEX([3]!ResApplic,MATCH(CONCATENATE(LEFT($D50,FIND("_",$D50)-1)," - ",$C$7),[3]APPLIC!$B$9:$B$201,0)+1,MATCH($C50,[3]APPLIC!$C$8:$F$8,0)+1)</f>
        <v>2.1455163910870823E-2</v>
      </c>
      <c r="B50" s="89">
        <f>VLOOKUP(RIGHT($D50,LEN(D50)-FIND("_",$D50)),Weighting!$D$16:$H$19,5,FALSE)</f>
        <v>0.81169245245930366</v>
      </c>
      <c r="C50" s="57" t="str">
        <f t="shared" si="6"/>
        <v>Multifamily - Low Rise</v>
      </c>
      <c r="D50" s="60" t="s">
        <v>246</v>
      </c>
      <c r="E50" s="60">
        <f t="shared" ref="E50:S61" si="11">$A50*VLOOKUP($C50,$C$13:$Y$16,E$22,FALSE)*$B50</f>
        <v>16130.521314931499</v>
      </c>
      <c r="F50" s="60">
        <f t="shared" si="11"/>
        <v>16093.891839832193</v>
      </c>
      <c r="G50" s="60">
        <f t="shared" si="11"/>
        <v>16057.345543597337</v>
      </c>
      <c r="H50" s="60">
        <f t="shared" si="11"/>
        <v>16020.882237342896</v>
      </c>
      <c r="I50" s="60">
        <f t="shared" si="11"/>
        <v>15984.501732613735</v>
      </c>
      <c r="J50" s="60">
        <f t="shared" si="11"/>
        <v>15948.203841382679</v>
      </c>
      <c r="K50" s="60">
        <f t="shared" si="11"/>
        <v>15911.988376049527</v>
      </c>
      <c r="L50" s="60">
        <f t="shared" si="11"/>
        <v>15875.855149440074</v>
      </c>
      <c r="M50" s="60">
        <f t="shared" si="11"/>
        <v>15839.803974805171</v>
      </c>
      <c r="N50" s="60">
        <f t="shared" si="11"/>
        <v>15803.834665819726</v>
      </c>
      <c r="O50" s="60">
        <f t="shared" si="11"/>
        <v>15767.947036581771</v>
      </c>
      <c r="P50" s="60">
        <f t="shared" si="11"/>
        <v>15732.140901611476</v>
      </c>
      <c r="Q50" s="60">
        <f t="shared" si="11"/>
        <v>15696.416075850206</v>
      </c>
      <c r="R50" s="60">
        <f t="shared" si="11"/>
        <v>15660.772374659562</v>
      </c>
      <c r="S50" s="60">
        <f t="shared" si="11"/>
        <v>15625.209613820427</v>
      </c>
      <c r="T50" s="60">
        <f t="shared" si="9"/>
        <v>15589.727609532005</v>
      </c>
      <c r="U50" s="60">
        <f t="shared" si="10"/>
        <v>15554.32617841088</v>
      </c>
      <c r="V50" s="60">
        <f t="shared" si="10"/>
        <v>15519.00513749008</v>
      </c>
      <c r="W50" s="60">
        <f t="shared" si="10"/>
        <v>15483.764304218092</v>
      </c>
      <c r="X50" s="60">
        <f t="shared" si="10"/>
        <v>15448.603496457963</v>
      </c>
      <c r="Y50" s="60"/>
      <c r="Z50" s="600">
        <f t="shared" si="5"/>
        <v>13131.312971989271</v>
      </c>
    </row>
    <row r="51" spans="1:27">
      <c r="A51" s="93">
        <f>INDEX([3]!ResApplic,MATCH(CONCATENATE(LEFT($D51,FIND("_",$D51)-1)," - ",$C$7),[3]APPLIC!$B$9:$B$201,0)+1,MATCH($C51,[3]APPLIC!$C$8:$F$8,0)+1)</f>
        <v>0.23754483608912919</v>
      </c>
      <c r="B51" s="89">
        <f>VLOOKUP(RIGHT($D51,LEN(D51)-FIND("_",$D51)),Weighting!$D$16:$H$19,5,FALSE)</f>
        <v>0.81169245245930366</v>
      </c>
      <c r="C51" s="57" t="str">
        <f t="shared" si="6"/>
        <v>Multifamily - Low Rise</v>
      </c>
      <c r="D51" s="60" t="s">
        <v>247</v>
      </c>
      <c r="E51" s="60">
        <f t="shared" si="11"/>
        <v>178592.06565400161</v>
      </c>
      <c r="F51" s="60">
        <f t="shared" si="11"/>
        <v>178186.51561044838</v>
      </c>
      <c r="G51" s="60">
        <f t="shared" si="11"/>
        <v>177781.88649715713</v>
      </c>
      <c r="H51" s="60">
        <f t="shared" si="11"/>
        <v>177378.1762228632</v>
      </c>
      <c r="I51" s="60">
        <f t="shared" si="11"/>
        <v>176975.38270105046</v>
      </c>
      <c r="J51" s="60">
        <f t="shared" si="11"/>
        <v>176573.50384994122</v>
      </c>
      <c r="K51" s="60">
        <f t="shared" si="11"/>
        <v>176172.53759248485</v>
      </c>
      <c r="L51" s="60">
        <f t="shared" si="11"/>
        <v>175772.48185634735</v>
      </c>
      <c r="M51" s="60">
        <f t="shared" si="11"/>
        <v>175373.33457390082</v>
      </c>
      <c r="N51" s="60">
        <f t="shared" si="11"/>
        <v>174975.09368221241</v>
      </c>
      <c r="O51" s="60">
        <f t="shared" si="11"/>
        <v>174577.75712303384</v>
      </c>
      <c r="P51" s="60">
        <f t="shared" si="11"/>
        <v>174181.32284279072</v>
      </c>
      <c r="Q51" s="60">
        <f t="shared" si="11"/>
        <v>173785.78879257196</v>
      </c>
      <c r="R51" s="60">
        <f t="shared" si="11"/>
        <v>173391.15292811926</v>
      </c>
      <c r="S51" s="60">
        <f t="shared" si="11"/>
        <v>172997.41320981632</v>
      </c>
      <c r="T51" s="60">
        <f t="shared" si="9"/>
        <v>172604.56760267855</v>
      </c>
      <c r="U51" s="60">
        <f t="shared" si="10"/>
        <v>172212.61407634232</v>
      </c>
      <c r="V51" s="60">
        <f t="shared" si="10"/>
        <v>171821.55060505468</v>
      </c>
      <c r="W51" s="60">
        <f t="shared" si="10"/>
        <v>171431.3751676628</v>
      </c>
      <c r="X51" s="60">
        <f t="shared" si="10"/>
        <v>171042.0857476035</v>
      </c>
      <c r="Y51" s="60"/>
      <c r="Z51" s="600">
        <f t="shared" si="5"/>
        <v>145385.772885463</v>
      </c>
    </row>
    <row r="52" spans="1:27">
      <c r="A52" s="93">
        <f>INDEX([3]!ResApplic,MATCH(CONCATENATE(LEFT($D52,FIND("_",$D52)-1)," - ",$C$7),[3]APPLIC!$B$9:$B$201,0)+1,MATCH($C52,[3]APPLIC!$C$8:$F$8,0)+1)</f>
        <v>5.4136342171710254E-2</v>
      </c>
      <c r="B52" s="89">
        <f>VLOOKUP(RIGHT($D52,LEN(D52)-FIND("_",$D52)),Weighting!$D$16:$H$19,5,FALSE)</f>
        <v>0.81169245245930366</v>
      </c>
      <c r="C52" s="57" t="str">
        <f t="shared" si="6"/>
        <v>Multifamily - Low Rise</v>
      </c>
      <c r="D52" s="60" t="s">
        <v>1676</v>
      </c>
      <c r="E52" s="60">
        <f t="shared" si="11"/>
        <v>40701.037052937339</v>
      </c>
      <c r="F52" s="60">
        <f t="shared" si="11"/>
        <v>40608.61241307982</v>
      </c>
      <c r="G52" s="60">
        <f t="shared" si="11"/>
        <v>40516.397652740641</v>
      </c>
      <c r="H52" s="60">
        <f t="shared" si="11"/>
        <v>40424.392295321668</v>
      </c>
      <c r="I52" s="60">
        <f t="shared" si="11"/>
        <v>40332.595865306997</v>
      </c>
      <c r="J52" s="60">
        <f t="shared" si="11"/>
        <v>40241.007888260581</v>
      </c>
      <c r="K52" s="60">
        <f t="shared" si="11"/>
        <v>40149.627890823707</v>
      </c>
      <c r="L52" s="60">
        <f t="shared" si="11"/>
        <v>40058.455400712548</v>
      </c>
      <c r="M52" s="60">
        <f t="shared" si="11"/>
        <v>39967.489946715781</v>
      </c>
      <c r="N52" s="60">
        <f t="shared" si="11"/>
        <v>39876.731058692123</v>
      </c>
      <c r="O52" s="60">
        <f t="shared" si="11"/>
        <v>39786.178267567877</v>
      </c>
      <c r="P52" s="60">
        <f t="shared" si="11"/>
        <v>39695.831105334546</v>
      </c>
      <c r="Q52" s="60">
        <f t="shared" si="11"/>
        <v>39605.689105046353</v>
      </c>
      <c r="R52" s="60">
        <f t="shared" si="11"/>
        <v>39515.751800817925</v>
      </c>
      <c r="S52" s="60">
        <f t="shared" si="11"/>
        <v>39426.018727821793</v>
      </c>
      <c r="T52" s="60">
        <f t="shared" si="9"/>
        <v>39336.489422286031</v>
      </c>
      <c r="U52" s="60">
        <f t="shared" si="10"/>
        <v>39247.163421491867</v>
      </c>
      <c r="V52" s="60">
        <f t="shared" si="10"/>
        <v>39158.040263771283</v>
      </c>
      <c r="W52" s="60">
        <f t="shared" si="10"/>
        <v>39069.119488504599</v>
      </c>
      <c r="X52" s="60">
        <f t="shared" si="10"/>
        <v>38980.400636118131</v>
      </c>
      <c r="Y52" s="60"/>
      <c r="Z52" s="600">
        <f t="shared" si="5"/>
        <v>33133.34054070041</v>
      </c>
    </row>
    <row r="53" spans="1:27">
      <c r="A53" s="93">
        <f>INDEX([3]!ResApplic,MATCH(CONCATENATE(LEFT($D53,FIND("_",$D53)-1)," - ",$C$7),[3]APPLIC!$B$9:$B$201,0)+1,MATCH($C53,[3]APPLIC!$C$8:$F$8,0)+1)</f>
        <v>1.0754159339533284E-2</v>
      </c>
      <c r="B53" s="89">
        <f>VLOOKUP(RIGHT($D53,LEN(D53)-FIND("_",$D53)),Weighting!$D$16:$H$19,5,FALSE)</f>
        <v>0.81169245245930366</v>
      </c>
      <c r="C53" s="57" t="str">
        <f t="shared" si="6"/>
        <v>Multifamily - Low Rise</v>
      </c>
      <c r="D53" s="60" t="s">
        <v>241</v>
      </c>
      <c r="E53" s="60">
        <f t="shared" si="11"/>
        <v>8085.2421902317919</v>
      </c>
      <c r="F53" s="60">
        <f t="shared" si="11"/>
        <v>8066.8820782616458</v>
      </c>
      <c r="G53" s="60">
        <f t="shared" si="11"/>
        <v>8048.5636587607696</v>
      </c>
      <c r="H53" s="60">
        <f t="shared" si="11"/>
        <v>8030.2868370531614</v>
      </c>
      <c r="I53" s="60">
        <f t="shared" si="11"/>
        <v>8012.0515186778111</v>
      </c>
      <c r="J53" s="60">
        <f t="shared" si="11"/>
        <v>7993.8576093882148</v>
      </c>
      <c r="K53" s="60">
        <f t="shared" si="11"/>
        <v>7975.7050151518824</v>
      </c>
      <c r="L53" s="60">
        <f t="shared" si="11"/>
        <v>7957.59364214985</v>
      </c>
      <c r="M53" s="60">
        <f t="shared" si="11"/>
        <v>7939.5233967762097</v>
      </c>
      <c r="N53" s="60">
        <f t="shared" si="11"/>
        <v>7921.494185637609</v>
      </c>
      <c r="O53" s="60">
        <f t="shared" si="11"/>
        <v>7903.5059155527788</v>
      </c>
      <c r="P53" s="60">
        <f t="shared" si="11"/>
        <v>7885.5584935520419</v>
      </c>
      <c r="Q53" s="60">
        <f t="shared" si="11"/>
        <v>7867.6518268768396</v>
      </c>
      <c r="R53" s="60">
        <f t="shared" si="11"/>
        <v>7849.7858229792564</v>
      </c>
      <c r="S53" s="60">
        <f t="shared" si="11"/>
        <v>7831.9603895215341</v>
      </c>
      <c r="T53" s="60">
        <f t="shared" si="9"/>
        <v>7814.1754343755902</v>
      </c>
      <c r="U53" s="60">
        <f t="shared" si="10"/>
        <v>7796.4308656225558</v>
      </c>
      <c r="V53" s="60">
        <f t="shared" si="10"/>
        <v>7778.726591552293</v>
      </c>
      <c r="W53" s="60">
        <f t="shared" si="10"/>
        <v>7761.0625206629129</v>
      </c>
      <c r="X53" s="60">
        <f t="shared" si="10"/>
        <v>7743.4385616603195</v>
      </c>
      <c r="Y53" s="60"/>
      <c r="Z53" s="600">
        <f t="shared" si="5"/>
        <v>6581.9227774112724</v>
      </c>
    </row>
    <row r="54" spans="1:27">
      <c r="A54" s="93">
        <f>INDEX([3]!ResApplic,MATCH(CONCATENATE(LEFT($D54,FIND("_",$D54)-1)," - ",$C$7),[3]APPLIC!$B$9:$B$201,0)+1,MATCH($C54,[3]APPLIC!$C$8:$F$8,0)+1)</f>
        <v>6.4148166587866887E-2</v>
      </c>
      <c r="B54" s="89">
        <f>VLOOKUP(RIGHT($D54,LEN(D54)-FIND("_",$D54)),Weighting!$D$16:$H$19,5,FALSE)</f>
        <v>0.81169245245930366</v>
      </c>
      <c r="C54" s="57" t="str">
        <f t="shared" si="6"/>
        <v>Multifamily - Low Rise</v>
      </c>
      <c r="D54" s="60" t="s">
        <v>242</v>
      </c>
      <c r="E54" s="60">
        <f t="shared" si="11"/>
        <v>48228.173541712429</v>
      </c>
      <c r="F54" s="60">
        <f t="shared" si="11"/>
        <v>48118.656146251931</v>
      </c>
      <c r="G54" s="60">
        <f t="shared" si="11"/>
        <v>48009.38744484364</v>
      </c>
      <c r="H54" s="60">
        <f t="shared" si="11"/>
        <v>47900.366872748673</v>
      </c>
      <c r="I54" s="60">
        <f t="shared" si="11"/>
        <v>47791.59386651055</v>
      </c>
      <c r="J54" s="60">
        <f t="shared" si="11"/>
        <v>47683.067863952347</v>
      </c>
      <c r="K54" s="60">
        <f t="shared" si="11"/>
        <v>47574.788304173686</v>
      </c>
      <c r="L54" s="60">
        <f t="shared" si="11"/>
        <v>47466.754627547896</v>
      </c>
      <c r="M54" s="60">
        <f t="shared" si="11"/>
        <v>47358.966275719162</v>
      </c>
      <c r="N54" s="60">
        <f t="shared" si="11"/>
        <v>47251.422691599553</v>
      </c>
      <c r="O54" s="60">
        <f t="shared" si="11"/>
        <v>47144.123319366205</v>
      </c>
      <c r="P54" s="60">
        <f t="shared" si="11"/>
        <v>47037.067604458418</v>
      </c>
      <c r="Q54" s="60">
        <f t="shared" si="11"/>
        <v>46930.254993574781</v>
      </c>
      <c r="R54" s="60">
        <f t="shared" si="11"/>
        <v>46823.68493467036</v>
      </c>
      <c r="S54" s="60">
        <f t="shared" si="11"/>
        <v>46717.356876953796</v>
      </c>
      <c r="T54" s="60">
        <f t="shared" si="9"/>
        <v>46611.270270884481</v>
      </c>
      <c r="U54" s="60">
        <f t="shared" si="10"/>
        <v>46505.424568169714</v>
      </c>
      <c r="V54" s="60">
        <f t="shared" si="10"/>
        <v>46399.819221761871</v>
      </c>
      <c r="W54" s="60">
        <f t="shared" si="10"/>
        <v>46294.453685855558</v>
      </c>
      <c r="X54" s="60">
        <f t="shared" si="10"/>
        <v>46189.327415884822</v>
      </c>
      <c r="Y54" s="60"/>
      <c r="Z54" s="600">
        <f t="shared" si="5"/>
        <v>39260.9283035021</v>
      </c>
    </row>
    <row r="55" spans="1:27">
      <c r="A55" s="93">
        <f>INDEX([3]!ResApplic,MATCH(CONCATENATE(LEFT($D55,FIND("_",$D55)-1)," - ",$C$7),[3]APPLIC!$B$9:$B$201,0)+1,MATCH($C55,[3]APPLIC!$C$8:$F$8,0)+1)</f>
        <v>3.7086444829429757E-2</v>
      </c>
      <c r="B55" s="89">
        <f>VLOOKUP(RIGHT($D55,LEN(D55)-FIND("_",$D55)),Weighting!$D$16:$H$19,5,FALSE)</f>
        <v>0.81169245245930366</v>
      </c>
      <c r="C55" s="57" t="str">
        <f t="shared" si="6"/>
        <v>Multifamily - Low Rise</v>
      </c>
      <c r="D55" s="60" t="s">
        <v>1677</v>
      </c>
      <c r="E55" s="60">
        <f t="shared" si="11"/>
        <v>27882.503778637743</v>
      </c>
      <c r="F55" s="60">
        <f t="shared" si="11"/>
        <v>27819.187692447733</v>
      </c>
      <c r="G55" s="60">
        <f t="shared" si="11"/>
        <v>27756.015385553954</v>
      </c>
      <c r="H55" s="60">
        <f t="shared" si="11"/>
        <v>27692.986531459825</v>
      </c>
      <c r="I55" s="60">
        <f t="shared" si="11"/>
        <v>27630.100804410151</v>
      </c>
      <c r="J55" s="60">
        <f t="shared" si="11"/>
        <v>27567.357879389521</v>
      </c>
      <c r="K55" s="60">
        <f t="shared" si="11"/>
        <v>27504.757432120528</v>
      </c>
      <c r="L55" s="60">
        <f t="shared" si="11"/>
        <v>27442.299139062146</v>
      </c>
      <c r="M55" s="60">
        <f t="shared" si="11"/>
        <v>27379.982677408083</v>
      </c>
      <c r="N55" s="60">
        <f t="shared" si="11"/>
        <v>27317.80772508504</v>
      </c>
      <c r="O55" s="60">
        <f t="shared" si="11"/>
        <v>27255.773960751128</v>
      </c>
      <c r="P55" s="60">
        <f t="shared" si="11"/>
        <v>27193.881063794135</v>
      </c>
      <c r="Q55" s="60">
        <f t="shared" si="11"/>
        <v>27132.128714329905</v>
      </c>
      <c r="R55" s="60">
        <f t="shared" si="11"/>
        <v>27070.516593200704</v>
      </c>
      <c r="S55" s="60">
        <f t="shared" si="11"/>
        <v>27009.044381973523</v>
      </c>
      <c r="T55" s="60">
        <f t="shared" si="9"/>
        <v>26947.711762938463</v>
      </c>
      <c r="U55" s="60">
        <f t="shared" si="10"/>
        <v>26886.518419107091</v>
      </c>
      <c r="V55" s="60">
        <f t="shared" si="10"/>
        <v>26825.464034210796</v>
      </c>
      <c r="W55" s="60">
        <f t="shared" si="10"/>
        <v>26764.548292699154</v>
      </c>
      <c r="X55" s="60">
        <f t="shared" si="10"/>
        <v>26703.77087973828</v>
      </c>
      <c r="Y55" s="60"/>
      <c r="Z55" s="600">
        <f t="shared" si="5"/>
        <v>22698.20524777754</v>
      </c>
    </row>
    <row r="56" spans="1:27">
      <c r="A56" s="93">
        <f>INDEX([3]!ResApplic,MATCH(CONCATENATE(LEFT($D56,FIND("_",$D56)-1)," - ",$C$7),[3]APPLIC!$B$9:$B$201,0)+1,MATCH($C56,[3]APPLIC!$C$8:$F$8,0)+1)</f>
        <v>1.0053116760243517E-2</v>
      </c>
      <c r="B56" s="89">
        <f>VLOOKUP(RIGHT($D56,LEN(D56)-FIND("_",$D56)),Weighting!$D$16:$H$19,5,FALSE)</f>
        <v>0.81169245245930366</v>
      </c>
      <c r="C56" s="57" t="str">
        <f t="shared" si="6"/>
        <v>Multifamily - Low Rise</v>
      </c>
      <c r="D56" s="60" t="s">
        <v>243</v>
      </c>
      <c r="E56" s="60">
        <f t="shared" si="11"/>
        <v>7558.1810913334248</v>
      </c>
      <c r="F56" s="60">
        <f t="shared" si="11"/>
        <v>7541.0178390940328</v>
      </c>
      <c r="G56" s="60">
        <f t="shared" si="11"/>
        <v>7523.8935614735174</v>
      </c>
      <c r="H56" s="60">
        <f t="shared" si="11"/>
        <v>7506.8081699676195</v>
      </c>
      <c r="I56" s="60">
        <f t="shared" si="11"/>
        <v>7489.7615762730566</v>
      </c>
      <c r="J56" s="60">
        <f t="shared" si="11"/>
        <v>7472.7536922870713</v>
      </c>
      <c r="K56" s="60">
        <f t="shared" si="11"/>
        <v>7455.7844301069636</v>
      </c>
      <c r="L56" s="60">
        <f t="shared" si="11"/>
        <v>7438.8537020296499</v>
      </c>
      <c r="M56" s="60">
        <f t="shared" si="11"/>
        <v>7421.9614205512044</v>
      </c>
      <c r="N56" s="60">
        <f t="shared" si="11"/>
        <v>7405.107498366403</v>
      </c>
      <c r="O56" s="60">
        <f t="shared" si="11"/>
        <v>7388.2918483682843</v>
      </c>
      <c r="P56" s="60">
        <f t="shared" si="11"/>
        <v>7371.5143836476809</v>
      </c>
      <c r="Q56" s="60">
        <f t="shared" si="11"/>
        <v>7354.7750174927814</v>
      </c>
      <c r="R56" s="60">
        <f t="shared" si="11"/>
        <v>7338.0736633886909</v>
      </c>
      <c r="S56" s="60">
        <f t="shared" si="11"/>
        <v>7321.4102350169642</v>
      </c>
      <c r="T56" s="60">
        <f t="shared" si="9"/>
        <v>7304.7846462551734</v>
      </c>
      <c r="U56" s="60">
        <f t="shared" si="10"/>
        <v>7288.1968111764563</v>
      </c>
      <c r="V56" s="60">
        <f t="shared" si="10"/>
        <v>7271.6466440490794</v>
      </c>
      <c r="W56" s="60">
        <f t="shared" si="10"/>
        <v>7255.1340593359855</v>
      </c>
      <c r="X56" s="60">
        <f t="shared" si="10"/>
        <v>7238.6589716943608</v>
      </c>
      <c r="Y56" s="60"/>
      <c r="Z56" s="600">
        <f t="shared" si="5"/>
        <v>6152.8601259402067</v>
      </c>
    </row>
    <row r="57" spans="1:27">
      <c r="A57" s="93">
        <f>INDEX([3]!ResApplic,MATCH(CONCATENATE(LEFT($D57,FIND("_",$D57)-1)," - ",$C$7),[3]APPLIC!$B$9:$B$201,0)+1,MATCH($C57,[3]APPLIC!$C$8:$F$8,0)+1)</f>
        <v>0.14766594591946242</v>
      </c>
      <c r="B57" s="89">
        <f>VLOOKUP(RIGHT($D57,LEN(D57)-FIND("_",$D57)),Weighting!$D$16:$H$19,5,FALSE)</f>
        <v>0.81169245245930366</v>
      </c>
      <c r="C57" s="57" t="str">
        <f t="shared" si="6"/>
        <v>Multifamily - Low Rise</v>
      </c>
      <c r="D57" s="60" t="s">
        <v>244</v>
      </c>
      <c r="E57" s="60">
        <f t="shared" si="11"/>
        <v>111018.89960097411</v>
      </c>
      <c r="F57" s="60">
        <f t="shared" si="11"/>
        <v>110766.79590642569</v>
      </c>
      <c r="G57" s="60">
        <f t="shared" si="11"/>
        <v>110515.26469343697</v>
      </c>
      <c r="H57" s="60">
        <f t="shared" si="11"/>
        <v>110264.30466200672</v>
      </c>
      <c r="I57" s="60">
        <f t="shared" si="11"/>
        <v>110013.91451508562</v>
      </c>
      <c r="J57" s="60">
        <f t="shared" si="11"/>
        <v>109764.09295856983</v>
      </c>
      <c r="K57" s="60">
        <f t="shared" si="11"/>
        <v>109514.83870129408</v>
      </c>
      <c r="L57" s="60">
        <f t="shared" si="11"/>
        <v>109266.15045502516</v>
      </c>
      <c r="M57" s="60">
        <f t="shared" si="11"/>
        <v>109018.02693445519</v>
      </c>
      <c r="N57" s="60">
        <f t="shared" si="11"/>
        <v>108770.466857195</v>
      </c>
      <c r="O57" s="60">
        <f t="shared" si="11"/>
        <v>108523.46894376753</v>
      </c>
      <c r="P57" s="60">
        <f t="shared" si="11"/>
        <v>108277.03191760108</v>
      </c>
      <c r="Q57" s="60">
        <f t="shared" si="11"/>
        <v>108031.15450502287</v>
      </c>
      <c r="R57" s="60">
        <f t="shared" si="11"/>
        <v>107785.83543525245</v>
      </c>
      <c r="S57" s="60">
        <f t="shared" si="11"/>
        <v>107541.07344039499</v>
      </c>
      <c r="T57" s="60">
        <f t="shared" si="9"/>
        <v>107296.86725543484</v>
      </c>
      <c r="U57" s="60">
        <f t="shared" si="10"/>
        <v>107053.21561822899</v>
      </c>
      <c r="V57" s="60">
        <f t="shared" si="10"/>
        <v>106810.1172695006</v>
      </c>
      <c r="W57" s="60">
        <f t="shared" si="10"/>
        <v>106567.5709528322</v>
      </c>
      <c r="X57" s="60">
        <f t="shared" si="10"/>
        <v>106325.57541465966</v>
      </c>
      <c r="Y57" s="60"/>
      <c r="Z57" s="600">
        <f t="shared" si="5"/>
        <v>90376.739102460706</v>
      </c>
    </row>
    <row r="58" spans="1:27">
      <c r="A58" s="93">
        <f>INDEX([3]!ResApplic,MATCH(CONCATENATE(LEFT($D58,FIND("_",$D58)-1)," - ",$C$7),[3]APPLIC!$B$9:$B$201,0)+1,MATCH($C58,[3]APPLIC!$C$8:$F$8,0)+1)</f>
        <v>3.1895898862292736E-2</v>
      </c>
      <c r="B58" s="89">
        <f>VLOOKUP(RIGHT($D58,LEN(D58)-FIND("_",$D58)),Weighting!$D$16:$H$19,5,FALSE)</f>
        <v>0.81169245245930366</v>
      </c>
      <c r="C58" s="57" t="str">
        <f t="shared" si="6"/>
        <v>Multifamily - Low Rise</v>
      </c>
      <c r="D58" s="60" t="s">
        <v>250</v>
      </c>
      <c r="E58" s="60">
        <f t="shared" si="11"/>
        <v>23980.123321100738</v>
      </c>
      <c r="F58" s="60">
        <f t="shared" si="11"/>
        <v>23925.668829958195</v>
      </c>
      <c r="G58" s="60">
        <f t="shared" si="11"/>
        <v>23871.33799504401</v>
      </c>
      <c r="H58" s="60">
        <f t="shared" si="11"/>
        <v>23817.130535557426</v>
      </c>
      <c r="I58" s="60">
        <f t="shared" si="11"/>
        <v>23763.046171335322</v>
      </c>
      <c r="J58" s="60">
        <f t="shared" si="11"/>
        <v>23709.08462285078</v>
      </c>
      <c r="K58" s="60">
        <f t="shared" si="11"/>
        <v>23655.245611211638</v>
      </c>
      <c r="L58" s="60">
        <f t="shared" si="11"/>
        <v>23601.528858159032</v>
      </c>
      <c r="M58" s="60">
        <f t="shared" si="11"/>
        <v>23547.934086066001</v>
      </c>
      <c r="N58" s="60">
        <f t="shared" si="11"/>
        <v>23494.461017936002</v>
      </c>
      <c r="O58" s="60">
        <f t="shared" si="11"/>
        <v>23441.109377401517</v>
      </c>
      <c r="P58" s="60">
        <f t="shared" si="11"/>
        <v>23387.878888722589</v>
      </c>
      <c r="Q58" s="60">
        <f t="shared" si="11"/>
        <v>23334.769276785428</v>
      </c>
      <c r="R58" s="60">
        <f t="shared" si="11"/>
        <v>23281.780267100981</v>
      </c>
      <c r="S58" s="60">
        <f t="shared" si="11"/>
        <v>23228.911585803504</v>
      </c>
      <c r="T58" s="60">
        <f t="shared" si="9"/>
        <v>23176.162959649148</v>
      </c>
      <c r="U58" s="60">
        <f t="shared" si="10"/>
        <v>23123.534116014554</v>
      </c>
      <c r="V58" s="60">
        <f t="shared" si="10"/>
        <v>23071.024782895453</v>
      </c>
      <c r="W58" s="60">
        <f t="shared" si="10"/>
        <v>23018.634688905229</v>
      </c>
      <c r="X58" s="60">
        <f t="shared" si="10"/>
        <v>22966.363563273546</v>
      </c>
      <c r="Y58" s="60"/>
      <c r="Z58" s="600">
        <f t="shared" si="5"/>
        <v>19521.409028782513</v>
      </c>
    </row>
    <row r="59" spans="1:27">
      <c r="A59" s="93">
        <f>INDEX([3]!ResApplic,MATCH(CONCATENATE(LEFT($D59,FIND("_",$D59)-1)," - ",$C$7),[3]APPLIC!$B$9:$B$201,0)+1,MATCH($C59,[3]APPLIC!$C$8:$F$8,0)+1)</f>
        <v>0.16574038870037966</v>
      </c>
      <c r="B59" s="89">
        <f>VLOOKUP(RIGHT($D59,LEN(D59)-FIND("_",$D59)),Weighting!$D$16:$H$19,5,FALSE)</f>
        <v>0.81169245245930366</v>
      </c>
      <c r="C59" s="57" t="str">
        <f t="shared" si="6"/>
        <v>Multifamily - Low Rise</v>
      </c>
      <c r="D59" s="60" t="s">
        <v>251</v>
      </c>
      <c r="E59" s="60">
        <f t="shared" si="11"/>
        <v>124607.71140144578</v>
      </c>
      <c r="F59" s="60">
        <f t="shared" si="11"/>
        <v>124324.74999103333</v>
      </c>
      <c r="G59" s="60">
        <f t="shared" si="11"/>
        <v>124042.4311344314</v>
      </c>
      <c r="H59" s="60">
        <f t="shared" si="11"/>
        <v>123760.7533725174</v>
      </c>
      <c r="I59" s="60">
        <f t="shared" si="11"/>
        <v>123479.71524948203</v>
      </c>
      <c r="J59" s="60">
        <f t="shared" si="11"/>
        <v>123199.31531282197</v>
      </c>
      <c r="K59" s="60">
        <f t="shared" si="11"/>
        <v>122919.55211333225</v>
      </c>
      <c r="L59" s="60">
        <f t="shared" si="11"/>
        <v>122640.42420509869</v>
      </c>
      <c r="M59" s="60">
        <f t="shared" si="11"/>
        <v>122361.93014549065</v>
      </c>
      <c r="N59" s="60">
        <f t="shared" si="11"/>
        <v>122084.06849515336</v>
      </c>
      <c r="O59" s="60">
        <f t="shared" si="11"/>
        <v>121806.83781800063</v>
      </c>
      <c r="P59" s="60">
        <f t="shared" si="11"/>
        <v>121530.23668120726</v>
      </c>
      <c r="Q59" s="60">
        <f t="shared" si="11"/>
        <v>121254.26365520179</v>
      </c>
      <c r="R59" s="60">
        <f t="shared" si="11"/>
        <v>120978.91731365908</v>
      </c>
      <c r="S59" s="60">
        <f t="shared" si="11"/>
        <v>120704.1962334929</v>
      </c>
      <c r="T59" s="60">
        <f t="shared" si="9"/>
        <v>120430.09899484855</v>
      </c>
      <c r="U59" s="60">
        <f t="shared" si="10"/>
        <v>120156.62418109558</v>
      </c>
      <c r="V59" s="60">
        <f t="shared" si="10"/>
        <v>119883.77037882053</v>
      </c>
      <c r="W59" s="60">
        <f t="shared" si="10"/>
        <v>119611.53617781939</v>
      </c>
      <c r="X59" s="60">
        <f t="shared" si="10"/>
        <v>119339.92017109059</v>
      </c>
      <c r="Y59" s="60"/>
      <c r="Z59" s="600">
        <f t="shared" si="5"/>
        <v>101438.932145427</v>
      </c>
    </row>
    <row r="60" spans="1:27">
      <c r="A60" s="93">
        <f>INDEX([3]!ResApplic,MATCH(CONCATENATE(LEFT($D60,FIND("_",$D60)-1)," - ",$C$7),[3]APPLIC!$B$9:$B$201,0)+1,MATCH($C60,[3]APPLIC!$C$8:$F$8,0)+1)</f>
        <v>0.12758359544917094</v>
      </c>
      <c r="B60" s="89">
        <f>VLOOKUP(RIGHT($D60,LEN(D60)-FIND("_",$D60)),Weighting!$D$16:$H$19,5,FALSE)</f>
        <v>0.81169245245930366</v>
      </c>
      <c r="C60" s="57" t="str">
        <f t="shared" si="6"/>
        <v>Multifamily - Low Rise</v>
      </c>
      <c r="D60" s="60" t="s">
        <v>248</v>
      </c>
      <c r="E60" s="60">
        <f t="shared" si="11"/>
        <v>95920.493284402954</v>
      </c>
      <c r="F60" s="60">
        <f t="shared" si="11"/>
        <v>95702.675319832779</v>
      </c>
      <c r="G60" s="60">
        <f t="shared" si="11"/>
        <v>95485.351980176041</v>
      </c>
      <c r="H60" s="60">
        <f t="shared" si="11"/>
        <v>95268.522142229704</v>
      </c>
      <c r="I60" s="60">
        <f t="shared" si="11"/>
        <v>95052.184685341286</v>
      </c>
      <c r="J60" s="60">
        <f t="shared" si="11"/>
        <v>94836.338491403119</v>
      </c>
      <c r="K60" s="60">
        <f t="shared" si="11"/>
        <v>94620.982444846552</v>
      </c>
      <c r="L60" s="60">
        <f t="shared" si="11"/>
        <v>94406.115432636128</v>
      </c>
      <c r="M60" s="60">
        <f t="shared" si="11"/>
        <v>94191.736344264005</v>
      </c>
      <c r="N60" s="60">
        <f t="shared" si="11"/>
        <v>93977.84407174401</v>
      </c>
      <c r="O60" s="60">
        <f t="shared" si="11"/>
        <v>93764.437509606068</v>
      </c>
      <c r="P60" s="60">
        <f t="shared" si="11"/>
        <v>93551.515554890357</v>
      </c>
      <c r="Q60" s="60">
        <f t="shared" si="11"/>
        <v>93339.077107141711</v>
      </c>
      <c r="R60" s="60">
        <f t="shared" si="11"/>
        <v>93127.121068403925</v>
      </c>
      <c r="S60" s="60">
        <f t="shared" si="11"/>
        <v>92915.646343214015</v>
      </c>
      <c r="T60" s="60">
        <f t="shared" si="9"/>
        <v>92704.65183859659</v>
      </c>
      <c r="U60" s="60">
        <f t="shared" si="10"/>
        <v>92494.136464058218</v>
      </c>
      <c r="V60" s="60">
        <f t="shared" si="10"/>
        <v>92284.09913158181</v>
      </c>
      <c r="W60" s="60">
        <f t="shared" si="10"/>
        <v>92074.538755620917</v>
      </c>
      <c r="X60" s="60">
        <f t="shared" si="10"/>
        <v>91865.454253094184</v>
      </c>
      <c r="Y60" s="60"/>
      <c r="Z60" s="600">
        <f t="shared" si="5"/>
        <v>78085.636115130052</v>
      </c>
    </row>
    <row r="61" spans="1:27">
      <c r="A61" s="93">
        <f>INDEX([3]!ResApplic,MATCH(CONCATENATE(LEFT($D61,FIND("_",$D61)-1)," - ",$C$7),[3]APPLIC!$B$9:$B$201,0)+1,MATCH($C61,[3]APPLIC!$C$8:$F$8,0)+1)</f>
        <v>0.66296155480151864</v>
      </c>
      <c r="B61" s="89">
        <f>VLOOKUP(RIGHT($D61,LEN(D61)-FIND("_",$D61)),Weighting!$D$16:$H$19,5,FALSE)</f>
        <v>0.81169245245930366</v>
      </c>
      <c r="C61" s="57" t="str">
        <f t="shared" si="6"/>
        <v>Multifamily - Low Rise</v>
      </c>
      <c r="D61" s="60" t="s">
        <v>249</v>
      </c>
      <c r="E61" s="60">
        <f t="shared" si="11"/>
        <v>498430.84560578311</v>
      </c>
      <c r="F61" s="60">
        <f t="shared" si="11"/>
        <v>497298.99996413331</v>
      </c>
      <c r="G61" s="60">
        <f t="shared" si="11"/>
        <v>496169.72453772562</v>
      </c>
      <c r="H61" s="60">
        <f t="shared" si="11"/>
        <v>495043.0134900696</v>
      </c>
      <c r="I61" s="60">
        <f t="shared" si="11"/>
        <v>493918.86099792813</v>
      </c>
      <c r="J61" s="60">
        <f t="shared" si="11"/>
        <v>492797.26125128788</v>
      </c>
      <c r="K61" s="60">
        <f t="shared" si="11"/>
        <v>491678.20845332899</v>
      </c>
      <c r="L61" s="60">
        <f t="shared" si="11"/>
        <v>490561.69682039478</v>
      </c>
      <c r="M61" s="60">
        <f t="shared" si="11"/>
        <v>489447.72058196261</v>
      </c>
      <c r="N61" s="60">
        <f t="shared" si="11"/>
        <v>488336.27398061345</v>
      </c>
      <c r="O61" s="60">
        <f t="shared" si="11"/>
        <v>487227.3512720025</v>
      </c>
      <c r="P61" s="60">
        <f t="shared" si="11"/>
        <v>486120.94672482903</v>
      </c>
      <c r="Q61" s="60">
        <f t="shared" si="11"/>
        <v>485017.05462080718</v>
      </c>
      <c r="R61" s="60">
        <f t="shared" si="11"/>
        <v>483915.66925463633</v>
      </c>
      <c r="S61" s="60">
        <f t="shared" si="11"/>
        <v>482816.78493397159</v>
      </c>
      <c r="T61" s="60">
        <f t="shared" si="9"/>
        <v>481720.3959793942</v>
      </c>
      <c r="U61" s="60">
        <f t="shared" si="10"/>
        <v>480626.49672438233</v>
      </c>
      <c r="V61" s="60">
        <f t="shared" si="10"/>
        <v>479535.0815152821</v>
      </c>
      <c r="W61" s="60">
        <f t="shared" si="10"/>
        <v>478446.14471127756</v>
      </c>
      <c r="X61" s="60">
        <f t="shared" si="10"/>
        <v>477359.68068436236</v>
      </c>
      <c r="Y61" s="60"/>
      <c r="Z61" s="600">
        <f t="shared" si="5"/>
        <v>405755.72858170798</v>
      </c>
    </row>
    <row r="62" spans="1:27">
      <c r="A62" s="93"/>
      <c r="B62" s="89"/>
      <c r="D62" s="60"/>
      <c r="E62" s="60"/>
      <c r="F62" s="60"/>
      <c r="G62" s="60"/>
      <c r="H62" s="60"/>
      <c r="I62" s="60"/>
      <c r="J62" s="60"/>
      <c r="K62" s="60"/>
      <c r="L62" s="60"/>
      <c r="M62" s="60"/>
      <c r="N62" s="60"/>
      <c r="O62" s="60"/>
      <c r="P62" s="60"/>
      <c r="Q62" s="60"/>
      <c r="R62" s="60"/>
      <c r="S62" s="60"/>
      <c r="T62" s="60"/>
      <c r="U62" s="60"/>
      <c r="V62" s="60"/>
      <c r="W62" s="60"/>
      <c r="X62" s="60"/>
      <c r="Y62" s="60"/>
      <c r="AA62" s="600"/>
    </row>
    <row r="63" spans="1:27">
      <c r="A63" s="93"/>
      <c r="B63" s="89"/>
      <c r="D63" s="60"/>
      <c r="E63" s="60"/>
      <c r="F63" s="60"/>
      <c r="G63" s="60"/>
      <c r="H63" s="60"/>
      <c r="I63" s="60"/>
      <c r="J63" s="60"/>
      <c r="K63" s="60"/>
      <c r="L63" s="60"/>
      <c r="M63" s="60"/>
      <c r="N63" s="60"/>
      <c r="O63" s="60"/>
      <c r="P63" s="60"/>
      <c r="Q63" s="60"/>
      <c r="R63" s="60"/>
      <c r="S63" s="60"/>
      <c r="T63" s="60"/>
      <c r="U63" s="60"/>
      <c r="V63" s="60"/>
      <c r="W63" s="60"/>
      <c r="X63" s="60"/>
      <c r="Y63" s="60"/>
      <c r="AA63" s="600"/>
    </row>
    <row r="64" spans="1:27">
      <c r="A64" s="93"/>
      <c r="B64" s="89"/>
      <c r="D64" s="60"/>
      <c r="E64" s="60"/>
      <c r="F64" s="60"/>
      <c r="G64" s="60"/>
      <c r="H64" s="60"/>
      <c r="I64" s="60"/>
      <c r="J64" s="60"/>
      <c r="K64" s="60"/>
      <c r="L64" s="60"/>
      <c r="M64" s="60"/>
      <c r="N64" s="60"/>
      <c r="O64" s="60"/>
      <c r="P64" s="60"/>
      <c r="Q64" s="60"/>
      <c r="R64" s="60"/>
      <c r="S64" s="60"/>
      <c r="T64" s="60"/>
      <c r="U64" s="60"/>
      <c r="V64" s="60"/>
      <c r="W64" s="60"/>
      <c r="X64" s="60"/>
      <c r="Y64" s="60"/>
      <c r="AA64" s="600"/>
    </row>
    <row r="65" spans="1:27">
      <c r="A65" s="93"/>
      <c r="B65" s="89"/>
      <c r="D65" s="60"/>
      <c r="E65" s="60"/>
      <c r="F65" s="60"/>
      <c r="G65" s="60"/>
      <c r="H65" s="60"/>
      <c r="I65" s="60"/>
      <c r="J65" s="60"/>
      <c r="K65" s="60"/>
      <c r="L65" s="60"/>
      <c r="M65" s="60"/>
      <c r="N65" s="60"/>
      <c r="O65" s="60"/>
      <c r="P65" s="60"/>
      <c r="Q65" s="60"/>
      <c r="R65" s="60"/>
      <c r="S65" s="60"/>
      <c r="T65" s="60"/>
      <c r="U65" s="60"/>
      <c r="V65" s="60"/>
      <c r="W65" s="60"/>
      <c r="X65" s="60"/>
      <c r="Y65" s="60"/>
      <c r="AA65" s="600"/>
    </row>
    <row r="66" spans="1:27">
      <c r="A66" s="93"/>
      <c r="B66" s="89"/>
      <c r="D66" s="60"/>
      <c r="E66" s="60"/>
      <c r="F66" s="60"/>
      <c r="G66" s="60"/>
      <c r="H66" s="60"/>
      <c r="I66" s="60"/>
      <c r="J66" s="60"/>
      <c r="K66" s="60"/>
      <c r="L66" s="60"/>
      <c r="M66" s="60"/>
      <c r="N66" s="60"/>
      <c r="O66" s="60"/>
      <c r="P66" s="60"/>
      <c r="Q66" s="60"/>
      <c r="R66" s="60"/>
      <c r="S66" s="60"/>
      <c r="T66" s="60"/>
      <c r="U66" s="60"/>
      <c r="V66" s="60"/>
      <c r="W66" s="60"/>
      <c r="X66" s="60"/>
      <c r="Y66" s="60"/>
      <c r="AA66" s="600"/>
    </row>
    <row r="67" spans="1:27">
      <c r="A67" s="93"/>
      <c r="B67" s="89"/>
      <c r="D67" s="60"/>
      <c r="E67" s="60"/>
      <c r="F67" s="60"/>
      <c r="G67" s="60"/>
      <c r="H67" s="60"/>
      <c r="I67" s="60"/>
      <c r="J67" s="60"/>
      <c r="K67" s="60"/>
      <c r="L67" s="60"/>
      <c r="M67" s="60"/>
      <c r="N67" s="60"/>
      <c r="O67" s="60"/>
      <c r="P67" s="60"/>
      <c r="Q67" s="60"/>
      <c r="R67" s="60"/>
      <c r="S67" s="60"/>
      <c r="T67" s="60"/>
      <c r="U67" s="60"/>
      <c r="V67" s="60"/>
      <c r="W67" s="60"/>
      <c r="X67" s="60"/>
      <c r="Y67" s="60"/>
      <c r="AA67" s="600"/>
    </row>
    <row r="68" spans="1:27">
      <c r="A68" s="93"/>
      <c r="B68" s="89"/>
      <c r="D68" s="60"/>
      <c r="E68" s="60"/>
      <c r="F68" s="60"/>
      <c r="G68" s="60"/>
      <c r="H68" s="60"/>
      <c r="I68" s="60"/>
      <c r="J68" s="60"/>
      <c r="K68" s="60"/>
      <c r="L68" s="60"/>
      <c r="M68" s="60"/>
      <c r="N68" s="60"/>
      <c r="O68" s="60"/>
      <c r="P68" s="60"/>
      <c r="Q68" s="60"/>
      <c r="R68" s="60"/>
      <c r="S68" s="60"/>
      <c r="T68" s="60"/>
      <c r="U68" s="60"/>
      <c r="V68" s="60"/>
      <c r="W68" s="60"/>
      <c r="X68" s="60"/>
      <c r="Y68" s="60"/>
      <c r="AA68" s="600"/>
    </row>
    <row r="69" spans="1:27">
      <c r="A69" s="93"/>
      <c r="B69" s="89"/>
      <c r="D69" s="60"/>
      <c r="E69" s="60"/>
      <c r="F69" s="60"/>
      <c r="G69" s="60"/>
      <c r="H69" s="60"/>
      <c r="I69" s="60"/>
      <c r="J69" s="60"/>
      <c r="K69" s="60"/>
      <c r="L69" s="60"/>
      <c r="M69" s="60"/>
      <c r="N69" s="60"/>
      <c r="O69" s="60"/>
      <c r="P69" s="60"/>
      <c r="Q69" s="60"/>
      <c r="R69" s="60"/>
      <c r="S69" s="60"/>
      <c r="T69" s="60"/>
      <c r="U69" s="60"/>
      <c r="V69" s="60"/>
      <c r="W69" s="60"/>
      <c r="X69" s="60"/>
      <c r="Y69" s="60"/>
      <c r="AA69" s="600"/>
    </row>
    <row r="70" spans="1:27">
      <c r="A70" s="93"/>
      <c r="B70" s="89"/>
      <c r="D70" s="60"/>
      <c r="E70" s="60"/>
      <c r="F70" s="60"/>
      <c r="G70" s="60"/>
      <c r="H70" s="60"/>
      <c r="I70" s="60"/>
      <c r="J70" s="60"/>
      <c r="K70" s="60"/>
      <c r="L70" s="60"/>
      <c r="M70" s="60"/>
      <c r="N70" s="60"/>
      <c r="O70" s="60"/>
      <c r="P70" s="60"/>
      <c r="Q70" s="60"/>
      <c r="R70" s="60"/>
      <c r="S70" s="60"/>
      <c r="T70" s="60"/>
      <c r="U70" s="60"/>
      <c r="V70" s="60"/>
      <c r="W70" s="60"/>
      <c r="X70" s="60"/>
      <c r="Y70" s="60"/>
      <c r="AA70" s="600"/>
    </row>
    <row r="71" spans="1:27">
      <c r="A71" s="93"/>
      <c r="B71" s="89"/>
      <c r="D71" s="60"/>
      <c r="E71" s="60"/>
      <c r="F71" s="60"/>
      <c r="G71" s="60"/>
      <c r="H71" s="60"/>
      <c r="I71" s="60"/>
      <c r="J71" s="60"/>
      <c r="K71" s="60"/>
      <c r="L71" s="60"/>
      <c r="M71" s="60"/>
      <c r="N71" s="60"/>
      <c r="O71" s="60"/>
      <c r="P71" s="60"/>
      <c r="Q71" s="60"/>
      <c r="R71" s="60"/>
      <c r="S71" s="60"/>
      <c r="T71" s="60"/>
      <c r="U71" s="60"/>
      <c r="V71" s="60"/>
      <c r="W71" s="60"/>
      <c r="X71" s="60"/>
      <c r="Y71" s="60"/>
      <c r="AA71" s="600"/>
    </row>
    <row r="72" spans="1:27">
      <c r="A72" s="93"/>
      <c r="B72" s="89"/>
      <c r="D72" s="60"/>
      <c r="E72" s="60"/>
      <c r="F72" s="60"/>
      <c r="G72" s="60"/>
      <c r="H72" s="60"/>
      <c r="I72" s="60"/>
      <c r="J72" s="60"/>
      <c r="K72" s="60"/>
      <c r="L72" s="60"/>
      <c r="M72" s="60"/>
      <c r="N72" s="60"/>
      <c r="O72" s="60"/>
      <c r="P72" s="60"/>
      <c r="Q72" s="60"/>
      <c r="R72" s="60"/>
      <c r="S72" s="60"/>
      <c r="T72" s="60"/>
      <c r="U72" s="60"/>
      <c r="V72" s="60"/>
      <c r="W72" s="60"/>
      <c r="X72" s="60"/>
      <c r="Y72" s="60"/>
      <c r="AA72" s="600"/>
    </row>
    <row r="73" spans="1:27">
      <c r="A73" s="93"/>
      <c r="B73" s="89"/>
      <c r="D73" s="60"/>
      <c r="E73" s="60"/>
      <c r="F73" s="60"/>
      <c r="G73" s="60"/>
      <c r="H73" s="60"/>
      <c r="I73" s="60"/>
      <c r="J73" s="60"/>
      <c r="K73" s="60"/>
      <c r="L73" s="60"/>
      <c r="M73" s="60"/>
      <c r="N73" s="60"/>
      <c r="O73" s="60"/>
      <c r="P73" s="60"/>
      <c r="Q73" s="60"/>
      <c r="R73" s="60"/>
      <c r="S73" s="60"/>
      <c r="T73" s="60"/>
      <c r="U73" s="60"/>
      <c r="V73" s="60"/>
      <c r="W73" s="60"/>
      <c r="X73" s="60"/>
      <c r="Y73" s="60"/>
      <c r="AA73" s="600"/>
    </row>
    <row r="74" spans="1:27">
      <c r="A74" s="93"/>
      <c r="B74" s="89"/>
      <c r="D74" s="60"/>
      <c r="E74" s="60"/>
      <c r="F74" s="60"/>
      <c r="G74" s="60"/>
      <c r="H74" s="60"/>
      <c r="I74" s="60"/>
      <c r="J74" s="60"/>
      <c r="K74" s="60"/>
      <c r="L74" s="60"/>
      <c r="M74" s="60"/>
      <c r="N74" s="60"/>
      <c r="O74" s="60"/>
      <c r="P74" s="60"/>
      <c r="Q74" s="60"/>
      <c r="R74" s="60"/>
      <c r="S74" s="60"/>
      <c r="T74" s="60"/>
      <c r="U74" s="60"/>
      <c r="V74" s="60"/>
      <c r="W74" s="60"/>
      <c r="X74" s="60"/>
      <c r="Y74" s="60"/>
      <c r="AA74" s="600"/>
    </row>
    <row r="75" spans="1:27">
      <c r="A75" s="93"/>
      <c r="B75" s="89"/>
      <c r="D75" s="60"/>
      <c r="E75" s="60"/>
      <c r="F75" s="60"/>
      <c r="G75" s="60"/>
      <c r="H75" s="60"/>
      <c r="I75" s="60"/>
      <c r="J75" s="60"/>
      <c r="K75" s="60"/>
      <c r="L75" s="60"/>
      <c r="M75" s="60"/>
      <c r="N75" s="60"/>
      <c r="O75" s="60"/>
      <c r="P75" s="60"/>
      <c r="Q75" s="60"/>
      <c r="R75" s="60"/>
      <c r="S75" s="60"/>
      <c r="T75" s="60"/>
      <c r="U75" s="60"/>
      <c r="V75" s="60"/>
      <c r="W75" s="60"/>
      <c r="X75" s="60"/>
      <c r="Y75" s="60"/>
      <c r="AA75" s="600"/>
    </row>
    <row r="76" spans="1:27">
      <c r="A76" s="93"/>
      <c r="B76" s="89"/>
      <c r="D76" s="60"/>
      <c r="E76" s="60"/>
      <c r="F76" s="60"/>
      <c r="G76" s="60"/>
      <c r="H76" s="60"/>
      <c r="I76" s="60"/>
      <c r="J76" s="60"/>
      <c r="K76" s="60"/>
      <c r="L76" s="60"/>
      <c r="M76" s="60"/>
      <c r="N76" s="60"/>
      <c r="O76" s="60"/>
      <c r="P76" s="60"/>
      <c r="Q76" s="60"/>
      <c r="R76" s="60"/>
      <c r="S76" s="60"/>
      <c r="T76" s="60"/>
      <c r="U76" s="60"/>
      <c r="V76" s="60"/>
      <c r="W76" s="60"/>
      <c r="X76" s="60"/>
      <c r="Y76" s="60"/>
      <c r="AA76" s="600"/>
    </row>
    <row r="77" spans="1:27">
      <c r="A77" s="93"/>
      <c r="B77" s="89"/>
      <c r="D77" s="60"/>
      <c r="E77" s="60"/>
      <c r="F77" s="60"/>
      <c r="G77" s="60"/>
      <c r="H77" s="60"/>
      <c r="I77" s="60"/>
      <c r="J77" s="60"/>
      <c r="K77" s="60"/>
      <c r="L77" s="60"/>
      <c r="M77" s="60"/>
      <c r="N77" s="60"/>
      <c r="O77" s="60"/>
      <c r="P77" s="60"/>
      <c r="Q77" s="60"/>
      <c r="R77" s="60"/>
      <c r="S77" s="60"/>
      <c r="T77" s="60"/>
      <c r="U77" s="60"/>
      <c r="V77" s="60"/>
      <c r="W77" s="60"/>
      <c r="X77" s="60"/>
      <c r="Y77" s="60"/>
      <c r="AA77" s="600"/>
    </row>
    <row r="78" spans="1:27">
      <c r="A78" s="93"/>
      <c r="B78" s="89"/>
      <c r="D78" s="60"/>
      <c r="E78" s="60"/>
      <c r="F78" s="60"/>
      <c r="G78" s="60"/>
      <c r="H78" s="60"/>
      <c r="I78" s="60"/>
      <c r="J78" s="60"/>
      <c r="K78" s="60"/>
      <c r="L78" s="60"/>
      <c r="M78" s="60"/>
      <c r="N78" s="60"/>
      <c r="O78" s="60"/>
      <c r="P78" s="60"/>
      <c r="Q78" s="60"/>
      <c r="R78" s="60"/>
      <c r="S78" s="60"/>
      <c r="T78" s="60"/>
      <c r="U78" s="60"/>
      <c r="V78" s="60"/>
      <c r="W78" s="60"/>
      <c r="X78" s="60"/>
      <c r="Y78" s="60"/>
      <c r="AA78" s="600"/>
    </row>
    <row r="79" spans="1:27">
      <c r="A79" s="93"/>
      <c r="B79" s="89"/>
      <c r="D79" s="60"/>
      <c r="E79" s="60"/>
      <c r="F79" s="60"/>
      <c r="G79" s="60"/>
      <c r="H79" s="60"/>
      <c r="I79" s="60"/>
      <c r="J79" s="60"/>
      <c r="K79" s="60"/>
      <c r="L79" s="60"/>
      <c r="M79" s="60"/>
      <c r="N79" s="60"/>
      <c r="O79" s="60"/>
      <c r="P79" s="60"/>
      <c r="Q79" s="60"/>
      <c r="R79" s="60"/>
      <c r="S79" s="60"/>
      <c r="T79" s="60"/>
      <c r="U79" s="60"/>
      <c r="V79" s="60"/>
      <c r="W79" s="60"/>
      <c r="X79" s="60"/>
      <c r="Y79" s="60"/>
      <c r="AA79" s="600"/>
    </row>
    <row r="80" spans="1:27">
      <c r="A80" s="93"/>
      <c r="B80" s="89"/>
      <c r="D80" s="60"/>
      <c r="E80" s="60"/>
      <c r="F80" s="60"/>
      <c r="G80" s="60"/>
      <c r="H80" s="60"/>
      <c r="I80" s="60"/>
      <c r="J80" s="60"/>
      <c r="K80" s="60"/>
      <c r="L80" s="60"/>
      <c r="M80" s="60"/>
      <c r="N80" s="60"/>
      <c r="O80" s="60"/>
      <c r="P80" s="60"/>
      <c r="Q80" s="60"/>
      <c r="R80" s="60"/>
      <c r="S80" s="60"/>
      <c r="T80" s="60"/>
      <c r="U80" s="60"/>
      <c r="V80" s="60"/>
      <c r="W80" s="60"/>
      <c r="X80" s="60"/>
      <c r="Y80" s="60"/>
      <c r="AA80" s="600"/>
    </row>
    <row r="81" spans="1:71">
      <c r="A81" s="93"/>
      <c r="B81" s="89"/>
      <c r="D81" s="60"/>
      <c r="E81" s="60"/>
      <c r="F81" s="60"/>
      <c r="G81" s="60"/>
      <c r="H81" s="60"/>
      <c r="I81" s="60"/>
      <c r="J81" s="60"/>
      <c r="K81" s="60"/>
      <c r="L81" s="60"/>
      <c r="M81" s="60"/>
      <c r="N81" s="60"/>
      <c r="O81" s="60"/>
      <c r="P81" s="60"/>
      <c r="Q81" s="60"/>
      <c r="R81" s="60"/>
      <c r="S81" s="60"/>
      <c r="T81" s="60"/>
      <c r="U81" s="60"/>
      <c r="V81" s="60"/>
      <c r="W81" s="60"/>
      <c r="X81" s="60"/>
      <c r="Y81" s="60"/>
      <c r="AA81" s="600"/>
    </row>
    <row r="82" spans="1:71">
      <c r="E82" s="60"/>
      <c r="F82" s="60"/>
      <c r="G82" s="60"/>
      <c r="H82" s="60"/>
      <c r="I82" s="60"/>
      <c r="J82" s="60"/>
      <c r="K82" s="60"/>
      <c r="L82" s="60"/>
      <c r="M82" s="60"/>
      <c r="N82" s="60"/>
      <c r="O82" s="60"/>
      <c r="P82" s="60"/>
      <c r="Q82" s="60"/>
      <c r="R82" s="60"/>
      <c r="S82" s="60"/>
      <c r="T82" s="60"/>
      <c r="U82" s="60"/>
      <c r="V82" s="60"/>
      <c r="W82" s="60"/>
      <c r="X82" s="60"/>
      <c r="Y82" s="60"/>
      <c r="AA82" s="600"/>
    </row>
    <row r="83" spans="1:71">
      <c r="E83" s="60">
        <f>SUM(E23:E81)</f>
        <v>1353041.7899869743</v>
      </c>
      <c r="F83" s="60">
        <f t="shared" ref="F83:X83" si="12">SUM(F23:F81)</f>
        <v>1349969.278591526</v>
      </c>
      <c r="G83" s="60">
        <f t="shared" si="12"/>
        <v>1346903.7443096777</v>
      </c>
      <c r="H83" s="60">
        <f t="shared" si="12"/>
        <v>1343845.1712976771</v>
      </c>
      <c r="I83" s="60">
        <f t="shared" si="12"/>
        <v>1340793.5437477473</v>
      </c>
      <c r="J83" s="60">
        <f t="shared" si="12"/>
        <v>1337748.84588801</v>
      </c>
      <c r="K83" s="60">
        <f t="shared" si="12"/>
        <v>1334711.0619824009</v>
      </c>
      <c r="L83" s="60">
        <f t="shared" si="12"/>
        <v>1331680.1763305902</v>
      </c>
      <c r="M83" s="60">
        <f t="shared" si="12"/>
        <v>1328656.1732678998</v>
      </c>
      <c r="N83" s="60">
        <f t="shared" si="12"/>
        <v>1325639.0371652241</v>
      </c>
      <c r="O83" s="60">
        <f t="shared" si="12"/>
        <v>1322628.7524289482</v>
      </c>
      <c r="P83" s="60">
        <f t="shared" si="12"/>
        <v>1319625.303500867</v>
      </c>
      <c r="Q83" s="60">
        <f t="shared" si="12"/>
        <v>1316628.6748581049</v>
      </c>
      <c r="R83" s="60">
        <f t="shared" si="12"/>
        <v>1313638.8510130378</v>
      </c>
      <c r="S83" s="60">
        <f t="shared" si="12"/>
        <v>1310655.8165132091</v>
      </c>
      <c r="T83" s="60">
        <f t="shared" si="12"/>
        <v>1307679.5559412527</v>
      </c>
      <c r="U83" s="60">
        <f t="shared" si="12"/>
        <v>1304710.0539148126</v>
      </c>
      <c r="V83" s="60">
        <f t="shared" si="12"/>
        <v>1301747.2950864637</v>
      </c>
      <c r="W83" s="60">
        <f t="shared" si="12"/>
        <v>1298791.2641436309</v>
      </c>
      <c r="X83" s="60">
        <f t="shared" si="12"/>
        <v>1295841.9458085122</v>
      </c>
      <c r="Y83" s="60"/>
      <c r="AA83" s="600"/>
    </row>
    <row r="84" spans="1:71">
      <c r="D84" s="60"/>
      <c r="E84" s="60"/>
      <c r="F84" s="60"/>
      <c r="G84" s="60"/>
      <c r="H84" s="60"/>
      <c r="I84" s="60"/>
      <c r="J84" s="60"/>
      <c r="K84" s="60"/>
      <c r="L84" s="60"/>
      <c r="M84" s="60"/>
      <c r="N84" s="60"/>
      <c r="O84" s="60"/>
      <c r="P84" s="60"/>
      <c r="Q84" s="60"/>
      <c r="R84" s="60"/>
      <c r="S84" s="60"/>
      <c r="T84" s="60"/>
      <c r="U84" s="60"/>
      <c r="V84" s="60"/>
      <c r="W84" s="60"/>
      <c r="X84" s="60"/>
      <c r="AA84" s="600"/>
    </row>
    <row r="86" spans="1:71" ht="15">
      <c r="A86" s="79" t="str">
        <f>CONCATENATE("# HOMES ACHIEVABLE BY YEAR FOR MEASURE - ",C87)</f>
        <v># HOMES ACHIEVABLE BY YEAR FOR MEASURE - ResWx - Retro</v>
      </c>
      <c r="E86" s="86" t="s">
        <v>93</v>
      </c>
    </row>
    <row r="87" spans="1:71" ht="15">
      <c r="C87" s="86" t="str">
        <f>C22</f>
        <v>ResWx - Retro</v>
      </c>
      <c r="E87" s="87">
        <f>VLOOKUP($C$87,[3]ACHIEV!$B$9:$X$100,MATCH(E$11,$E$11:$Y$11,0)+2,FALSE)</f>
        <v>0.10937459468255628</v>
      </c>
      <c r="F87" s="87">
        <f>VLOOKUP($C$87,[3]ACHIEV!$B$9:$X$100,MATCH(F$11,$E$11:$Y$11,0)+2,FALSE)</f>
        <v>0.125</v>
      </c>
      <c r="G87" s="87">
        <f>VLOOKUP($C$87,[3]ACHIEV!$B$9:$X$100,MATCH(G$11,$E$11:$Y$11,0)+2,FALSE)</f>
        <v>0.13671824335319538</v>
      </c>
      <c r="H87" s="87">
        <f>VLOOKUP($C$87,[3]ACHIEV!$B$9:$X$100,MATCH(H$11,$E$11:$Y$11,0)+2,FALSE)</f>
        <v>0.14299999999999999</v>
      </c>
      <c r="I87" s="87">
        <f>VLOOKUP($C$87,[3]ACHIEV!$B$9:$X$100,MATCH(I$11,$E$11:$Y$11,0)+2,FALSE)</f>
        <v>0.13732859265387931</v>
      </c>
      <c r="J87" s="87">
        <f>VLOOKUP($C$87,[3]ACHIEV!$B$9:$X$100,MATCH(J$11,$E$11:$Y$11,0)+2,FALSE)</f>
        <v>0.11444049387823274</v>
      </c>
      <c r="K87" s="87">
        <f>VLOOKUP($C$87,[3]ACHIEV!$B$9:$X$100,MATCH(K$11,$E$11:$Y$11,0)+2,FALSE)</f>
        <v>8.5830370408674583E-2</v>
      </c>
      <c r="L87" s="87">
        <f>VLOOKUP($C$87,[3]ACHIEV!$B$9:$X$100,MATCH(L$11,$E$11:$Y$11,0)+2,FALSE)</f>
        <v>5.8520707096823443E-2</v>
      </c>
      <c r="M87" s="87">
        <f>VLOOKUP($C$87,[3]ACHIEV!$B$9:$X$100,MATCH(M$11,$E$11:$Y$11,0)+2,FALSE)</f>
        <v>3.6575441935514763E-2</v>
      </c>
      <c r="N87" s="87">
        <f>VLOOKUP($C$87,[3]ACHIEV!$B$9:$X$100,MATCH(N$11,$E$11:$Y$11,0)+2,FALSE)</f>
        <v>2.1101216501258402E-2</v>
      </c>
      <c r="O87" s="87">
        <f>VLOOKUP($C$87,[3]ACHIEV!$B$9:$X$100,MATCH(O$11,$E$11:$Y$11,0)+2,FALSE)</f>
        <v>1.1304223125674251E-2</v>
      </c>
      <c r="P87" s="87">
        <f>VLOOKUP($C$87,[3]ACHIEV!$B$9:$X$100,MATCH(P$11,$E$11:$Y$11,0)+2,FALSE)</f>
        <v>5.652111562837181E-3</v>
      </c>
      <c r="Q87" s="87">
        <f>VLOOKUP($C$87,[3]ACHIEV!$B$9:$X$100,MATCH(Q$11,$E$11:$Y$11,0)+2,FALSE)</f>
        <v>2.6494272950797759E-3</v>
      </c>
      <c r="R87" s="87">
        <f>VLOOKUP($C$87,[3]ACHIEV!$B$9:$X$100,MATCH(R$11,$E$11:$Y$11,0)+2,FALSE)</f>
        <v>1.1688649831235187E-3</v>
      </c>
      <c r="S87" s="87">
        <f>VLOOKUP($C$87,[3]ACHIEV!$B$9:$X$100,MATCH(S$11,$E$11:$Y$11,0)+2,FALSE)</f>
        <v>4.8702707630143838E-4</v>
      </c>
      <c r="T87" s="87">
        <f>VLOOKUP($C$87,[3]ACHIEV!$B$9:$X$100,MATCH(T$11,$E$11:$Y$11,0)+2,FALSE)</f>
        <v>1.922475301190385E-4</v>
      </c>
      <c r="U87" s="87">
        <f>VLOOKUP($C$87,[3]ACHIEV!$B$9:$X$100,MATCH(U$11,$E$11:$Y$11,0)+2,FALSE)</f>
        <v>7.2092823794611682E-5</v>
      </c>
      <c r="V87" s="87">
        <f>VLOOKUP($C$87,[3]ACHIEV!$B$9:$X$100,MATCH(V$11,$E$11:$Y$11,0)+2,FALSE)</f>
        <v>2.5747437069512102E-5</v>
      </c>
      <c r="W87" s="87">
        <f>VLOOKUP($C$87,[3]ACHIEV!$B$9:$X$100,MATCH(W$11,$E$11:$Y$11,0)+2,FALSE)</f>
        <v>8.7775353646568632E-6</v>
      </c>
      <c r="X87" s="87">
        <f>VLOOKUP($C$87,[3]ACHIEV!$B$9:$X$100,MATCH(X$11,$E$11:$Y$11,0)+2,FALSE)</f>
        <v>2.8622397928446119E-6</v>
      </c>
      <c r="Y87" s="87"/>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row>
    <row r="88" spans="1:71">
      <c r="C88" s="57" t="str">
        <f>C23&amp;D23</f>
        <v>Multifamily - Low RiseWALL R0 - R11_Electric Zonal</v>
      </c>
      <c r="E88" s="60">
        <f t="shared" ref="E88:X88" si="13">E23*E$87*$Z$21</f>
        <v>397.26125526980297</v>
      </c>
      <c r="F88" s="60">
        <f t="shared" si="13"/>
        <v>452.98356131761329</v>
      </c>
      <c r="G88" s="60">
        <f t="shared" si="13"/>
        <v>494.32385990569776</v>
      </c>
      <c r="H88" s="60">
        <f t="shared" si="13"/>
        <v>515.86233087040341</v>
      </c>
      <c r="I88" s="60">
        <f t="shared" si="13"/>
        <v>494.27816192282336</v>
      </c>
      <c r="J88" s="60">
        <f t="shared" si="13"/>
        <v>410.96312189103611</v>
      </c>
      <c r="K88" s="60">
        <f t="shared" si="13"/>
        <v>307.52242463570065</v>
      </c>
      <c r="L88" s="60">
        <f t="shared" si="13"/>
        <v>209.19824811587671</v>
      </c>
      <c r="M88" s="60">
        <f t="shared" si="13"/>
        <v>130.45199813004331</v>
      </c>
      <c r="N88" s="60">
        <f t="shared" si="13"/>
        <v>75.08986465917431</v>
      </c>
      <c r="O88" s="60">
        <f t="shared" si="13"/>
        <v>40.135365673444824</v>
      </c>
      <c r="P88" s="60">
        <f t="shared" si="13"/>
        <v>20.022112785115652</v>
      </c>
      <c r="Q88" s="60">
        <f t="shared" si="13"/>
        <v>9.3640529131839241</v>
      </c>
      <c r="R88" s="60">
        <f t="shared" si="13"/>
        <v>4.1218186125212535</v>
      </c>
      <c r="S88" s="60">
        <f t="shared" si="13"/>
        <v>1.7135244639178546</v>
      </c>
      <c r="T88" s="60">
        <f t="shared" si="13"/>
        <v>0.67485527449200144</v>
      </c>
      <c r="U88" s="60">
        <f t="shared" si="13"/>
        <v>0.25249605041801954</v>
      </c>
      <c r="V88" s="60">
        <f t="shared" si="13"/>
        <v>8.9972384960590457E-2</v>
      </c>
      <c r="W88" s="60">
        <f t="shared" si="13"/>
        <v>3.0602752522792709E-2</v>
      </c>
      <c r="X88" s="60">
        <f t="shared" si="13"/>
        <v>9.9564975807183934E-3</v>
      </c>
      <c r="Y88" s="60"/>
      <c r="AA88" s="60">
        <f>SUM(E88:Y88)</f>
        <v>3564.3495841263302</v>
      </c>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row>
    <row r="89" spans="1:71">
      <c r="C89" s="57" t="str">
        <f>C24&amp;D24</f>
        <v>Multifamily - Low RiseFLOOR R0 - R19_Electric Zonal</v>
      </c>
      <c r="E89" s="60">
        <f t="shared" ref="E89:X89" si="14">E24*E$87*$Z$21</f>
        <v>97.969026979907127</v>
      </c>
      <c r="F89" s="60">
        <f t="shared" si="14"/>
        <v>111.71076502298163</v>
      </c>
      <c r="G89" s="60">
        <f t="shared" si="14"/>
        <v>121.90574068196662</v>
      </c>
      <c r="H89" s="60">
        <f t="shared" si="14"/>
        <v>127.21736625595844</v>
      </c>
      <c r="I89" s="60">
        <f t="shared" si="14"/>
        <v>121.89447105308194</v>
      </c>
      <c r="J89" s="60">
        <f t="shared" si="14"/>
        <v>101.34805909764793</v>
      </c>
      <c r="K89" s="60">
        <f t="shared" si="14"/>
        <v>75.838437089969872</v>
      </c>
      <c r="L89" s="60">
        <f t="shared" si="14"/>
        <v>51.59060578382941</v>
      </c>
      <c r="M89" s="60">
        <f t="shared" si="14"/>
        <v>32.170908073341309</v>
      </c>
      <c r="N89" s="60">
        <f t="shared" si="14"/>
        <v>18.517992578249331</v>
      </c>
      <c r="O89" s="60">
        <f t="shared" si="14"/>
        <v>9.89782585225859</v>
      </c>
      <c r="P89" s="60">
        <f t="shared" si="14"/>
        <v>4.9376748465126301</v>
      </c>
      <c r="Q89" s="60">
        <f t="shared" si="14"/>
        <v>2.3092791968095248</v>
      </c>
      <c r="R89" s="60">
        <f t="shared" si="14"/>
        <v>1.016486137270364</v>
      </c>
      <c r="S89" s="60">
        <f t="shared" si="14"/>
        <v>0.42257411768557063</v>
      </c>
      <c r="T89" s="60">
        <f t="shared" si="14"/>
        <v>0.1664267877050761</v>
      </c>
      <c r="U89" s="60">
        <f t="shared" si="14"/>
        <v>6.2268323546736955E-2</v>
      </c>
      <c r="V89" s="60">
        <f t="shared" si="14"/>
        <v>2.2188186974499289E-2</v>
      </c>
      <c r="W89" s="60">
        <f t="shared" si="14"/>
        <v>7.5469778333371656E-3</v>
      </c>
      <c r="X89" s="60">
        <f t="shared" si="14"/>
        <v>2.455382615775885E-3</v>
      </c>
      <c r="Y89" s="60"/>
      <c r="AA89" s="60">
        <f t="shared" ref="AA89:AA97" si="15">SUM(E89:Y89)</f>
        <v>879.00809842614581</v>
      </c>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row>
    <row r="90" spans="1:71">
      <c r="C90" s="57" t="str">
        <f>C25&amp;D25</f>
        <v>Multifamily - Low RiseFLOOR R0 - R30_Electric Zonal</v>
      </c>
      <c r="E90" s="60">
        <f t="shared" ref="E90:X90" si="16">E25*E$87*$Z$21</f>
        <v>1084.6822961796217</v>
      </c>
      <c r="F90" s="60">
        <f t="shared" si="16"/>
        <v>1236.8265037271551</v>
      </c>
      <c r="G90" s="60">
        <f t="shared" si="16"/>
        <v>1349.7020721407434</v>
      </c>
      <c r="H90" s="60">
        <f t="shared" si="16"/>
        <v>1408.5107221973119</v>
      </c>
      <c r="I90" s="60">
        <f t="shared" si="16"/>
        <v>1349.5772983493468</v>
      </c>
      <c r="J90" s="60">
        <f t="shared" si="16"/>
        <v>1122.093878486012</v>
      </c>
      <c r="K90" s="60">
        <f t="shared" si="16"/>
        <v>839.65935579102438</v>
      </c>
      <c r="L90" s="60">
        <f t="shared" si="16"/>
        <v>571.19498343470025</v>
      </c>
      <c r="M90" s="60">
        <f t="shared" si="16"/>
        <v>356.18618980805212</v>
      </c>
      <c r="N90" s="60">
        <f t="shared" si="16"/>
        <v>205.02539761400533</v>
      </c>
      <c r="O90" s="60">
        <f t="shared" si="16"/>
        <v>109.58561908362893</v>
      </c>
      <c r="P90" s="60">
        <f t="shared" si="16"/>
        <v>54.668385054004112</v>
      </c>
      <c r="Q90" s="60">
        <f t="shared" si="16"/>
        <v>25.567613958531137</v>
      </c>
      <c r="R90" s="60">
        <f t="shared" si="16"/>
        <v>11.254215249430841</v>
      </c>
      <c r="S90" s="60">
        <f t="shared" si="16"/>
        <v>4.6786079070813775</v>
      </c>
      <c r="T90" s="60">
        <f t="shared" si="16"/>
        <v>1.8426251214147911</v>
      </c>
      <c r="U90" s="60">
        <f t="shared" si="16"/>
        <v>0.68941532080116075</v>
      </c>
      <c r="V90" s="60">
        <f t="shared" si="16"/>
        <v>0.24566063721852302</v>
      </c>
      <c r="W90" s="60">
        <f t="shared" si="16"/>
        <v>8.3557768182792883E-2</v>
      </c>
      <c r="X90" s="60">
        <f t="shared" si="16"/>
        <v>2.7185225124523711E-2</v>
      </c>
      <c r="Y90" s="60"/>
      <c r="AA90" s="60">
        <f t="shared" si="15"/>
        <v>9732.1015830533888</v>
      </c>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row>
    <row r="91" spans="1:71">
      <c r="C91" s="57" t="str">
        <f t="shared" ref="C91:C100" si="17">C26&amp;D26</f>
        <v>Multifamily - Low RiseATTIC R0 - R19_Electric Zonal</v>
      </c>
      <c r="E91" s="60">
        <f t="shared" ref="E91:X91" si="18">E26*E$87*$Z$21</f>
        <v>247.19852007872638</v>
      </c>
      <c r="F91" s="60">
        <f t="shared" si="18"/>
        <v>281.87210429483008</v>
      </c>
      <c r="G91" s="60">
        <f t="shared" si="18"/>
        <v>307.59638647695897</v>
      </c>
      <c r="H91" s="60">
        <f t="shared" si="18"/>
        <v>320.99884663788708</v>
      </c>
      <c r="I91" s="60">
        <f t="shared" si="18"/>
        <v>307.56795059606873</v>
      </c>
      <c r="J91" s="60">
        <f t="shared" si="18"/>
        <v>255.72459984652201</v>
      </c>
      <c r="K91" s="60">
        <f t="shared" si="18"/>
        <v>191.3579219028997</v>
      </c>
      <c r="L91" s="60">
        <f t="shared" si="18"/>
        <v>130.1750338129132</v>
      </c>
      <c r="M91" s="60">
        <f t="shared" si="18"/>
        <v>81.174643767256711</v>
      </c>
      <c r="N91" s="60">
        <f t="shared" si="18"/>
        <v>46.725179388695118</v>
      </c>
      <c r="O91" s="60">
        <f t="shared" si="18"/>
        <v>24.974504474532456</v>
      </c>
      <c r="P91" s="60">
        <f t="shared" si="18"/>
        <v>12.458895962478115</v>
      </c>
      <c r="Q91" s="60">
        <f t="shared" si="18"/>
        <v>5.8268456623232812</v>
      </c>
      <c r="R91" s="60">
        <f t="shared" si="18"/>
        <v>2.5648296870939613</v>
      </c>
      <c r="S91" s="60">
        <f t="shared" si="18"/>
        <v>1.0662522608994642</v>
      </c>
      <c r="T91" s="60">
        <f t="shared" si="18"/>
        <v>0.41993328800324664</v>
      </c>
      <c r="U91" s="60">
        <f t="shared" si="18"/>
        <v>0.15711738600500363</v>
      </c>
      <c r="V91" s="60">
        <f t="shared" si="18"/>
        <v>5.5985928945188106E-2</v>
      </c>
      <c r="W91" s="60">
        <f t="shared" si="18"/>
        <v>1.9042771057127306E-2</v>
      </c>
      <c r="X91" s="60">
        <f t="shared" si="18"/>
        <v>6.1954983892135223E-3</v>
      </c>
      <c r="Y91" s="60"/>
      <c r="AA91" s="60">
        <f t="shared" si="15"/>
        <v>2217.9407897224855</v>
      </c>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row>
    <row r="92" spans="1:71">
      <c r="C92" s="57" t="str">
        <f t="shared" si="17"/>
        <v>Multifamily - Low RiseATTIC R0 - R38_Electric Zonal</v>
      </c>
      <c r="E92" s="60">
        <f t="shared" ref="E92:X92" si="19">E27*E$87*$Z$21</f>
        <v>49.105871707982402</v>
      </c>
      <c r="F92" s="60">
        <f t="shared" si="19"/>
        <v>55.993763179297261</v>
      </c>
      <c r="G92" s="60">
        <f t="shared" si="19"/>
        <v>61.103879939758684</v>
      </c>
      <c r="H92" s="60">
        <f t="shared" si="19"/>
        <v>63.766272453371947</v>
      </c>
      <c r="I92" s="60">
        <f t="shared" si="19"/>
        <v>61.09823116516872</v>
      </c>
      <c r="J92" s="60">
        <f t="shared" si="19"/>
        <v>50.799573511359121</v>
      </c>
      <c r="K92" s="60">
        <f t="shared" si="19"/>
        <v>38.013162701286696</v>
      </c>
      <c r="L92" s="60">
        <f t="shared" si="19"/>
        <v>25.859210273440894</v>
      </c>
      <c r="M92" s="60">
        <f t="shared" si="19"/>
        <v>16.125305448861887</v>
      </c>
      <c r="N92" s="60">
        <f t="shared" si="19"/>
        <v>9.2819352796408037</v>
      </c>
      <c r="O92" s="60">
        <f t="shared" si="19"/>
        <v>4.9611737655478203</v>
      </c>
      <c r="P92" s="60">
        <f t="shared" si="19"/>
        <v>2.4749539218993148</v>
      </c>
      <c r="Q92" s="60">
        <f t="shared" si="19"/>
        <v>1.1575001964620784</v>
      </c>
      <c r="R92" s="60">
        <f t="shared" si="19"/>
        <v>0.50950223135296058</v>
      </c>
      <c r="S92" s="60">
        <f t="shared" si="19"/>
        <v>0.21181051858805713</v>
      </c>
      <c r="T92" s="60">
        <f t="shared" si="19"/>
        <v>8.3419553482890318E-2</v>
      </c>
      <c r="U92" s="60">
        <f t="shared" si="19"/>
        <v>3.1211296078140383E-2</v>
      </c>
      <c r="V92" s="60">
        <f t="shared" si="19"/>
        <v>1.1121578896827798E-2</v>
      </c>
      <c r="W92" s="60">
        <f t="shared" si="19"/>
        <v>3.782837665039277E-3</v>
      </c>
      <c r="X92" s="60">
        <f t="shared" si="19"/>
        <v>1.2307328901922218E-3</v>
      </c>
      <c r="Y92" s="60"/>
      <c r="AA92" s="60">
        <f>SUM(E92:Y92)</f>
        <v>440.5929122930317</v>
      </c>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row>
    <row r="93" spans="1:71">
      <c r="C93" s="57" t="str">
        <f t="shared" si="17"/>
        <v>Multifamily - Low RiseATTIC R0 - R49_Electric Zonal</v>
      </c>
      <c r="E93" s="60">
        <f t="shared" ref="E93:X93" si="20">E28*E$87*$Z$21</f>
        <v>292.91472622933844</v>
      </c>
      <c r="F93" s="60">
        <f t="shared" si="20"/>
        <v>334.00074658583321</v>
      </c>
      <c r="G93" s="60">
        <f t="shared" si="20"/>
        <v>364.4824059033113</v>
      </c>
      <c r="H93" s="60">
        <f t="shared" si="20"/>
        <v>380.36347973655114</v>
      </c>
      <c r="I93" s="60">
        <f t="shared" si="20"/>
        <v>364.44871116976924</v>
      </c>
      <c r="J93" s="60">
        <f t="shared" si="20"/>
        <v>303.01759545443724</v>
      </c>
      <c r="K93" s="60">
        <f t="shared" si="20"/>
        <v>226.74712327627208</v>
      </c>
      <c r="L93" s="60">
        <f t="shared" si="20"/>
        <v>154.24924218422038</v>
      </c>
      <c r="M93" s="60">
        <f t="shared" si="20"/>
        <v>96.186856411104841</v>
      </c>
      <c r="N93" s="60">
        <f t="shared" si="20"/>
        <v>55.366403991001079</v>
      </c>
      <c r="O93" s="60">
        <f t="shared" si="20"/>
        <v>29.59321980787464</v>
      </c>
      <c r="P93" s="60">
        <f t="shared" si="20"/>
        <v>14.763009498628263</v>
      </c>
      <c r="Q93" s="60">
        <f t="shared" si="20"/>
        <v>6.9044462783048601</v>
      </c>
      <c r="R93" s="60">
        <f t="shared" si="20"/>
        <v>3.0391621494365952</v>
      </c>
      <c r="S93" s="60">
        <f t="shared" si="20"/>
        <v>1.2634419857906654</v>
      </c>
      <c r="T93" s="60">
        <f t="shared" si="20"/>
        <v>0.49759458127371908</v>
      </c>
      <c r="U93" s="60">
        <f t="shared" si="20"/>
        <v>0.18617423798843175</v>
      </c>
      <c r="V93" s="60">
        <f t="shared" si="20"/>
        <v>6.6339810790340792E-2</v>
      </c>
      <c r="W93" s="60">
        <f t="shared" si="20"/>
        <v>2.2564488125050242E-2</v>
      </c>
      <c r="X93" s="60">
        <f t="shared" si="20"/>
        <v>7.341276614248474E-3</v>
      </c>
      <c r="Y93" s="60"/>
      <c r="AA93" s="60">
        <f t="shared" ref="AA93:AA95" si="21">SUM(E93:Y93)</f>
        <v>2628.1205850566657</v>
      </c>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row>
    <row r="94" spans="1:71">
      <c r="C94" s="57" t="str">
        <f t="shared" si="17"/>
        <v>Multifamily - Low RiseATTIC R19 - R30_Electric Zonal</v>
      </c>
      <c r="E94" s="60">
        <f t="shared" ref="E94:X94" si="22">E29*E$87*$Z$21</f>
        <v>169.3449152463628</v>
      </c>
      <c r="F94" s="60">
        <f t="shared" si="22"/>
        <v>193.09827420050902</v>
      </c>
      <c r="G94" s="60">
        <f t="shared" si="22"/>
        <v>210.72085699153374</v>
      </c>
      <c r="H94" s="60">
        <f t="shared" si="22"/>
        <v>219.90229739547431</v>
      </c>
      <c r="I94" s="60">
        <f t="shared" si="22"/>
        <v>210.70137681083614</v>
      </c>
      <c r="J94" s="60">
        <f t="shared" si="22"/>
        <v>175.18576030967972</v>
      </c>
      <c r="K94" s="60">
        <f t="shared" si="22"/>
        <v>131.09095902372857</v>
      </c>
      <c r="L94" s="60">
        <f t="shared" si="22"/>
        <v>89.177233185779571</v>
      </c>
      <c r="M94" s="60">
        <f t="shared" si="22"/>
        <v>55.609204960215244</v>
      </c>
      <c r="N94" s="60">
        <f t="shared" si="22"/>
        <v>32.009380723354205</v>
      </c>
      <c r="O94" s="60">
        <f t="shared" si="22"/>
        <v>17.108942813301159</v>
      </c>
      <c r="P94" s="60">
        <f t="shared" si="22"/>
        <v>8.5350457606185302</v>
      </c>
      <c r="Q94" s="60">
        <f t="shared" si="22"/>
        <v>3.9917176062604227</v>
      </c>
      <c r="R94" s="60">
        <f t="shared" si="22"/>
        <v>1.7570528571285771</v>
      </c>
      <c r="S94" s="60">
        <f t="shared" si="22"/>
        <v>0.73044287925250284</v>
      </c>
      <c r="T94" s="60">
        <f t="shared" si="22"/>
        <v>0.28767796442870458</v>
      </c>
      <c r="U94" s="60">
        <f t="shared" si="22"/>
        <v>0.10763426256869886</v>
      </c>
      <c r="V94" s="60">
        <f t="shared" si="22"/>
        <v>3.8353515988656953E-2</v>
      </c>
      <c r="W94" s="60">
        <f t="shared" si="22"/>
        <v>1.3045371184657983E-2</v>
      </c>
      <c r="X94" s="60">
        <f t="shared" si="22"/>
        <v>4.2442654968007313E-3</v>
      </c>
      <c r="Y94" s="60"/>
      <c r="AA94" s="60">
        <f t="shared" si="21"/>
        <v>1519.4144161437021</v>
      </c>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row>
    <row r="95" spans="1:71">
      <c r="C95" s="57" t="str">
        <f t="shared" si="17"/>
        <v>Multifamily - Low RiseATTIC R19 - R38_Electric Zonal</v>
      </c>
      <c r="E95" s="60">
        <f t="shared" ref="E95:X95" si="23">E30*E$87*$Z$21</f>
        <v>45.904756132738342</v>
      </c>
      <c r="F95" s="60">
        <f t="shared" si="23"/>
        <v>52.343639452837898</v>
      </c>
      <c r="G95" s="60">
        <f t="shared" si="23"/>
        <v>57.120637712715407</v>
      </c>
      <c r="H95" s="60">
        <f t="shared" si="23"/>
        <v>59.609474074155635</v>
      </c>
      <c r="I95" s="60">
        <f t="shared" si="23"/>
        <v>57.11535717067467</v>
      </c>
      <c r="J95" s="60">
        <f t="shared" si="23"/>
        <v>47.488048833618123</v>
      </c>
      <c r="K95" s="60">
        <f t="shared" si="23"/>
        <v>35.535159094895249</v>
      </c>
      <c r="L95" s="60">
        <f t="shared" si="23"/>
        <v>24.173499015486236</v>
      </c>
      <c r="M95" s="60">
        <f t="shared" si="23"/>
        <v>15.074128377107984</v>
      </c>
      <c r="N95" s="60">
        <f t="shared" si="23"/>
        <v>8.6768641026386515</v>
      </c>
      <c r="O95" s="60">
        <f t="shared" si="23"/>
        <v>4.6377645670139147</v>
      </c>
      <c r="P95" s="60">
        <f t="shared" si="23"/>
        <v>2.3136165243164628</v>
      </c>
      <c r="Q95" s="60">
        <f t="shared" si="23"/>
        <v>1.0820450262682353</v>
      </c>
      <c r="R95" s="60">
        <f t="shared" si="23"/>
        <v>0.4762887790370241</v>
      </c>
      <c r="S95" s="60">
        <f t="shared" si="23"/>
        <v>0.19800300583103309</v>
      </c>
      <c r="T95" s="60">
        <f t="shared" si="23"/>
        <v>7.7981596215336568E-2</v>
      </c>
      <c r="U95" s="60">
        <f t="shared" si="23"/>
        <v>2.9176692831640063E-2</v>
      </c>
      <c r="V95" s="60">
        <f t="shared" si="23"/>
        <v>1.0396584956395333E-2</v>
      </c>
      <c r="W95" s="60">
        <f t="shared" si="23"/>
        <v>3.5362418884651954E-3</v>
      </c>
      <c r="X95" s="60">
        <f t="shared" si="23"/>
        <v>1.1505038241614268E-3</v>
      </c>
      <c r="Y95" s="60"/>
      <c r="AA95" s="60">
        <f t="shared" si="21"/>
        <v>411.87152348905079</v>
      </c>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row>
    <row r="96" spans="1:71">
      <c r="C96" s="57" t="str">
        <f t="shared" si="17"/>
        <v>Multifamily - Low RiseATTIC R19 - R49_Electric Zonal</v>
      </c>
      <c r="E96" s="60">
        <f t="shared" ref="E96:X96" si="24">E31*E$87*$Z$21</f>
        <v>674.27539122492544</v>
      </c>
      <c r="F96" s="60">
        <f t="shared" si="24"/>
        <v>768.85340307968056</v>
      </c>
      <c r="G96" s="60">
        <f t="shared" si="24"/>
        <v>839.02069383373237</v>
      </c>
      <c r="H96" s="60">
        <f t="shared" si="24"/>
        <v>875.57815002525092</v>
      </c>
      <c r="I96" s="60">
        <f t="shared" si="24"/>
        <v>838.94313020306834</v>
      </c>
      <c r="J96" s="60">
        <f t="shared" si="24"/>
        <v>697.53170266730126</v>
      </c>
      <c r="K96" s="60">
        <f t="shared" si="24"/>
        <v>521.96080143996949</v>
      </c>
      <c r="L96" s="60">
        <f t="shared" si="24"/>
        <v>355.07422060603841</v>
      </c>
      <c r="M96" s="60">
        <f t="shared" si="24"/>
        <v>221.41744483858386</v>
      </c>
      <c r="N96" s="60">
        <f t="shared" si="24"/>
        <v>127.45075740070564</v>
      </c>
      <c r="O96" s="60">
        <f t="shared" si="24"/>
        <v>68.122146402215563</v>
      </c>
      <c r="P96" s="60">
        <f t="shared" si="24"/>
        <v>33.983726709428353</v>
      </c>
      <c r="Q96" s="60">
        <f t="shared" si="24"/>
        <v>15.893698058220716</v>
      </c>
      <c r="R96" s="60">
        <f t="shared" si="24"/>
        <v>6.9960028083493917</v>
      </c>
      <c r="S96" s="60">
        <f t="shared" si="24"/>
        <v>2.9083817335697684</v>
      </c>
      <c r="T96" s="60">
        <f t="shared" si="24"/>
        <v>1.1454384191563207</v>
      </c>
      <c r="U96" s="60">
        <f t="shared" si="24"/>
        <v>0.42856400144718554</v>
      </c>
      <c r="V96" s="60">
        <f t="shared" si="24"/>
        <v>0.15271100381420241</v>
      </c>
      <c r="W96" s="60">
        <f t="shared" si="24"/>
        <v>5.1942349413993123E-2</v>
      </c>
      <c r="X96" s="60">
        <f t="shared" si="24"/>
        <v>1.6899260152892198E-2</v>
      </c>
      <c r="Y96" s="60"/>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row>
    <row r="97" spans="3:71">
      <c r="C97" s="57" t="str">
        <f t="shared" si="17"/>
        <v>Multifamily - Low RiseWINDOW CL22 Prime Window Replacement of Single Pane Base_Electric Zonal</v>
      </c>
      <c r="E97" s="60">
        <f t="shared" ref="E97:X97" si="25">E32*E$87*$Z$21</f>
        <v>145.64373356313905</v>
      </c>
      <c r="F97" s="60">
        <f t="shared" si="25"/>
        <v>166.07261905825035</v>
      </c>
      <c r="G97" s="60">
        <f t="shared" si="25"/>
        <v>181.22877977896903</v>
      </c>
      <c r="H97" s="60">
        <f t="shared" si="25"/>
        <v>189.12520381964347</v>
      </c>
      <c r="I97" s="60">
        <f t="shared" si="25"/>
        <v>181.21202600609578</v>
      </c>
      <c r="J97" s="60">
        <f t="shared" si="25"/>
        <v>150.66710542492618</v>
      </c>
      <c r="K97" s="60">
        <f t="shared" si="25"/>
        <v>112.74372590882012</v>
      </c>
      <c r="L97" s="60">
        <f t="shared" si="25"/>
        <v>76.696162805434795</v>
      </c>
      <c r="M97" s="60">
        <f t="shared" si="25"/>
        <v>47.82624987057315</v>
      </c>
      <c r="N97" s="60">
        <f t="shared" si="25"/>
        <v>27.529410675313493</v>
      </c>
      <c r="O97" s="60">
        <f t="shared" si="25"/>
        <v>14.714408785302668</v>
      </c>
      <c r="P97" s="60">
        <f t="shared" si="25"/>
        <v>7.3404975218789357</v>
      </c>
      <c r="Q97" s="60">
        <f t="shared" si="25"/>
        <v>3.4330446512651975</v>
      </c>
      <c r="R97" s="60">
        <f t="shared" si="25"/>
        <v>1.5111391907321114</v>
      </c>
      <c r="S97" s="60">
        <f t="shared" si="25"/>
        <v>0.62821152872630215</v>
      </c>
      <c r="T97" s="60">
        <f t="shared" si="25"/>
        <v>0.24741512163082408</v>
      </c>
      <c r="U97" s="60">
        <f t="shared" si="25"/>
        <v>9.256998261220141E-2</v>
      </c>
      <c r="V97" s="60">
        <f t="shared" si="25"/>
        <v>3.2985633231060491E-2</v>
      </c>
      <c r="W97" s="60">
        <f t="shared" si="25"/>
        <v>1.1219566659480122E-2</v>
      </c>
      <c r="X97" s="60">
        <f t="shared" si="25"/>
        <v>3.6502464351408775E-3</v>
      </c>
      <c r="Y97" s="60"/>
      <c r="AA97" s="60">
        <f t="shared" si="15"/>
        <v>1306.7601591396394</v>
      </c>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row>
    <row r="98" spans="3:71">
      <c r="C98" s="57" t="str">
        <f t="shared" si="17"/>
        <v>Multifamily - Low RiseWINDOW CL22 Prime Window Replacement of Double Pane Base_Electric Zonal</v>
      </c>
      <c r="E98" s="60">
        <f t="shared" ref="E98:X98" si="26">E33*E$87*$Z$21</f>
        <v>756.80729728756228</v>
      </c>
      <c r="F98" s="60">
        <f t="shared" si="26"/>
        <v>862.96174169728192</v>
      </c>
      <c r="G98" s="60">
        <f t="shared" si="26"/>
        <v>941.71757108784368</v>
      </c>
      <c r="H98" s="60">
        <f t="shared" si="26"/>
        <v>982.7496923487879</v>
      </c>
      <c r="I98" s="60">
        <f t="shared" si="26"/>
        <v>941.63051359997667</v>
      </c>
      <c r="J98" s="60">
        <f t="shared" si="26"/>
        <v>782.9102018820904</v>
      </c>
      <c r="K98" s="60">
        <f t="shared" si="26"/>
        <v>585.84926658855454</v>
      </c>
      <c r="L98" s="60">
        <f t="shared" si="26"/>
        <v>398.53562020878024</v>
      </c>
      <c r="M98" s="60">
        <f t="shared" si="26"/>
        <v>248.5191365151102</v>
      </c>
      <c r="N98" s="60">
        <f t="shared" si="26"/>
        <v>143.05084317322363</v>
      </c>
      <c r="O98" s="60">
        <f t="shared" si="26"/>
        <v>76.460357555731292</v>
      </c>
      <c r="P98" s="60">
        <f t="shared" si="26"/>
        <v>38.14336500698748</v>
      </c>
      <c r="Q98" s="60">
        <f t="shared" si="26"/>
        <v>17.839100800483067</v>
      </c>
      <c r="R98" s="60">
        <f t="shared" si="26"/>
        <v>7.8523197585256588</v>
      </c>
      <c r="S98" s="60">
        <f t="shared" si="26"/>
        <v>3.2643702379006325</v>
      </c>
      <c r="T98" s="60">
        <f t="shared" si="26"/>
        <v>1.2856410978253539</v>
      </c>
      <c r="U98" s="60">
        <f t="shared" si="26"/>
        <v>0.48102061542061192</v>
      </c>
      <c r="V98" s="60">
        <f t="shared" si="26"/>
        <v>0.17140296615710876</v>
      </c>
      <c r="W98" s="60">
        <f t="shared" si="26"/>
        <v>5.8300139062404485E-2</v>
      </c>
      <c r="X98" s="60">
        <f t="shared" si="26"/>
        <v>1.8967744587616749E-2</v>
      </c>
      <c r="Y98" s="60"/>
      <c r="AA98" s="60">
        <f>SUM(E98:Y98)</f>
        <v>6790.3067303118924</v>
      </c>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row>
    <row r="99" spans="3:71">
      <c r="C99" s="57" t="str">
        <f t="shared" si="17"/>
        <v>Multifamily - Low RiseWINDOW CL30 Prime Window Replacement of Single Pane Base_Electric Zonal</v>
      </c>
      <c r="E99" s="60">
        <f t="shared" ref="E99:X99" si="27">E34*E$87*$Z$21</f>
        <v>582.5749342525562</v>
      </c>
      <c r="F99" s="60">
        <f t="shared" si="27"/>
        <v>664.29047623300141</v>
      </c>
      <c r="G99" s="60">
        <f t="shared" si="27"/>
        <v>724.91511911587611</v>
      </c>
      <c r="H99" s="60">
        <f t="shared" si="27"/>
        <v>756.5008152785739</v>
      </c>
      <c r="I99" s="60">
        <f t="shared" si="27"/>
        <v>724.84810402438313</v>
      </c>
      <c r="J99" s="60">
        <f t="shared" si="27"/>
        <v>602.66842169970471</v>
      </c>
      <c r="K99" s="60">
        <f t="shared" si="27"/>
        <v>450.9749036352805</v>
      </c>
      <c r="L99" s="60">
        <f t="shared" si="27"/>
        <v>306.78465122173918</v>
      </c>
      <c r="M99" s="60">
        <f t="shared" si="27"/>
        <v>191.3049994822926</v>
      </c>
      <c r="N99" s="60">
        <f t="shared" si="27"/>
        <v>110.11764270125397</v>
      </c>
      <c r="O99" s="60">
        <f t="shared" si="27"/>
        <v>58.857635141210672</v>
      </c>
      <c r="P99" s="60">
        <f t="shared" si="27"/>
        <v>29.361990087515743</v>
      </c>
      <c r="Q99" s="60">
        <f t="shared" si="27"/>
        <v>13.73217860506079</v>
      </c>
      <c r="R99" s="60">
        <f t="shared" si="27"/>
        <v>6.0445567629284458</v>
      </c>
      <c r="S99" s="60">
        <f t="shared" si="27"/>
        <v>2.5128461149052086</v>
      </c>
      <c r="T99" s="60">
        <f t="shared" si="27"/>
        <v>0.9896604865232963</v>
      </c>
      <c r="U99" s="60">
        <f t="shared" si="27"/>
        <v>0.37027993044880564</v>
      </c>
      <c r="V99" s="60">
        <f t="shared" si="27"/>
        <v>0.13194253292424196</v>
      </c>
      <c r="W99" s="60">
        <f t="shared" si="27"/>
        <v>4.4878266637920487E-2</v>
      </c>
      <c r="X99" s="60">
        <f t="shared" si="27"/>
        <v>1.460098574056351E-2</v>
      </c>
      <c r="Y99" s="60"/>
      <c r="AA99" s="60">
        <f t="shared" ref="AA99:AA100" si="28">SUM(E99:Y99)</f>
        <v>5227.0406365585577</v>
      </c>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row>
    <row r="100" spans="3:71">
      <c r="C100" s="57" t="str">
        <f t="shared" si="17"/>
        <v>Multifamily - Low RiseWINDOW CL30 Prime Window Replacement of Double Pane Base_Electric Zonal</v>
      </c>
      <c r="E100" s="60">
        <f t="shared" ref="E100:X100" si="29">E35*E$87*$Z$21</f>
        <v>3027.2291891502491</v>
      </c>
      <c r="F100" s="60">
        <f t="shared" si="29"/>
        <v>3451.8469667891277</v>
      </c>
      <c r="G100" s="60">
        <f t="shared" si="29"/>
        <v>3766.8702843513747</v>
      </c>
      <c r="H100" s="60">
        <f t="shared" si="29"/>
        <v>3930.9987693951516</v>
      </c>
      <c r="I100" s="60">
        <f t="shared" si="29"/>
        <v>3766.5220543999067</v>
      </c>
      <c r="J100" s="60">
        <f t="shared" si="29"/>
        <v>3131.6408075283616</v>
      </c>
      <c r="K100" s="60">
        <f t="shared" si="29"/>
        <v>2343.3970663542182</v>
      </c>
      <c r="L100" s="60">
        <f t="shared" si="29"/>
        <v>1594.142480835121</v>
      </c>
      <c r="M100" s="60">
        <f t="shared" si="29"/>
        <v>994.07654606044082</v>
      </c>
      <c r="N100" s="60">
        <f t="shared" si="29"/>
        <v>572.2033726928945</v>
      </c>
      <c r="O100" s="60">
        <f t="shared" si="29"/>
        <v>305.84143022292517</v>
      </c>
      <c r="P100" s="60">
        <f t="shared" si="29"/>
        <v>152.57346002794992</v>
      </c>
      <c r="Q100" s="60">
        <f t="shared" si="29"/>
        <v>71.356403201932267</v>
      </c>
      <c r="R100" s="60">
        <f t="shared" si="29"/>
        <v>31.409279034102635</v>
      </c>
      <c r="S100" s="60">
        <f t="shared" si="29"/>
        <v>13.05748095160253</v>
      </c>
      <c r="T100" s="60">
        <f t="shared" si="29"/>
        <v>5.1425643913014154</v>
      </c>
      <c r="U100" s="60">
        <f t="shared" si="29"/>
        <v>1.9240824616824477</v>
      </c>
      <c r="V100" s="60">
        <f t="shared" si="29"/>
        <v>0.68561186462843504</v>
      </c>
      <c r="W100" s="60">
        <f t="shared" si="29"/>
        <v>0.23320055624961794</v>
      </c>
      <c r="X100" s="60">
        <f t="shared" si="29"/>
        <v>7.5870978350466994E-2</v>
      </c>
      <c r="Y100" s="60"/>
      <c r="AA100" s="60">
        <f t="shared" si="28"/>
        <v>27161.226921247569</v>
      </c>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row>
    <row r="101" spans="3:71">
      <c r="C101" s="57" t="str">
        <f t="shared" ref="C101:C113" si="30">C36&amp;D36</f>
        <v>Multifamily - Low RiseWALL R0 - R11_Electric FAF</v>
      </c>
      <c r="E101" s="60">
        <f t="shared" ref="E101:X101" si="31">E36*E$87*$Z$21</f>
        <v>122.25815672321016</v>
      </c>
      <c r="F101" s="60">
        <f t="shared" si="31"/>
        <v>139.40683743496271</v>
      </c>
      <c r="G101" s="60">
        <f t="shared" si="31"/>
        <v>152.12941895208988</v>
      </c>
      <c r="H101" s="60">
        <f t="shared" si="31"/>
        <v>158.75793790240357</v>
      </c>
      <c r="I101" s="60">
        <f t="shared" si="31"/>
        <v>152.11535528220494</v>
      </c>
      <c r="J101" s="60">
        <f t="shared" si="31"/>
        <v>126.47494085344594</v>
      </c>
      <c r="K101" s="60">
        <f t="shared" si="31"/>
        <v>94.640804478852843</v>
      </c>
      <c r="L101" s="60">
        <f t="shared" si="31"/>
        <v>64.381290309827975</v>
      </c>
      <c r="M101" s="60">
        <f t="shared" si="31"/>
        <v>40.146932580694262</v>
      </c>
      <c r="N101" s="60">
        <f t="shared" si="31"/>
        <v>23.109095891042958</v>
      </c>
      <c r="O101" s="60">
        <f t="shared" si="31"/>
        <v>12.351760363126338</v>
      </c>
      <c r="P101" s="60">
        <f t="shared" si="31"/>
        <v>6.1618558828496193</v>
      </c>
      <c r="Q101" s="60">
        <f t="shared" si="31"/>
        <v>2.8818109831701348</v>
      </c>
      <c r="R101" s="60">
        <f t="shared" si="31"/>
        <v>1.2685001097628383</v>
      </c>
      <c r="S101" s="60">
        <f t="shared" si="31"/>
        <v>0.52734149046688528</v>
      </c>
      <c r="T101" s="60">
        <f t="shared" si="31"/>
        <v>0.2076884186913551</v>
      </c>
      <c r="U101" s="60">
        <f t="shared" si="31"/>
        <v>7.7706298549130887E-2</v>
      </c>
      <c r="V101" s="60">
        <f t="shared" si="31"/>
        <v>2.7689229179428104E-2</v>
      </c>
      <c r="W101" s="60">
        <f t="shared" si="31"/>
        <v>9.4180745402724485E-3</v>
      </c>
      <c r="X101" s="60">
        <f t="shared" si="31"/>
        <v>3.0641373290003293E-3</v>
      </c>
      <c r="Y101" s="60"/>
      <c r="AA101" s="60">
        <f t="shared" ref="AA101:AA102" si="32">SUM(E101:Y101)</f>
        <v>1096.9376053963997</v>
      </c>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row>
    <row r="102" spans="3:71">
      <c r="C102" s="57" t="str">
        <f t="shared" si="30"/>
        <v>Multifamily - Low RiseFLOOR R0 - R19_Electric FAF</v>
      </c>
      <c r="E102" s="60">
        <f t="shared" ref="E102:X102" si="33">E37*E$87*$Z$21</f>
        <v>30.150215999280562</v>
      </c>
      <c r="F102" s="60">
        <f t="shared" si="33"/>
        <v>34.379270660497113</v>
      </c>
      <c r="G102" s="60">
        <f t="shared" si="33"/>
        <v>37.516800221639407</v>
      </c>
      <c r="H102" s="60">
        <f t="shared" si="33"/>
        <v>39.151466435033576</v>
      </c>
      <c r="I102" s="60">
        <f t="shared" si="33"/>
        <v>37.513331964828254</v>
      </c>
      <c r="J102" s="60">
        <f t="shared" si="33"/>
        <v>31.190121685383634</v>
      </c>
      <c r="K102" s="60">
        <f t="shared" si="33"/>
        <v>23.339470951154777</v>
      </c>
      <c r="L102" s="60">
        <f t="shared" si="33"/>
        <v>15.877139498743892</v>
      </c>
      <c r="M102" s="60">
        <f t="shared" si="33"/>
        <v>9.9006783797411018</v>
      </c>
      <c r="N102" s="60">
        <f t="shared" si="33"/>
        <v>5.6989590824638885</v>
      </c>
      <c r="O102" s="60">
        <f t="shared" si="33"/>
        <v>3.0460809560767013</v>
      </c>
      <c r="P102" s="60">
        <f t="shared" si="33"/>
        <v>1.5195819305942788</v>
      </c>
      <c r="Q102" s="60">
        <f t="shared" si="33"/>
        <v>0.7106865172880813</v>
      </c>
      <c r="R102" s="60">
        <f t="shared" si="33"/>
        <v>0.31282618133240614</v>
      </c>
      <c r="S102" s="60">
        <f t="shared" si="33"/>
        <v>0.13004825419505697</v>
      </c>
      <c r="T102" s="60">
        <f t="shared" si="33"/>
        <v>5.1218265119684976E-2</v>
      </c>
      <c r="U102" s="60">
        <f t="shared" si="33"/>
        <v>1.9163234164122616E-2</v>
      </c>
      <c r="V102" s="60">
        <f t="shared" si="33"/>
        <v>6.8284706966700867E-3</v>
      </c>
      <c r="W102" s="60">
        <f t="shared" si="33"/>
        <v>2.3226015285786766E-3</v>
      </c>
      <c r="X102" s="60">
        <f t="shared" si="33"/>
        <v>7.5565021424275859E-4</v>
      </c>
      <c r="Y102" s="60"/>
      <c r="AA102" s="60">
        <f t="shared" si="32"/>
        <v>270.51696693997604</v>
      </c>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row>
    <row r="103" spans="3:71">
      <c r="C103" s="57" t="str">
        <f t="shared" si="30"/>
        <v>Multifamily - Low RiseFLOOR R0 - R30_Electric FAF</v>
      </c>
      <c r="E103" s="60">
        <f t="shared" ref="E103:X103" si="34">E38*E$87*$Z$21</f>
        <v>333.81372183188552</v>
      </c>
      <c r="F103" s="60">
        <f t="shared" si="34"/>
        <v>380.63648676082892</v>
      </c>
      <c r="G103" s="60">
        <f t="shared" si="34"/>
        <v>415.37422861274337</v>
      </c>
      <c r="H103" s="60">
        <f t="shared" si="34"/>
        <v>433.47273950430599</v>
      </c>
      <c r="I103" s="60">
        <f t="shared" si="34"/>
        <v>415.33582916265556</v>
      </c>
      <c r="J103" s="60">
        <f t="shared" si="34"/>
        <v>345.32723097027741</v>
      </c>
      <c r="K103" s="60">
        <f t="shared" si="34"/>
        <v>258.40729180772911</v>
      </c>
      <c r="L103" s="60">
        <f t="shared" si="34"/>
        <v>175.78670176844517</v>
      </c>
      <c r="M103" s="60">
        <f t="shared" si="34"/>
        <v>109.61720137198093</v>
      </c>
      <c r="N103" s="60">
        <f t="shared" si="34"/>
        <v>63.097085006962878</v>
      </c>
      <c r="O103" s="60">
        <f t="shared" si="34"/>
        <v>33.725251619207476</v>
      </c>
      <c r="P103" s="60">
        <f t="shared" si="34"/>
        <v>16.824333858578733</v>
      </c>
      <c r="Q103" s="60">
        <f t="shared" si="34"/>
        <v>7.8684979038735889</v>
      </c>
      <c r="R103" s="60">
        <f t="shared" si="34"/>
        <v>3.463513225892596</v>
      </c>
      <c r="S103" s="60">
        <f t="shared" si="34"/>
        <v>1.4398534243213037</v>
      </c>
      <c r="T103" s="60">
        <f t="shared" si="34"/>
        <v>0.56707254454768274</v>
      </c>
      <c r="U103" s="60">
        <f t="shared" si="34"/>
        <v>0.21216930979248555</v>
      </c>
      <c r="V103" s="60">
        <f t="shared" si="34"/>
        <v>7.5602682837489471E-2</v>
      </c>
      <c r="W103" s="60">
        <f t="shared" si="34"/>
        <v>2.5715114631542763E-2</v>
      </c>
      <c r="X103" s="60">
        <f t="shared" si="34"/>
        <v>8.3663218341605249E-3</v>
      </c>
      <c r="Y103" s="60"/>
      <c r="AA103" s="60">
        <f>SUM(E103:Y103)</f>
        <v>2995.0788928033326</v>
      </c>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row>
    <row r="104" spans="3:71">
      <c r="C104" s="57" t="str">
        <f t="shared" si="30"/>
        <v>Multifamily - Low RiseATTIC R0 - R19_Electric FAF</v>
      </c>
      <c r="E104" s="60">
        <f t="shared" ref="E104:X104" si="35">E39*E$87*$Z$21</f>
        <v>76.075970179888358</v>
      </c>
      <c r="F104" s="60">
        <f t="shared" si="35"/>
        <v>86.746853476495758</v>
      </c>
      <c r="G104" s="60">
        <f t="shared" si="35"/>
        <v>94.66356642268741</v>
      </c>
      <c r="H104" s="60">
        <f t="shared" si="35"/>
        <v>98.788207457007474</v>
      </c>
      <c r="I104" s="60">
        <f t="shared" si="35"/>
        <v>94.654815208376121</v>
      </c>
      <c r="J104" s="60">
        <f t="shared" si="35"/>
        <v>78.699892806769753</v>
      </c>
      <c r="K104" s="60">
        <f t="shared" si="35"/>
        <v>58.890884766357566</v>
      </c>
      <c r="L104" s="60">
        <f t="shared" si="35"/>
        <v>40.061696111138637</v>
      </c>
      <c r="M104" s="60">
        <f t="shared" si="35"/>
        <v>24.981702061299401</v>
      </c>
      <c r="N104" s="60">
        <f t="shared" si="35"/>
        <v>14.37979221191225</v>
      </c>
      <c r="O104" s="60">
        <f t="shared" si="35"/>
        <v>7.6859669590939745</v>
      </c>
      <c r="P104" s="60">
        <f t="shared" si="35"/>
        <v>3.8342567642150907</v>
      </c>
      <c r="Q104" s="60">
        <f t="shared" si="35"/>
        <v>1.7932264995297844</v>
      </c>
      <c r="R104" s="60">
        <f t="shared" si="35"/>
        <v>0.78933282743647193</v>
      </c>
      <c r="S104" s="60">
        <f t="shared" si="35"/>
        <v>0.32814183183051726</v>
      </c>
      <c r="T104" s="60">
        <f t="shared" si="35"/>
        <v>0.12923553217674283</v>
      </c>
      <c r="U104" s="60">
        <f t="shared" si="35"/>
        <v>4.8353273185664646E-2</v>
      </c>
      <c r="V104" s="60">
        <f t="shared" si="35"/>
        <v>1.7229811325614075E-2</v>
      </c>
      <c r="W104" s="60">
        <f t="shared" si="35"/>
        <v>5.8604609874811755E-3</v>
      </c>
      <c r="X104" s="60">
        <f t="shared" si="35"/>
        <v>1.9066803092399106E-3</v>
      </c>
      <c r="Y104" s="60"/>
      <c r="AA104" s="60">
        <f t="shared" ref="AA104:AA106" si="36">SUM(E104:Y104)</f>
        <v>682.57689134202326</v>
      </c>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row>
    <row r="105" spans="3:71">
      <c r="C105" s="57" t="str">
        <f t="shared" si="30"/>
        <v>Multifamily - Low RiseATTIC R0 - R38_Electric FAF</v>
      </c>
      <c r="E105" s="60">
        <f t="shared" ref="E105:X105" si="37">E40*E$87*$Z$21</f>
        <v>15.112456298379715</v>
      </c>
      <c r="F105" s="60">
        <f t="shared" si="37"/>
        <v>17.232222330988542</v>
      </c>
      <c r="G105" s="60">
        <f t="shared" si="37"/>
        <v>18.804873697027471</v>
      </c>
      <c r="H105" s="60">
        <f t="shared" si="37"/>
        <v>19.624231731243437</v>
      </c>
      <c r="I105" s="60">
        <f t="shared" si="37"/>
        <v>18.803135272351135</v>
      </c>
      <c r="J105" s="60">
        <f t="shared" si="37"/>
        <v>15.633697314896622</v>
      </c>
      <c r="K105" s="60">
        <f t="shared" si="37"/>
        <v>11.698647027439073</v>
      </c>
      <c r="L105" s="60">
        <f t="shared" si="37"/>
        <v>7.9582374077774745</v>
      </c>
      <c r="M105" s="60">
        <f t="shared" si="37"/>
        <v>4.9626035628308793</v>
      </c>
      <c r="N105" s="60">
        <f t="shared" si="37"/>
        <v>2.8565390736187357</v>
      </c>
      <c r="O105" s="60">
        <f t="shared" si="37"/>
        <v>1.5268137823999104</v>
      </c>
      <c r="P105" s="60">
        <f t="shared" si="37"/>
        <v>0.76167333323454456</v>
      </c>
      <c r="Q105" s="60">
        <f t="shared" si="37"/>
        <v>0.35622361493596227</v>
      </c>
      <c r="R105" s="60">
        <f t="shared" si="37"/>
        <v>0.15680060117936812</v>
      </c>
      <c r="S105" s="60">
        <f t="shared" si="37"/>
        <v>6.5185223158940916E-2</v>
      </c>
      <c r="T105" s="60">
        <f t="shared" si="37"/>
        <v>2.5672578707845242E-2</v>
      </c>
      <c r="U105" s="60">
        <f t="shared" si="37"/>
        <v>9.6053553595712403E-3</v>
      </c>
      <c r="V105" s="60">
        <f t="shared" si="37"/>
        <v>3.4226940526945336E-3</v>
      </c>
      <c r="W105" s="60">
        <f t="shared" si="37"/>
        <v>1.1641778652608237E-3</v>
      </c>
      <c r="X105" s="60">
        <f t="shared" si="37"/>
        <v>3.7876116177335028E-4</v>
      </c>
      <c r="Y105" s="60"/>
      <c r="AA105" s="60">
        <f t="shared" si="36"/>
        <v>135.59358383860899</v>
      </c>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row>
    <row r="106" spans="3:71">
      <c r="C106" s="57" t="str">
        <f t="shared" si="30"/>
        <v>Multifamily - Low RiseATTIC R0 - R49_Electric FAF</v>
      </c>
      <c r="E106" s="60">
        <f t="shared" ref="E106:X106" si="38">E41*E$87*$Z$21</f>
        <v>90.145248324207202</v>
      </c>
      <c r="F106" s="60">
        <f t="shared" si="38"/>
        <v>102.78957507201919</v>
      </c>
      <c r="G106" s="60">
        <f t="shared" si="38"/>
        <v>112.17038287188575</v>
      </c>
      <c r="H106" s="60">
        <f t="shared" si="38"/>
        <v>117.0578235368921</v>
      </c>
      <c r="I106" s="60">
        <f t="shared" si="38"/>
        <v>112.16001323236142</v>
      </c>
      <c r="J106" s="60">
        <f t="shared" si="38"/>
        <v>93.254431897212243</v>
      </c>
      <c r="K106" s="60">
        <f t="shared" si="38"/>
        <v>69.782001054243594</v>
      </c>
      <c r="L106" s="60">
        <f t="shared" si="38"/>
        <v>47.470594665938684</v>
      </c>
      <c r="M106" s="60">
        <f t="shared" si="38"/>
        <v>29.601748496301575</v>
      </c>
      <c r="N106" s="60">
        <f t="shared" si="38"/>
        <v>17.039150953030052</v>
      </c>
      <c r="O106" s="60">
        <f t="shared" si="38"/>
        <v>9.1073882922671245</v>
      </c>
      <c r="P106" s="60">
        <f t="shared" si="38"/>
        <v>4.5433535363616677</v>
      </c>
      <c r="Q106" s="60">
        <f t="shared" si="38"/>
        <v>2.1248608163579581</v>
      </c>
      <c r="R106" s="60">
        <f t="shared" si="38"/>
        <v>0.93530984319303467</v>
      </c>
      <c r="S106" s="60">
        <f t="shared" si="38"/>
        <v>0.38882746872602064</v>
      </c>
      <c r="T106" s="60">
        <f t="shared" si="38"/>
        <v>0.1531359917308471</v>
      </c>
      <c r="U106" s="60">
        <f t="shared" si="38"/>
        <v>5.7295592922484706E-2</v>
      </c>
      <c r="V106" s="60">
        <f t="shared" si="38"/>
        <v>2.0416244667719307E-2</v>
      </c>
      <c r="W106" s="60">
        <f t="shared" si="38"/>
        <v>6.9442783281189104E-3</v>
      </c>
      <c r="X106" s="60">
        <f t="shared" si="38"/>
        <v>2.2592964578024674E-3</v>
      </c>
      <c r="Y106" s="60"/>
      <c r="AA106" s="60">
        <f t="shared" si="36"/>
        <v>808.81076146510463</v>
      </c>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row>
    <row r="107" spans="3:71">
      <c r="C107" s="57" t="str">
        <f t="shared" si="30"/>
        <v>Multifamily - Low RiseATTIC R19 - R30_Electric FAF</v>
      </c>
      <c r="E107" s="60">
        <f t="shared" ref="E107:X107" si="39">E42*E$87*$Z$21</f>
        <v>52.116326255897846</v>
      </c>
      <c r="F107" s="60">
        <f t="shared" si="39"/>
        <v>59.42648259054058</v>
      </c>
      <c r="G107" s="60">
        <f t="shared" si="39"/>
        <v>64.849877044826329</v>
      </c>
      <c r="H107" s="60">
        <f t="shared" si="39"/>
        <v>67.675488566109507</v>
      </c>
      <c r="I107" s="60">
        <f t="shared" si="39"/>
        <v>64.84388196991496</v>
      </c>
      <c r="J107" s="60">
        <f t="shared" si="39"/>
        <v>53.913861106513984</v>
      </c>
      <c r="K107" s="60">
        <f t="shared" si="39"/>
        <v>40.343574412848575</v>
      </c>
      <c r="L107" s="60">
        <f t="shared" si="39"/>
        <v>27.444519208309611</v>
      </c>
      <c r="M107" s="60">
        <f t="shared" si="39"/>
        <v>17.113873565801775</v>
      </c>
      <c r="N107" s="60">
        <f t="shared" si="39"/>
        <v>9.8509679289789283</v>
      </c>
      <c r="O107" s="60">
        <f t="shared" si="39"/>
        <v>5.2653204511887637</v>
      </c>
      <c r="P107" s="60">
        <f t="shared" si="39"/>
        <v>2.6266819338643641</v>
      </c>
      <c r="Q107" s="60">
        <f t="shared" si="39"/>
        <v>1.2284611958182068</v>
      </c>
      <c r="R107" s="60">
        <f t="shared" si="39"/>
        <v>0.5407374636418979</v>
      </c>
      <c r="S107" s="60">
        <f t="shared" si="39"/>
        <v>0.22479564474102773</v>
      </c>
      <c r="T107" s="60">
        <f t="shared" si="39"/>
        <v>8.8533621626533915E-2</v>
      </c>
      <c r="U107" s="60">
        <f t="shared" si="39"/>
        <v>3.3124716713121172E-2</v>
      </c>
      <c r="V107" s="60">
        <f t="shared" si="39"/>
        <v>1.1803391613014913E-2</v>
      </c>
      <c r="W107" s="60">
        <f t="shared" si="39"/>
        <v>4.0147459981295566E-3</v>
      </c>
      <c r="X107" s="60">
        <f t="shared" si="39"/>
        <v>1.3061834482961726E-3</v>
      </c>
      <c r="Y107" s="60"/>
      <c r="AA107" s="60">
        <f>SUM(E107:Y107)</f>
        <v>467.60363199839549</v>
      </c>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row>
    <row r="108" spans="3:71">
      <c r="C108" s="57" t="str">
        <f t="shared" si="30"/>
        <v>Multifamily - Low RiseATTIC R19 - R38_Electric FAF</v>
      </c>
      <c r="E108" s="60">
        <f t="shared" ref="E108:X108" si="40">E43*E$87*$Z$21</f>
        <v>14.127304878512447</v>
      </c>
      <c r="F108" s="60">
        <f t="shared" si="40"/>
        <v>16.108887516206526</v>
      </c>
      <c r="G108" s="60">
        <f t="shared" si="40"/>
        <v>17.579020820613369</v>
      </c>
      <c r="H108" s="60">
        <f t="shared" si="40"/>
        <v>18.344966509751188</v>
      </c>
      <c r="I108" s="60">
        <f t="shared" si="40"/>
        <v>17.577395720436002</v>
      </c>
      <c r="J108" s="60">
        <f t="shared" si="40"/>
        <v>14.61456721430558</v>
      </c>
      <c r="K108" s="60">
        <f t="shared" si="40"/>
        <v>10.936035146083741</v>
      </c>
      <c r="L108" s="60">
        <f t="shared" si="40"/>
        <v>7.4394555018371857</v>
      </c>
      <c r="M108" s="60">
        <f t="shared" si="40"/>
        <v>4.6391011586131512</v>
      </c>
      <c r="N108" s="60">
        <f t="shared" si="40"/>
        <v>2.6703268875438919</v>
      </c>
      <c r="O108" s="60">
        <f t="shared" si="40"/>
        <v>1.4272837830466318</v>
      </c>
      <c r="P108" s="60">
        <f t="shared" si="40"/>
        <v>0.71202134080552459</v>
      </c>
      <c r="Q108" s="60">
        <f t="shared" si="40"/>
        <v>0.33300209534208669</v>
      </c>
      <c r="R108" s="60">
        <f t="shared" si="40"/>
        <v>0.14657907717043142</v>
      </c>
      <c r="S108" s="60">
        <f t="shared" si="40"/>
        <v>6.093592616303959E-2</v>
      </c>
      <c r="T108" s="60">
        <f t="shared" si="40"/>
        <v>2.3999033596029142E-2</v>
      </c>
      <c r="U108" s="60">
        <f t="shared" si="40"/>
        <v>8.9792010611580986E-3</v>
      </c>
      <c r="V108" s="60">
        <f t="shared" si="40"/>
        <v>3.1995753326658919E-3</v>
      </c>
      <c r="W108" s="60">
        <f t="shared" si="40"/>
        <v>1.088287390919951E-3</v>
      </c>
      <c r="X108" s="60">
        <f t="shared" si="40"/>
        <v>3.5407046365357501E-4</v>
      </c>
      <c r="Y108" s="60"/>
      <c r="AA108" s="60">
        <f t="shared" ref="AA108:AA110" si="41">SUM(E108:Y108)</f>
        <v>126.75450374427521</v>
      </c>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row>
    <row r="109" spans="3:71">
      <c r="C109" s="57" t="str">
        <f t="shared" si="30"/>
        <v>Multifamily - Low RiseATTIC R19 - R49_Electric FAF</v>
      </c>
      <c r="E109" s="60">
        <f t="shared" ref="E109:X109" si="42">E44*E$87*$Z$21</f>
        <v>207.50995814830711</v>
      </c>
      <c r="F109" s="60">
        <f t="shared" si="42"/>
        <v>236.61658066062645</v>
      </c>
      <c r="G109" s="60">
        <f t="shared" si="42"/>
        <v>258.2107419740064</v>
      </c>
      <c r="H109" s="60">
        <f t="shared" si="42"/>
        <v>269.46139163887017</v>
      </c>
      <c r="I109" s="60">
        <f t="shared" si="42"/>
        <v>258.18687157036658</v>
      </c>
      <c r="J109" s="60">
        <f t="shared" si="42"/>
        <v>214.66714685324325</v>
      </c>
      <c r="K109" s="60">
        <f t="shared" si="42"/>
        <v>160.63475765458281</v>
      </c>
      <c r="L109" s="60">
        <f t="shared" si="42"/>
        <v>109.27499003581919</v>
      </c>
      <c r="M109" s="60">
        <f t="shared" si="42"/>
        <v>68.141779026357526</v>
      </c>
      <c r="N109" s="60">
        <f t="shared" si="42"/>
        <v>39.2232931505106</v>
      </c>
      <c r="O109" s="60">
        <f t="shared" si="42"/>
        <v>20.96476296312154</v>
      </c>
      <c r="P109" s="60">
        <f t="shared" si="42"/>
        <v>10.458577902993028</v>
      </c>
      <c r="Q109" s="60">
        <f t="shared" si="42"/>
        <v>4.891325802194415</v>
      </c>
      <c r="R109" s="60">
        <f t="shared" si="42"/>
        <v>2.1530375701962234</v>
      </c>
      <c r="S109" s="60">
        <f t="shared" si="42"/>
        <v>0.89506183922266491</v>
      </c>
      <c r="T109" s="60">
        <f t="shared" si="42"/>
        <v>0.35251157244340597</v>
      </c>
      <c r="U109" s="60">
        <f t="shared" si="42"/>
        <v>0.13189165608227088</v>
      </c>
      <c r="V109" s="60">
        <f t="shared" si="42"/>
        <v>4.6997197914494637E-2</v>
      </c>
      <c r="W109" s="60">
        <f t="shared" si="42"/>
        <v>1.5985389491141817E-2</v>
      </c>
      <c r="X109" s="60">
        <f t="shared" si="42"/>
        <v>5.2007900817697562E-3</v>
      </c>
      <c r="Y109" s="60"/>
      <c r="AA109" s="60">
        <f t="shared" si="41"/>
        <v>1861.8428633964309</v>
      </c>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row>
    <row r="110" spans="3:71">
      <c r="C110" s="57" t="str">
        <f t="shared" si="30"/>
        <v>Multifamily - Low RiseWINDOW CL22 Prime Window Replacement of Single Pane Base_Electric FAF</v>
      </c>
      <c r="E110" s="60">
        <f t="shared" ref="E110:X110" si="43">E45*E$87*$Z$21</f>
        <v>44.822227608435028</v>
      </c>
      <c r="F110" s="60">
        <f t="shared" si="43"/>
        <v>51.109268822271929</v>
      </c>
      <c r="G110" s="60">
        <f t="shared" si="43"/>
        <v>55.773615642243918</v>
      </c>
      <c r="H110" s="60">
        <f t="shared" si="43"/>
        <v>58.203760125531225</v>
      </c>
      <c r="I110" s="60">
        <f t="shared" si="43"/>
        <v>55.768459626240663</v>
      </c>
      <c r="J110" s="60">
        <f t="shared" si="43"/>
        <v>46.36818301236746</v>
      </c>
      <c r="K110" s="60">
        <f t="shared" si="43"/>
        <v>34.697166987396699</v>
      </c>
      <c r="L110" s="60">
        <f t="shared" si="43"/>
        <v>23.603438210875641</v>
      </c>
      <c r="M110" s="60">
        <f t="shared" si="43"/>
        <v>14.718649439369077</v>
      </c>
      <c r="N110" s="60">
        <f t="shared" si="43"/>
        <v>8.4722458085026577</v>
      </c>
      <c r="O110" s="60">
        <f t="shared" si="43"/>
        <v>4.5283965438339546</v>
      </c>
      <c r="P110" s="60">
        <f t="shared" si="43"/>
        <v>2.2590566901539657</v>
      </c>
      <c r="Q110" s="60">
        <f t="shared" si="43"/>
        <v>1.0565281799935524</v>
      </c>
      <c r="R110" s="60">
        <f t="shared" si="43"/>
        <v>0.46505691043451419</v>
      </c>
      <c r="S110" s="60">
        <f t="shared" si="43"/>
        <v>0.19333368788301716</v>
      </c>
      <c r="T110" s="60">
        <f t="shared" si="43"/>
        <v>7.6142629855735319E-2</v>
      </c>
      <c r="U110" s="60">
        <f t="shared" si="43"/>
        <v>2.8488646430875914E-2</v>
      </c>
      <c r="V110" s="60">
        <f t="shared" si="43"/>
        <v>1.0151412108987174E-2</v>
      </c>
      <c r="W110" s="60">
        <f t="shared" si="43"/>
        <v>3.4528500346444179E-3</v>
      </c>
      <c r="X110" s="60">
        <f t="shared" si="43"/>
        <v>1.1233725786893144E-3</v>
      </c>
      <c r="Y110" s="60"/>
      <c r="AA110" s="60">
        <f t="shared" si="41"/>
        <v>402.15874620654222</v>
      </c>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row>
    <row r="111" spans="3:71">
      <c r="C111" s="57" t="str">
        <f t="shared" si="30"/>
        <v>Multifamily - Low RiseWINDOW CL22 Prime Window Replacement of Double Pane Base_Electric FAF</v>
      </c>
      <c r="E111" s="60">
        <f t="shared" ref="E111:X111" si="44">E46*E$87*$Z$21</f>
        <v>232.90936111605509</v>
      </c>
      <c r="F111" s="60">
        <f t="shared" si="44"/>
        <v>265.57866004553296</v>
      </c>
      <c r="G111" s="60">
        <f t="shared" si="44"/>
        <v>289.81596586071601</v>
      </c>
      <c r="H111" s="60">
        <f t="shared" si="44"/>
        <v>302.44370502546104</v>
      </c>
      <c r="I111" s="60">
        <f t="shared" si="44"/>
        <v>289.78917369849438</v>
      </c>
      <c r="J111" s="60">
        <f t="shared" si="44"/>
        <v>240.94259606790419</v>
      </c>
      <c r="K111" s="60">
        <f t="shared" si="44"/>
        <v>180.29659449703109</v>
      </c>
      <c r="L111" s="60">
        <f t="shared" si="44"/>
        <v>122.65034575842388</v>
      </c>
      <c r="M111" s="60">
        <f t="shared" si="44"/>
        <v>76.48239323048513</v>
      </c>
      <c r="N111" s="60">
        <f t="shared" si="44"/>
        <v>44.024259028687446</v>
      </c>
      <c r="O111" s="60">
        <f t="shared" si="44"/>
        <v>23.530868548488538</v>
      </c>
      <c r="P111" s="60">
        <f t="shared" si="44"/>
        <v>11.738717116542729</v>
      </c>
      <c r="Q111" s="60">
        <f t="shared" si="44"/>
        <v>5.4900284196740428</v>
      </c>
      <c r="R111" s="60">
        <f t="shared" si="44"/>
        <v>2.4165712788341054</v>
      </c>
      <c r="S111" s="60">
        <f t="shared" si="44"/>
        <v>1.004618202388726</v>
      </c>
      <c r="T111" s="60">
        <f t="shared" si="44"/>
        <v>0.39565930163761376</v>
      </c>
      <c r="U111" s="60">
        <f t="shared" si="44"/>
        <v>0.14803531179311161</v>
      </c>
      <c r="V111" s="60">
        <f t="shared" si="44"/>
        <v>5.2749696632325413E-2</v>
      </c>
      <c r="W111" s="60">
        <f t="shared" si="44"/>
        <v>1.794201534613685E-2</v>
      </c>
      <c r="X111" s="60">
        <f t="shared" si="44"/>
        <v>5.8373714016075632E-3</v>
      </c>
      <c r="Y111" s="60"/>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row>
    <row r="112" spans="3:71">
      <c r="C112" s="57" t="str">
        <f t="shared" si="30"/>
        <v>Multifamily - Low RiseWINDOW CL30 Prime Window Replacement of Single Pane Base_Electric FAF</v>
      </c>
      <c r="E112" s="60">
        <f t="shared" ref="E112:X112" si="45">E47*E$87*$Z$21</f>
        <v>179.28891043374011</v>
      </c>
      <c r="F112" s="60">
        <f t="shared" si="45"/>
        <v>204.43707528908772</v>
      </c>
      <c r="G112" s="60">
        <f t="shared" si="45"/>
        <v>223.09446256897567</v>
      </c>
      <c r="H112" s="60">
        <f t="shared" si="45"/>
        <v>232.8150405021249</v>
      </c>
      <c r="I112" s="60">
        <f t="shared" si="45"/>
        <v>223.07383850496265</v>
      </c>
      <c r="J112" s="60">
        <f t="shared" si="45"/>
        <v>185.47273204946984</v>
      </c>
      <c r="K112" s="60">
        <f t="shared" si="45"/>
        <v>138.7886679495868</v>
      </c>
      <c r="L112" s="60">
        <f t="shared" si="45"/>
        <v>94.413752843502564</v>
      </c>
      <c r="M112" s="60">
        <f t="shared" si="45"/>
        <v>58.874597757476309</v>
      </c>
      <c r="N112" s="60">
        <f t="shared" si="45"/>
        <v>33.888983234010631</v>
      </c>
      <c r="O112" s="60">
        <f t="shared" si="45"/>
        <v>18.113586175335818</v>
      </c>
      <c r="P112" s="60">
        <f t="shared" si="45"/>
        <v>9.0362267606158628</v>
      </c>
      <c r="Q112" s="60">
        <f t="shared" si="45"/>
        <v>4.2261127199742097</v>
      </c>
      <c r="R112" s="60">
        <f t="shared" si="45"/>
        <v>1.8602276417380568</v>
      </c>
      <c r="S112" s="60">
        <f t="shared" si="45"/>
        <v>0.77333475153206865</v>
      </c>
      <c r="T112" s="60">
        <f t="shared" si="45"/>
        <v>0.30457051942294128</v>
      </c>
      <c r="U112" s="60">
        <f t="shared" si="45"/>
        <v>0.11395458572350366</v>
      </c>
      <c r="V112" s="60">
        <f t="shared" si="45"/>
        <v>4.0605648435948695E-2</v>
      </c>
      <c r="W112" s="60">
        <f t="shared" si="45"/>
        <v>1.3811400138577672E-2</v>
      </c>
      <c r="X112" s="60">
        <f t="shared" si="45"/>
        <v>4.4934903147572577E-3</v>
      </c>
      <c r="Y112" s="60"/>
      <c r="AA112" s="60">
        <f t="shared" ref="AA112" si="46">SUM(E112:Y112)</f>
        <v>1608.6349848261689</v>
      </c>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row>
    <row r="113" spans="3:71">
      <c r="C113" s="57" t="str">
        <f t="shared" si="30"/>
        <v>Multifamily - Low RiseWINDOW CL30 Prime Window Replacement of Double Pane Base_Electric FAF</v>
      </c>
      <c r="E113" s="60">
        <f t="shared" ref="E113:X113" si="47">E48*E$87*$Z$21</f>
        <v>931.63744446422038</v>
      </c>
      <c r="F113" s="60">
        <f t="shared" si="47"/>
        <v>1062.3146401821318</v>
      </c>
      <c r="G113" s="60">
        <f t="shared" si="47"/>
        <v>1159.263863442864</v>
      </c>
      <c r="H113" s="60">
        <f t="shared" si="47"/>
        <v>1209.7748201018442</v>
      </c>
      <c r="I113" s="60">
        <f t="shared" si="47"/>
        <v>1159.1566947939775</v>
      </c>
      <c r="J113" s="60">
        <f t="shared" si="47"/>
        <v>963.77038427161676</v>
      </c>
      <c r="K113" s="60">
        <f t="shared" si="47"/>
        <v>721.18637798812438</v>
      </c>
      <c r="L113" s="60">
        <f t="shared" si="47"/>
        <v>490.60138303369553</v>
      </c>
      <c r="M113" s="60">
        <f t="shared" si="47"/>
        <v>305.92957292194052</v>
      </c>
      <c r="N113" s="60">
        <f t="shared" si="47"/>
        <v>176.09703611474978</v>
      </c>
      <c r="O113" s="60">
        <f t="shared" si="47"/>
        <v>94.123474193954152</v>
      </c>
      <c r="P113" s="60">
        <f t="shared" si="47"/>
        <v>46.954868466170915</v>
      </c>
      <c r="Q113" s="60">
        <f t="shared" si="47"/>
        <v>21.960113678696171</v>
      </c>
      <c r="R113" s="60">
        <f t="shared" si="47"/>
        <v>9.6662851153364215</v>
      </c>
      <c r="S113" s="60">
        <f t="shared" si="47"/>
        <v>4.018472809554904</v>
      </c>
      <c r="T113" s="60">
        <f t="shared" si="47"/>
        <v>1.582637206550455</v>
      </c>
      <c r="U113" s="60">
        <f t="shared" si="47"/>
        <v>0.59214124717244643</v>
      </c>
      <c r="V113" s="60">
        <f t="shared" si="47"/>
        <v>0.21099878652930165</v>
      </c>
      <c r="W113" s="60">
        <f t="shared" si="47"/>
        <v>7.1768061384547402E-2</v>
      </c>
      <c r="X113" s="60">
        <f t="shared" si="47"/>
        <v>2.3349485606430253E-2</v>
      </c>
      <c r="Y113" s="60"/>
      <c r="AA113" s="60">
        <f>SUM(E113:Y113)</f>
        <v>8358.9363263661216</v>
      </c>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row>
    <row r="114" spans="3:71">
      <c r="C114" s="57" t="str">
        <f t="shared" ref="C114:C126" si="48">C49&amp;D49</f>
        <v>Multifamily - Low RiseWALL R0 - R11_Heat Pump</v>
      </c>
      <c r="E114" s="60">
        <f t="shared" ref="E114:X114" si="49">E49*E$87*$Z$21</f>
        <v>6080.9467670595004</v>
      </c>
      <c r="F114" s="60">
        <f t="shared" si="49"/>
        <v>6933.8977465966409</v>
      </c>
      <c r="G114" s="60">
        <f t="shared" si="49"/>
        <v>7566.7008496270491</v>
      </c>
      <c r="H114" s="60">
        <f t="shared" si="49"/>
        <v>7896.3939511888384</v>
      </c>
      <c r="I114" s="60">
        <f t="shared" si="49"/>
        <v>7566.0013426966989</v>
      </c>
      <c r="J114" s="60">
        <f t="shared" si="49"/>
        <v>6290.6836100760202</v>
      </c>
      <c r="K114" s="60">
        <f t="shared" si="49"/>
        <v>4707.2989602691541</v>
      </c>
      <c r="L114" s="60">
        <f t="shared" si="49"/>
        <v>3202.2337786018911</v>
      </c>
      <c r="M114" s="60">
        <f t="shared" si="49"/>
        <v>1996.8513056894569</v>
      </c>
      <c r="N114" s="60">
        <f t="shared" si="49"/>
        <v>1149.4135501032595</v>
      </c>
      <c r="O114" s="60">
        <f t="shared" si="49"/>
        <v>614.35898643306962</v>
      </c>
      <c r="P114" s="60">
        <f t="shared" si="49"/>
        <v>306.48194455223171</v>
      </c>
      <c r="Q114" s="60">
        <f t="shared" si="49"/>
        <v>143.33717807523686</v>
      </c>
      <c r="R114" s="60">
        <f t="shared" si="49"/>
        <v>63.09339064337901</v>
      </c>
      <c r="S114" s="60">
        <f t="shared" si="49"/>
        <v>26.229215436732993</v>
      </c>
      <c r="T114" s="60">
        <f t="shared" si="49"/>
        <v>10.330126447564311</v>
      </c>
      <c r="U114" s="60">
        <f t="shared" si="49"/>
        <v>3.8650007296633042</v>
      </c>
      <c r="V114" s="60">
        <f t="shared" si="49"/>
        <v>1.3772228632745889</v>
      </c>
      <c r="W114" s="60">
        <f t="shared" si="49"/>
        <v>0.4684416276392504</v>
      </c>
      <c r="X114" s="60">
        <f t="shared" si="49"/>
        <v>0.15240583110372971</v>
      </c>
      <c r="Y114" s="60"/>
      <c r="AA114" s="60">
        <f t="shared" ref="AA114" si="50">SUM(E114:Y114)</f>
        <v>54560.115774548394</v>
      </c>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row>
    <row r="115" spans="3:71">
      <c r="C115" s="57" t="str">
        <f t="shared" si="48"/>
        <v>Multifamily - Low RiseFLOOR R0 - R19_Heat Pump</v>
      </c>
      <c r="E115" s="60">
        <f t="shared" ref="E115:X115" si="51">E50*E$87*$Z$21</f>
        <v>1499.6288462131222</v>
      </c>
      <c r="F115" s="60">
        <f t="shared" si="51"/>
        <v>1709.9760079821704</v>
      </c>
      <c r="G115" s="60">
        <f t="shared" si="51"/>
        <v>1866.0322642905048</v>
      </c>
      <c r="H115" s="60">
        <f t="shared" si="51"/>
        <v>1947.3382359490286</v>
      </c>
      <c r="I115" s="60">
        <f t="shared" si="51"/>
        <v>1865.8597581313388</v>
      </c>
      <c r="J115" s="60">
        <f t="shared" si="51"/>
        <v>1551.3522754667779</v>
      </c>
      <c r="K115" s="60">
        <f t="shared" si="51"/>
        <v>1160.8720778166269</v>
      </c>
      <c r="L115" s="60">
        <f t="shared" si="51"/>
        <v>789.70632874518185</v>
      </c>
      <c r="M115" s="60">
        <f t="shared" si="51"/>
        <v>492.44565596785912</v>
      </c>
      <c r="N115" s="60">
        <f t="shared" si="51"/>
        <v>283.45811630852154</v>
      </c>
      <c r="O115" s="60">
        <f t="shared" si="51"/>
        <v>151.50773280503424</v>
      </c>
      <c r="P115" s="60">
        <f t="shared" si="51"/>
        <v>75.581843173454672</v>
      </c>
      <c r="Q115" s="60">
        <f t="shared" si="51"/>
        <v>35.348536208343546</v>
      </c>
      <c r="R115" s="60">
        <f t="shared" si="51"/>
        <v>15.559529171796559</v>
      </c>
      <c r="S115" s="60">
        <f t="shared" si="51"/>
        <v>6.4684151315936758</v>
      </c>
      <c r="T115" s="60">
        <f t="shared" si="51"/>
        <v>2.5475236339369434</v>
      </c>
      <c r="U115" s="60">
        <f t="shared" si="51"/>
        <v>0.95315200196047767</v>
      </c>
      <c r="V115" s="60">
        <f t="shared" si="51"/>
        <v>0.3396384169351167</v>
      </c>
      <c r="W115" s="60">
        <f t="shared" si="51"/>
        <v>0.11552289544454299</v>
      </c>
      <c r="X115" s="60">
        <f t="shared" si="51"/>
        <v>3.7584966520724329E-2</v>
      </c>
      <c r="Y115" s="60"/>
      <c r="AA115" s="60">
        <f>SUM(E115:Y115)</f>
        <v>13455.129045276153</v>
      </c>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row>
    <row r="116" spans="3:71">
      <c r="C116" s="57" t="str">
        <f t="shared" si="48"/>
        <v>Multifamily - Low RiseFLOOR R0 - R30_Heat Pump</v>
      </c>
      <c r="E116" s="60">
        <f t="shared" ref="E116:X116" si="52">E51*E$87*$Z$21</f>
        <v>16603.419575262869</v>
      </c>
      <c r="F116" s="60">
        <f t="shared" si="52"/>
        <v>18932.31728361014</v>
      </c>
      <c r="G116" s="60">
        <f t="shared" si="52"/>
        <v>20660.123138622213</v>
      </c>
      <c r="H116" s="60">
        <f t="shared" si="52"/>
        <v>21560.317319889022</v>
      </c>
      <c r="I116" s="60">
        <f t="shared" si="52"/>
        <v>20658.213204609416</v>
      </c>
      <c r="J116" s="60">
        <f t="shared" si="52"/>
        <v>17176.085138437706</v>
      </c>
      <c r="K116" s="60">
        <f t="shared" si="52"/>
        <v>12852.811033789254</v>
      </c>
      <c r="L116" s="60">
        <f t="shared" si="52"/>
        <v>8743.3804374374631</v>
      </c>
      <c r="M116" s="60">
        <f t="shared" si="52"/>
        <v>5452.2036333835167</v>
      </c>
      <c r="N116" s="60">
        <f t="shared" si="52"/>
        <v>3138.3592339988845</v>
      </c>
      <c r="O116" s="60">
        <f t="shared" si="52"/>
        <v>1677.4460314037606</v>
      </c>
      <c r="P116" s="60">
        <f t="shared" si="52"/>
        <v>836.81842853951139</v>
      </c>
      <c r="Q116" s="60">
        <f t="shared" si="52"/>
        <v>391.36789047540776</v>
      </c>
      <c r="R116" s="60">
        <f t="shared" si="52"/>
        <v>172.27021998492953</v>
      </c>
      <c r="S116" s="60">
        <f t="shared" si="52"/>
        <v>71.61626070879538</v>
      </c>
      <c r="T116" s="60">
        <f t="shared" si="52"/>
        <v>28.205381537547627</v>
      </c>
      <c r="U116" s="60">
        <f t="shared" si="52"/>
        <v>10.552999595542929</v>
      </c>
      <c r="V116" s="60">
        <f t="shared" si="52"/>
        <v>3.7603698771811889</v>
      </c>
      <c r="W116" s="60">
        <f t="shared" si="52"/>
        <v>1.2790332144240308</v>
      </c>
      <c r="X116" s="60">
        <f t="shared" si="52"/>
        <v>0.41612894446624132</v>
      </c>
      <c r="Y116" s="60"/>
      <c r="AA116" s="60">
        <f t="shared" ref="AA116:AA117" si="53">SUM(E116:Y116)</f>
        <v>148970.9627433221</v>
      </c>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row>
    <row r="117" spans="3:71">
      <c r="C117" s="57" t="str">
        <f t="shared" si="48"/>
        <v>Multifamily - Low RiseATTIC R0 - R19_Heat Pump</v>
      </c>
      <c r="E117" s="60">
        <f t="shared" ref="E117:X117" si="54">E52*E$87*$Z$21</f>
        <v>3783.9105162010178</v>
      </c>
      <c r="F117" s="60">
        <f t="shared" si="54"/>
        <v>4314.6650688897307</v>
      </c>
      <c r="G117" s="60">
        <f t="shared" si="54"/>
        <v>4708.4311069698942</v>
      </c>
      <c r="H117" s="60">
        <f t="shared" si="54"/>
        <v>4913.5848834963481</v>
      </c>
      <c r="I117" s="60">
        <f t="shared" si="54"/>
        <v>4707.9958340212397</v>
      </c>
      <c r="J117" s="60">
        <f t="shared" si="54"/>
        <v>3914.4206943568402</v>
      </c>
      <c r="K117" s="60">
        <f t="shared" si="54"/>
        <v>2929.1488185938733</v>
      </c>
      <c r="L117" s="60">
        <f t="shared" si="54"/>
        <v>1992.6117649678245</v>
      </c>
      <c r="M117" s="60">
        <f t="shared" si="54"/>
        <v>1242.554316676217</v>
      </c>
      <c r="N117" s="60">
        <f t="shared" si="54"/>
        <v>715.23040511712998</v>
      </c>
      <c r="O117" s="60">
        <f t="shared" si="54"/>
        <v>382.28906098627323</v>
      </c>
      <c r="P117" s="60">
        <f t="shared" si="54"/>
        <v>190.71047608885925</v>
      </c>
      <c r="Q117" s="60">
        <f t="shared" si="54"/>
        <v>89.192534692050486</v>
      </c>
      <c r="R117" s="60">
        <f t="shared" si="54"/>
        <v>39.260291777509764</v>
      </c>
      <c r="S117" s="60">
        <f t="shared" si="54"/>
        <v>16.321307836534281</v>
      </c>
      <c r="T117" s="60">
        <f t="shared" si="54"/>
        <v>6.4279914947399472</v>
      </c>
      <c r="U117" s="60">
        <f t="shared" si="54"/>
        <v>2.4050230114363509</v>
      </c>
      <c r="V117" s="60">
        <f t="shared" si="54"/>
        <v>0.85698630083834137</v>
      </c>
      <c r="W117" s="60">
        <f t="shared" si="54"/>
        <v>0.29149099127990069</v>
      </c>
      <c r="X117" s="60">
        <f t="shared" si="54"/>
        <v>9.4835565765464327E-2</v>
      </c>
      <c r="Y117" s="60"/>
      <c r="AA117" s="60">
        <f t="shared" si="53"/>
        <v>33950.403408035403</v>
      </c>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row>
    <row r="118" spans="3:71">
      <c r="C118" s="57" t="str">
        <f t="shared" si="48"/>
        <v>Multifamily - Low RiseATTIC R0 - R38_Heat Pump</v>
      </c>
      <c r="E118" s="60">
        <f t="shared" ref="E118:X118" si="55">E53*E$87*$Z$21</f>
        <v>751.67207434686998</v>
      </c>
      <c r="F118" s="60">
        <f t="shared" si="55"/>
        <v>857.10622081529982</v>
      </c>
      <c r="G118" s="60">
        <f t="shared" si="55"/>
        <v>935.32766220081862</v>
      </c>
      <c r="H118" s="60">
        <f t="shared" si="55"/>
        <v>976.08136504381162</v>
      </c>
      <c r="I118" s="60">
        <f t="shared" si="55"/>
        <v>935.24119543084021</v>
      </c>
      <c r="J118" s="60">
        <f t="shared" si="55"/>
        <v>777.59786088905776</v>
      </c>
      <c r="K118" s="60">
        <f t="shared" si="55"/>
        <v>581.87405836268817</v>
      </c>
      <c r="L118" s="60">
        <f t="shared" si="55"/>
        <v>395.83140571862646</v>
      </c>
      <c r="M118" s="60">
        <f t="shared" si="55"/>
        <v>246.83284044528185</v>
      </c>
      <c r="N118" s="60">
        <f t="shared" si="55"/>
        <v>142.08018925090897</v>
      </c>
      <c r="O118" s="60">
        <f t="shared" si="55"/>
        <v>75.941545192820726</v>
      </c>
      <c r="P118" s="60">
        <f t="shared" si="55"/>
        <v>37.884547889709275</v>
      </c>
      <c r="Q118" s="60">
        <f t="shared" si="55"/>
        <v>17.718055773564998</v>
      </c>
      <c r="R118" s="60">
        <f t="shared" si="55"/>
        <v>7.7990388074749024</v>
      </c>
      <c r="S118" s="60">
        <f t="shared" si="55"/>
        <v>3.2422202546847454</v>
      </c>
      <c r="T118" s="60">
        <f t="shared" si="55"/>
        <v>1.2769175380992361</v>
      </c>
      <c r="U118" s="60">
        <f t="shared" si="55"/>
        <v>0.47775670912886892</v>
      </c>
      <c r="V118" s="60">
        <f t="shared" si="55"/>
        <v>0.17023993238739307</v>
      </c>
      <c r="W118" s="60">
        <f t="shared" si="55"/>
        <v>5.7904550631066913E-2</v>
      </c>
      <c r="X118" s="60">
        <f t="shared" si="55"/>
        <v>1.8839041286936871E-2</v>
      </c>
      <c r="Y118" s="60"/>
      <c r="AA118" s="60">
        <f>SUM(E118:Y118)</f>
        <v>6744.2319381939906</v>
      </c>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row>
    <row r="119" spans="3:71">
      <c r="C119" s="57" t="str">
        <f t="shared" si="48"/>
        <v>Multifamily - Low RiseATTIC R0 - R49_Heat Pump</v>
      </c>
      <c r="E119" s="60">
        <f t="shared" ref="E119:X119" si="56">E54*E$87*$Z$21</f>
        <v>4483.6963933940642</v>
      </c>
      <c r="F119" s="60">
        <f t="shared" si="56"/>
        <v>5112.6072155392676</v>
      </c>
      <c r="G119" s="60">
        <f t="shared" si="56"/>
        <v>5579.1952485336788</v>
      </c>
      <c r="H119" s="60">
        <f t="shared" si="56"/>
        <v>5822.2895933826003</v>
      </c>
      <c r="I119" s="60">
        <f t="shared" si="56"/>
        <v>5578.6794774176142</v>
      </c>
      <c r="J119" s="60">
        <f t="shared" si="56"/>
        <v>4638.3427605829957</v>
      </c>
      <c r="K119" s="60">
        <f t="shared" si="56"/>
        <v>3470.8574469222808</v>
      </c>
      <c r="L119" s="60">
        <f t="shared" si="56"/>
        <v>2361.1198377361911</v>
      </c>
      <c r="M119" s="60">
        <f t="shared" si="56"/>
        <v>1472.3488529720328</v>
      </c>
      <c r="N119" s="60">
        <f t="shared" si="56"/>
        <v>847.50312517672876</v>
      </c>
      <c r="O119" s="60">
        <f t="shared" si="56"/>
        <v>452.98853570645548</v>
      </c>
      <c r="P119" s="60">
        <f t="shared" si="56"/>
        <v>225.97994063574654</v>
      </c>
      <c r="Q119" s="60">
        <f t="shared" si="56"/>
        <v>105.68755376327633</v>
      </c>
      <c r="R119" s="60">
        <f t="shared" si="56"/>
        <v>46.520980845802768</v>
      </c>
      <c r="S119" s="60">
        <f t="shared" si="56"/>
        <v>19.339725072466646</v>
      </c>
      <c r="T119" s="60">
        <f t="shared" si="56"/>
        <v>7.616766347495231</v>
      </c>
      <c r="U119" s="60">
        <f t="shared" si="56"/>
        <v>2.8498012720536647</v>
      </c>
      <c r="V119" s="60">
        <f t="shared" si="56"/>
        <v>1.015474961631694</v>
      </c>
      <c r="W119" s="60">
        <f t="shared" si="56"/>
        <v>0.3453985237528065</v>
      </c>
      <c r="X119" s="60">
        <f t="shared" si="56"/>
        <v>0.11237419129430301</v>
      </c>
      <c r="Y119" s="60"/>
      <c r="AA119" s="60">
        <f t="shared" ref="AA119:AA121" si="57">SUM(E119:Y119)</f>
        <v>40229.096502977438</v>
      </c>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row>
    <row r="120" spans="3:71">
      <c r="C120" s="57" t="str">
        <f t="shared" si="48"/>
        <v>Multifamily - Low RiseATTIC R19 - R30_Heat Pump</v>
      </c>
      <c r="E120" s="60">
        <f t="shared" ref="E120:X120" si="58">E55*E$87*$Z$21</f>
        <v>2592.1919170948449</v>
      </c>
      <c r="F120" s="60">
        <f t="shared" si="58"/>
        <v>2955.7886923225715</v>
      </c>
      <c r="G120" s="60">
        <f t="shared" si="58"/>
        <v>3225.5406160976204</v>
      </c>
      <c r="H120" s="60">
        <f t="shared" si="58"/>
        <v>3366.0825128989413</v>
      </c>
      <c r="I120" s="60">
        <f t="shared" si="58"/>
        <v>3225.2424296012946</v>
      </c>
      <c r="J120" s="60">
        <f t="shared" si="58"/>
        <v>2681.5987430400287</v>
      </c>
      <c r="K120" s="60">
        <f t="shared" si="58"/>
        <v>2006.6319906397023</v>
      </c>
      <c r="L120" s="60">
        <f t="shared" si="58"/>
        <v>1365.0513374833961</v>
      </c>
      <c r="M120" s="60">
        <f t="shared" si="58"/>
        <v>851.21972162099848</v>
      </c>
      <c r="N120" s="60">
        <f t="shared" si="58"/>
        <v>489.9731288747534</v>
      </c>
      <c r="O120" s="60">
        <f t="shared" si="58"/>
        <v>261.88954776798204</v>
      </c>
      <c r="P120" s="60">
        <f t="shared" si="58"/>
        <v>130.64742215922641</v>
      </c>
      <c r="Q120" s="60">
        <f t="shared" si="58"/>
        <v>61.101912030958886</v>
      </c>
      <c r="R120" s="60">
        <f t="shared" si="58"/>
        <v>26.895512082728004</v>
      </c>
      <c r="S120" s="60">
        <f t="shared" si="58"/>
        <v>11.1810155311911</v>
      </c>
      <c r="T120" s="60">
        <f t="shared" si="58"/>
        <v>4.4035363744669782</v>
      </c>
      <c r="U120" s="60">
        <f t="shared" si="58"/>
        <v>1.6475762796133786</v>
      </c>
      <c r="V120" s="60">
        <f t="shared" si="58"/>
        <v>0.58708390501910734</v>
      </c>
      <c r="W120" s="60">
        <f t="shared" si="58"/>
        <v>0.1996877537844983</v>
      </c>
      <c r="X120" s="60">
        <f t="shared" si="58"/>
        <v>6.4967706286343255E-2</v>
      </c>
      <c r="Y120" s="60"/>
      <c r="AA120" s="60">
        <f t="shared" si="57"/>
        <v>23257.939351265406</v>
      </c>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row>
    <row r="121" spans="3:71">
      <c r="C121" s="57" t="str">
        <f t="shared" si="48"/>
        <v>Multifamily - Low RiseATTIC R19 - R38_Heat Pump</v>
      </c>
      <c r="E121" s="60">
        <f t="shared" ref="E121:X121" si="59">E56*E$87*$Z$21</f>
        <v>702.67204439166107</v>
      </c>
      <c r="F121" s="60">
        <f t="shared" si="59"/>
        <v>801.23314540374099</v>
      </c>
      <c r="G121" s="60">
        <f t="shared" si="59"/>
        <v>874.35548426591481</v>
      </c>
      <c r="H121" s="60">
        <f t="shared" si="59"/>
        <v>912.45253305956408</v>
      </c>
      <c r="I121" s="60">
        <f t="shared" si="59"/>
        <v>874.2746540952777</v>
      </c>
      <c r="J121" s="60">
        <f t="shared" si="59"/>
        <v>726.90777969936175</v>
      </c>
      <c r="K121" s="60">
        <f t="shared" si="59"/>
        <v>543.942828424813</v>
      </c>
      <c r="L121" s="60">
        <f t="shared" si="59"/>
        <v>370.02793183770819</v>
      </c>
      <c r="M121" s="60">
        <f t="shared" si="59"/>
        <v>230.74229113725104</v>
      </c>
      <c r="N121" s="60">
        <f t="shared" si="59"/>
        <v>132.81826005740325</v>
      </c>
      <c r="O121" s="60">
        <f t="shared" si="59"/>
        <v>70.991064635822013</v>
      </c>
      <c r="P121" s="60">
        <f t="shared" si="59"/>
        <v>35.414928430920305</v>
      </c>
      <c r="Q121" s="60">
        <f t="shared" si="59"/>
        <v>16.563050428438782</v>
      </c>
      <c r="R121" s="60">
        <f t="shared" si="59"/>
        <v>7.2906347464085659</v>
      </c>
      <c r="S121" s="60">
        <f t="shared" si="59"/>
        <v>3.030866267989178</v>
      </c>
      <c r="T121" s="60">
        <f t="shared" si="59"/>
        <v>1.1936777853499267</v>
      </c>
      <c r="U121" s="60">
        <f t="shared" si="59"/>
        <v>0.44661268521530573</v>
      </c>
      <c r="V121" s="60">
        <f t="shared" si="59"/>
        <v>0.15914232470547518</v>
      </c>
      <c r="W121" s="60">
        <f t="shared" si="59"/>
        <v>5.4129866413975894E-2</v>
      </c>
      <c r="X121" s="60">
        <f t="shared" si="59"/>
        <v>1.7610961092272968E-2</v>
      </c>
      <c r="Y121" s="60"/>
      <c r="AA121" s="60">
        <f t="shared" si="57"/>
        <v>6304.5886705050516</v>
      </c>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row>
    <row r="122" spans="3:71">
      <c r="C122" s="57" t="str">
        <f t="shared" si="48"/>
        <v>Multifamily - Low RiseATTIC R19 - R49_Heat Pump</v>
      </c>
      <c r="E122" s="60">
        <f t="shared" ref="E122:X122" si="60">E57*E$87*$Z$21</f>
        <v>10321.25007406596</v>
      </c>
      <c r="F122" s="60">
        <f t="shared" si="60"/>
        <v>11768.972065057729</v>
      </c>
      <c r="G122" s="60">
        <f t="shared" si="60"/>
        <v>12843.0349247101</v>
      </c>
      <c r="H122" s="60">
        <f t="shared" si="60"/>
        <v>13402.626231666914</v>
      </c>
      <c r="I122" s="60">
        <f t="shared" si="60"/>
        <v>12841.847644795758</v>
      </c>
      <c r="J122" s="60">
        <f t="shared" si="60"/>
        <v>10677.238457033733</v>
      </c>
      <c r="K122" s="60">
        <f t="shared" si="60"/>
        <v>7989.7442953315731</v>
      </c>
      <c r="L122" s="60">
        <f t="shared" si="60"/>
        <v>5435.1825284195729</v>
      </c>
      <c r="M122" s="60">
        <f t="shared" si="60"/>
        <v>3389.2751369557177</v>
      </c>
      <c r="N122" s="60">
        <f t="shared" si="60"/>
        <v>1950.9107945821299</v>
      </c>
      <c r="O122" s="60">
        <f t="shared" si="60"/>
        <v>1042.757481215649</v>
      </c>
      <c r="P122" s="60">
        <f t="shared" si="60"/>
        <v>520.19478447748907</v>
      </c>
      <c r="Q122" s="60">
        <f t="shared" si="60"/>
        <v>243.28758604489985</v>
      </c>
      <c r="R122" s="60">
        <f t="shared" si="60"/>
        <v>107.08902540943362</v>
      </c>
      <c r="S122" s="60">
        <f t="shared" si="60"/>
        <v>44.51910239299476</v>
      </c>
      <c r="T122" s="60">
        <f t="shared" si="60"/>
        <v>17.533424061462533</v>
      </c>
      <c r="U122" s="60">
        <f t="shared" si="60"/>
        <v>6.5601033186798201</v>
      </c>
      <c r="V122" s="60">
        <f t="shared" si="60"/>
        <v>2.337573756866123</v>
      </c>
      <c r="W122" s="60">
        <f t="shared" si="60"/>
        <v>0.79509052934945457</v>
      </c>
      <c r="X122" s="60">
        <f t="shared" si="60"/>
        <v>0.25867989900659866</v>
      </c>
      <c r="Y122" s="60"/>
      <c r="AA122" s="60">
        <f>SUM(E122:Y122)</f>
        <v>92605.415003725037</v>
      </c>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row>
    <row r="123" spans="3:71">
      <c r="C123" s="57" t="str">
        <f t="shared" si="48"/>
        <v>Multifamily - Low RiseWINDOW CL22 Prime Window Replacement of Single Pane Base_Heat Pump</v>
      </c>
      <c r="E123" s="60">
        <f t="shared" ref="E123:X123" si="61">E58*E$87*$Z$21</f>
        <v>2229.3938283806424</v>
      </c>
      <c r="F123" s="60">
        <f t="shared" si="61"/>
        <v>2542.102313183058</v>
      </c>
      <c r="G123" s="60">
        <f t="shared" si="61"/>
        <v>2774.1002875968852</v>
      </c>
      <c r="H123" s="60">
        <f t="shared" si="61"/>
        <v>2894.9722165970047</v>
      </c>
      <c r="I123" s="60">
        <f t="shared" si="61"/>
        <v>2773.8438346968392</v>
      </c>
      <c r="J123" s="60">
        <f t="shared" si="61"/>
        <v>2306.287450593878</v>
      </c>
      <c r="K123" s="60">
        <f t="shared" si="61"/>
        <v>1725.7877189806984</v>
      </c>
      <c r="L123" s="60">
        <f t="shared" si="61"/>
        <v>1174.0014337437178</v>
      </c>
      <c r="M123" s="60">
        <f t="shared" si="61"/>
        <v>732.0846814863005</v>
      </c>
      <c r="N123" s="60">
        <f t="shared" si="61"/>
        <v>421.39745224186692</v>
      </c>
      <c r="O123" s="60">
        <f t="shared" si="61"/>
        <v>225.23600110815951</v>
      </c>
      <c r="P123" s="60">
        <f t="shared" si="61"/>
        <v>112.36226559260685</v>
      </c>
      <c r="Q123" s="60">
        <f t="shared" si="61"/>
        <v>52.550208449358628</v>
      </c>
      <c r="R123" s="60">
        <f t="shared" si="61"/>
        <v>23.131269044141892</v>
      </c>
      <c r="S123" s="60">
        <f t="shared" si="61"/>
        <v>9.6161425610037163</v>
      </c>
      <c r="T123" s="60">
        <f t="shared" si="61"/>
        <v>3.7872260736345593</v>
      </c>
      <c r="U123" s="60">
        <f t="shared" si="61"/>
        <v>1.4169847399543496</v>
      </c>
      <c r="V123" s="60">
        <f t="shared" si="61"/>
        <v>0.50491679491774155</v>
      </c>
      <c r="W123" s="60">
        <f t="shared" si="61"/>
        <v>0.17173984802378545</v>
      </c>
      <c r="X123" s="60">
        <f t="shared" si="61"/>
        <v>5.5874953734577397E-2</v>
      </c>
      <c r="Y123" s="60"/>
      <c r="AA123" s="60">
        <f t="shared" ref="AA123:AA125" si="62">SUM(E123:Y123)</f>
        <v>20002.803846666426</v>
      </c>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row>
    <row r="124" spans="3:71">
      <c r="C124" s="57" t="str">
        <f t="shared" si="48"/>
        <v>Multifamily - Low RiseWINDOW CL22 Prime Window Replacement of Double Pane Base_Heat Pump</v>
      </c>
      <c r="E124" s="60">
        <f t="shared" ref="E124:X124" si="63">E59*E$87*$Z$21</f>
        <v>11584.580239525965</v>
      </c>
      <c r="F124" s="60">
        <f t="shared" si="63"/>
        <v>13209.50468654729</v>
      </c>
      <c r="G124" s="60">
        <f t="shared" si="63"/>
        <v>14415.033793065295</v>
      </c>
      <c r="H124" s="60">
        <f t="shared" si="63"/>
        <v>15043.119572429488</v>
      </c>
      <c r="I124" s="60">
        <f t="shared" si="63"/>
        <v>14413.701189036159</v>
      </c>
      <c r="J124" s="60">
        <f t="shared" si="63"/>
        <v>11984.141916380548</v>
      </c>
      <c r="K124" s="60">
        <f t="shared" si="63"/>
        <v>8967.6960851023323</v>
      </c>
      <c r="L124" s="60">
        <f t="shared" si="63"/>
        <v>6100.4536916662428</v>
      </c>
      <c r="M124" s="60">
        <f t="shared" si="63"/>
        <v>3804.125420480821</v>
      </c>
      <c r="N124" s="60">
        <f t="shared" si="63"/>
        <v>2189.7040065700876</v>
      </c>
      <c r="O124" s="60">
        <f t="shared" si="63"/>
        <v>1170.3919219883712</v>
      </c>
      <c r="P124" s="60">
        <f t="shared" si="63"/>
        <v>583.86708758316229</v>
      </c>
      <c r="Q124" s="60">
        <f t="shared" si="63"/>
        <v>273.06620240695753</v>
      </c>
      <c r="R124" s="60">
        <f t="shared" si="63"/>
        <v>120.19681712251193</v>
      </c>
      <c r="S124" s="60">
        <f t="shared" si="63"/>
        <v>49.968280020576167</v>
      </c>
      <c r="T124" s="60">
        <f t="shared" si="63"/>
        <v>19.679530721188296</v>
      </c>
      <c r="U124" s="60">
        <f t="shared" si="63"/>
        <v>7.3630657846166363</v>
      </c>
      <c r="V124" s="60">
        <f t="shared" si="63"/>
        <v>2.623694858461842</v>
      </c>
      <c r="W124" s="60">
        <f t="shared" si="63"/>
        <v>0.89241031549848182</v>
      </c>
      <c r="X124" s="60">
        <f t="shared" si="63"/>
        <v>0.29034254813030563</v>
      </c>
      <c r="Y124" s="60"/>
      <c r="AA124" s="60">
        <f t="shared" si="62"/>
        <v>103940.39995415372</v>
      </c>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row>
    <row r="125" spans="3:71">
      <c r="C125" s="57" t="str">
        <f t="shared" si="48"/>
        <v>Multifamily - Low RiseWINDOW CL30 Prime Window Replacement of Single Pane Base_Heat Pump</v>
      </c>
      <c r="E125" s="60">
        <f t="shared" ref="E125:X125" si="64">E60*E$87*$Z$21</f>
        <v>8917.5753135225696</v>
      </c>
      <c r="F125" s="60">
        <f t="shared" si="64"/>
        <v>10168.409252732232</v>
      </c>
      <c r="G125" s="60">
        <f t="shared" si="64"/>
        <v>11096.401150387541</v>
      </c>
      <c r="H125" s="60">
        <f t="shared" si="64"/>
        <v>11579.888866388019</v>
      </c>
      <c r="I125" s="60">
        <f t="shared" si="64"/>
        <v>11095.375338787357</v>
      </c>
      <c r="J125" s="60">
        <f t="shared" si="64"/>
        <v>9225.1498023755121</v>
      </c>
      <c r="K125" s="60">
        <f t="shared" si="64"/>
        <v>6903.1508759227936</v>
      </c>
      <c r="L125" s="60">
        <f t="shared" si="64"/>
        <v>4696.0057349748713</v>
      </c>
      <c r="M125" s="60">
        <f t="shared" si="64"/>
        <v>2928.338725945202</v>
      </c>
      <c r="N125" s="60">
        <f t="shared" si="64"/>
        <v>1685.5898089674677</v>
      </c>
      <c r="O125" s="60">
        <f t="shared" si="64"/>
        <v>900.94400443263805</v>
      </c>
      <c r="P125" s="60">
        <f t="shared" si="64"/>
        <v>449.44906237042738</v>
      </c>
      <c r="Q125" s="60">
        <f t="shared" si="64"/>
        <v>210.20083379743451</v>
      </c>
      <c r="R125" s="60">
        <f t="shared" si="64"/>
        <v>92.525076176567566</v>
      </c>
      <c r="S125" s="60">
        <f t="shared" si="64"/>
        <v>38.464570244014865</v>
      </c>
      <c r="T125" s="60">
        <f t="shared" si="64"/>
        <v>15.148904294538237</v>
      </c>
      <c r="U125" s="60">
        <f t="shared" si="64"/>
        <v>5.6679389598173984</v>
      </c>
      <c r="V125" s="60">
        <f t="shared" si="64"/>
        <v>2.0196671796709662</v>
      </c>
      <c r="W125" s="60">
        <f t="shared" si="64"/>
        <v>0.68695939209514179</v>
      </c>
      <c r="X125" s="60">
        <f t="shared" si="64"/>
        <v>0.22349981493830959</v>
      </c>
      <c r="Y125" s="60"/>
      <c r="AA125" s="60">
        <f t="shared" si="62"/>
        <v>80011.215386665703</v>
      </c>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row>
    <row r="126" spans="3:71">
      <c r="C126" s="57" t="str">
        <f t="shared" si="48"/>
        <v>Multifamily - Low RiseWINDOW CL30 Prime Window Replacement of Double Pane Base_Heat Pump</v>
      </c>
      <c r="E126" s="60">
        <f t="shared" ref="E126:X126" si="65">E61*E$87*$Z$21</f>
        <v>46338.320958103861</v>
      </c>
      <c r="F126" s="60">
        <f t="shared" si="65"/>
        <v>52838.018746189162</v>
      </c>
      <c r="G126" s="60">
        <f t="shared" si="65"/>
        <v>57660.13517226118</v>
      </c>
      <c r="H126" s="60">
        <f t="shared" si="65"/>
        <v>60172.478289717954</v>
      </c>
      <c r="I126" s="60">
        <f t="shared" si="65"/>
        <v>57654.804756144636</v>
      </c>
      <c r="J126" s="60">
        <f t="shared" si="65"/>
        <v>47936.567665522191</v>
      </c>
      <c r="K126" s="60">
        <f t="shared" si="65"/>
        <v>35870.784340409329</v>
      </c>
      <c r="L126" s="60">
        <f t="shared" si="65"/>
        <v>24401.814766664971</v>
      </c>
      <c r="M126" s="60">
        <f t="shared" si="65"/>
        <v>15216.501681923284</v>
      </c>
      <c r="N126" s="60">
        <f t="shared" si="65"/>
        <v>8758.8160262803503</v>
      </c>
      <c r="O126" s="60">
        <f t="shared" si="65"/>
        <v>4681.5676879534849</v>
      </c>
      <c r="P126" s="60">
        <f t="shared" si="65"/>
        <v>2335.4683503326492</v>
      </c>
      <c r="Q126" s="60">
        <f t="shared" si="65"/>
        <v>1092.2648096278301</v>
      </c>
      <c r="R126" s="60">
        <f t="shared" si="65"/>
        <v>480.78726849004772</v>
      </c>
      <c r="S126" s="60">
        <f t="shared" si="65"/>
        <v>199.87312008230467</v>
      </c>
      <c r="T126" s="60">
        <f t="shared" si="65"/>
        <v>78.718122884753186</v>
      </c>
      <c r="U126" s="60">
        <f t="shared" si="65"/>
        <v>29.452263138466545</v>
      </c>
      <c r="V126" s="60">
        <f t="shared" si="65"/>
        <v>10.494779433847368</v>
      </c>
      <c r="W126" s="60">
        <f t="shared" si="65"/>
        <v>3.5696412619939273</v>
      </c>
      <c r="X126" s="60">
        <f t="shared" si="65"/>
        <v>1.1613701925212225</v>
      </c>
      <c r="Y126" s="60"/>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row>
    <row r="127" spans="3:71">
      <c r="E127" s="60"/>
      <c r="F127" s="60"/>
      <c r="G127" s="60"/>
      <c r="H127" s="60"/>
      <c r="I127" s="60"/>
      <c r="J127" s="60"/>
      <c r="K127" s="60"/>
      <c r="L127" s="60"/>
      <c r="M127" s="60"/>
      <c r="N127" s="60"/>
      <c r="O127" s="60"/>
      <c r="P127" s="60"/>
      <c r="Q127" s="60"/>
      <c r="R127" s="60"/>
      <c r="S127" s="60"/>
      <c r="T127" s="60"/>
      <c r="U127" s="60"/>
      <c r="V127" s="60"/>
      <c r="W127" s="60"/>
      <c r="X127" s="60"/>
      <c r="Y127" s="60"/>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row>
    <row r="128" spans="3:71">
      <c r="C128" s="57" t="s">
        <v>94</v>
      </c>
      <c r="E128" s="60">
        <f t="shared" ref="E128:X128" si="66">SUM(E88:E126)</f>
        <v>125790.13776312789</v>
      </c>
      <c r="F128" s="60">
        <f t="shared" si="66"/>
        <v>143434.23585034962</v>
      </c>
      <c r="G128" s="60">
        <f t="shared" si="66"/>
        <v>156524.36680468149</v>
      </c>
      <c r="H128" s="60">
        <f t="shared" si="66"/>
        <v>163344.38057123264</v>
      </c>
      <c r="I128" s="60">
        <f t="shared" si="66"/>
        <v>156509.89684194286</v>
      </c>
      <c r="J128" s="60">
        <f t="shared" si="66"/>
        <v>130128.74281719075</v>
      </c>
      <c r="K128" s="60">
        <f t="shared" si="66"/>
        <v>97374.933112729181</v>
      </c>
      <c r="L128" s="60">
        <f t="shared" si="66"/>
        <v>66241.235713835355</v>
      </c>
      <c r="M128" s="60">
        <f t="shared" si="66"/>
        <v>41306.758709979811</v>
      </c>
      <c r="N128" s="60">
        <f t="shared" si="66"/>
        <v>23776.706876881657</v>
      </c>
      <c r="O128" s="60">
        <f t="shared" si="66"/>
        <v>12708.596950405648</v>
      </c>
      <c r="P128" s="60">
        <f t="shared" si="66"/>
        <v>6339.8690210503082</v>
      </c>
      <c r="Q128" s="60">
        <f t="shared" si="66"/>
        <v>2965.0651563557121</v>
      </c>
      <c r="R128" s="60">
        <f t="shared" si="66"/>
        <v>1305.1464854067899</v>
      </c>
      <c r="S128" s="60">
        <f t="shared" si="66"/>
        <v>542.57613980081737</v>
      </c>
      <c r="T128" s="60">
        <f t="shared" si="66"/>
        <v>213.68844009433684</v>
      </c>
      <c r="U128" s="60">
        <f t="shared" si="66"/>
        <v>79.95119721694806</v>
      </c>
      <c r="V128" s="60">
        <f t="shared" si="66"/>
        <v>28.489158076549373</v>
      </c>
      <c r="W128" s="60">
        <f t="shared" si="66"/>
        <v>9.690158314478893</v>
      </c>
      <c r="X128" s="60">
        <f t="shared" si="66"/>
        <v>3.1526588251507675</v>
      </c>
      <c r="Y128" s="60"/>
      <c r="AA128" s="60">
        <f t="shared" ref="AA128" si="67">SUM(E128:Y128)</f>
        <v>1128627.6204274979</v>
      </c>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row>
    <row r="129" spans="1:80">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row>
    <row r="130" spans="1:80">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row>
    <row r="131" spans="1:80">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row>
    <row r="132" spans="1:80">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row>
    <row r="133" spans="1:80" ht="15">
      <c r="A133" s="79" t="s">
        <v>95</v>
      </c>
      <c r="C133" s="86" t="str">
        <f>C8</f>
        <v>ResWx</v>
      </c>
      <c r="D133" s="86"/>
      <c r="E133" s="86" t="s">
        <v>2172</v>
      </c>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59"/>
    </row>
    <row r="134" spans="1:80" ht="15">
      <c r="A134" s="86" t="s">
        <v>96</v>
      </c>
      <c r="B134" s="86" t="s">
        <v>41</v>
      </c>
      <c r="C134" s="86">
        <v>1</v>
      </c>
      <c r="D134" s="86"/>
      <c r="E134" s="80">
        <f t="shared" ref="E134:X134" si="68">E11</f>
        <v>2016</v>
      </c>
      <c r="F134" s="81">
        <f t="shared" si="68"/>
        <v>2017</v>
      </c>
      <c r="G134" s="81">
        <f t="shared" si="68"/>
        <v>2018</v>
      </c>
      <c r="H134" s="81">
        <f t="shared" si="68"/>
        <v>2019</v>
      </c>
      <c r="I134" s="81">
        <f t="shared" si="68"/>
        <v>2020</v>
      </c>
      <c r="J134" s="81">
        <f t="shared" si="68"/>
        <v>2021</v>
      </c>
      <c r="K134" s="81">
        <f t="shared" si="68"/>
        <v>2022</v>
      </c>
      <c r="L134" s="81">
        <f t="shared" si="68"/>
        <v>2023</v>
      </c>
      <c r="M134" s="81">
        <f t="shared" si="68"/>
        <v>2024</v>
      </c>
      <c r="N134" s="81">
        <f t="shared" si="68"/>
        <v>2025</v>
      </c>
      <c r="O134" s="81">
        <f t="shared" si="68"/>
        <v>2026</v>
      </c>
      <c r="P134" s="81">
        <f t="shared" si="68"/>
        <v>2027</v>
      </c>
      <c r="Q134" s="81">
        <f t="shared" si="68"/>
        <v>2028</v>
      </c>
      <c r="R134" s="81">
        <f t="shared" si="68"/>
        <v>2029</v>
      </c>
      <c r="S134" s="81">
        <f t="shared" si="68"/>
        <v>2030</v>
      </c>
      <c r="T134" s="81">
        <f t="shared" si="68"/>
        <v>2031</v>
      </c>
      <c r="U134" s="81">
        <f t="shared" si="68"/>
        <v>2032</v>
      </c>
      <c r="V134" s="81">
        <f t="shared" si="68"/>
        <v>2033</v>
      </c>
      <c r="W134" s="81">
        <f t="shared" si="68"/>
        <v>2034</v>
      </c>
      <c r="X134" s="81">
        <f t="shared" si="68"/>
        <v>2035</v>
      </c>
      <c r="Y134" s="82" t="s">
        <v>2132</v>
      </c>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row>
    <row r="135" spans="1:80" ht="15">
      <c r="A135" s="86" t="s">
        <v>33</v>
      </c>
      <c r="B135" s="86" t="s">
        <v>97</v>
      </c>
      <c r="C135" s="86" t="s">
        <v>98</v>
      </c>
      <c r="D135" s="86" t="s">
        <v>99</v>
      </c>
      <c r="E135" s="83" t="str">
        <f>CONCATENATE("aMW_",E134)</f>
        <v>aMW_2016</v>
      </c>
      <c r="F135" s="84" t="str">
        <f t="shared" ref="F135:X135" si="69">CONCATENATE("aMW_",F134)</f>
        <v>aMW_2017</v>
      </c>
      <c r="G135" s="84" t="str">
        <f t="shared" si="69"/>
        <v>aMW_2018</v>
      </c>
      <c r="H135" s="84" t="str">
        <f t="shared" si="69"/>
        <v>aMW_2019</v>
      </c>
      <c r="I135" s="84" t="str">
        <f t="shared" si="69"/>
        <v>aMW_2020</v>
      </c>
      <c r="J135" s="84" t="str">
        <f t="shared" si="69"/>
        <v>aMW_2021</v>
      </c>
      <c r="K135" s="84" t="str">
        <f t="shared" si="69"/>
        <v>aMW_2022</v>
      </c>
      <c r="L135" s="84" t="str">
        <f t="shared" si="69"/>
        <v>aMW_2023</v>
      </c>
      <c r="M135" s="84" t="str">
        <f t="shared" si="69"/>
        <v>aMW_2024</v>
      </c>
      <c r="N135" s="84" t="str">
        <f t="shared" si="69"/>
        <v>aMW_2025</v>
      </c>
      <c r="O135" s="84" t="str">
        <f t="shared" si="69"/>
        <v>aMW_2026</v>
      </c>
      <c r="P135" s="84" t="str">
        <f t="shared" si="69"/>
        <v>aMW_2027</v>
      </c>
      <c r="Q135" s="84" t="str">
        <f t="shared" si="69"/>
        <v>aMW_2028</v>
      </c>
      <c r="R135" s="84" t="str">
        <f t="shared" si="69"/>
        <v>aMW_2029</v>
      </c>
      <c r="S135" s="84" t="str">
        <f t="shared" si="69"/>
        <v>aMW_2030</v>
      </c>
      <c r="T135" s="84" t="str">
        <f t="shared" si="69"/>
        <v>aMW_2031</v>
      </c>
      <c r="U135" s="84" t="str">
        <f t="shared" si="69"/>
        <v>aMW_2032</v>
      </c>
      <c r="V135" s="84" t="str">
        <f t="shared" si="69"/>
        <v>aMW_2033</v>
      </c>
      <c r="W135" s="84" t="str">
        <f t="shared" si="69"/>
        <v>aMW_2034</v>
      </c>
      <c r="X135" s="84" t="str">
        <f t="shared" si="69"/>
        <v>aMW_2035</v>
      </c>
      <c r="Y135" s="85" t="s">
        <v>2132</v>
      </c>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row>
    <row r="136" spans="1:80">
      <c r="A136" s="88">
        <f t="shared" ref="A136:A174" si="70">VLOOKUP(CONCATENATE($D136),MeasureOutput,3,FALSE)</f>
        <v>805.93621817691815</v>
      </c>
      <c r="B136" s="88">
        <f t="shared" ref="B136:B174" si="71">VLOOKUP(CONCATENATE($D136),MeasureOutput,11,FALSE)</f>
        <v>-2.8709608555309631</v>
      </c>
      <c r="C136" s="57" t="s">
        <v>87</v>
      </c>
      <c r="D136" s="60" t="str">
        <f t="shared" ref="D136:D148" si="72">D23</f>
        <v>WALL R0 - R11_Electric Zonal</v>
      </c>
      <c r="E136" s="61">
        <f t="shared" ref="E136:N145" si="73">VLOOKUP($C136&amp;$D136,$C$88:$Y$126,E$22,FALSE)*$C$134*$A136/8760/1000</f>
        <v>3.6548770970360765E-2</v>
      </c>
      <c r="F136" s="61">
        <f t="shared" si="73"/>
        <v>4.167532629048281E-2</v>
      </c>
      <c r="G136" s="61">
        <f t="shared" si="73"/>
        <v>4.5478710297604426E-2</v>
      </c>
      <c r="H136" s="61">
        <f t="shared" si="73"/>
        <v>4.7460289502468375E-2</v>
      </c>
      <c r="I136" s="61">
        <f t="shared" si="73"/>
        <v>4.5474505998575179E-2</v>
      </c>
      <c r="J136" s="61">
        <f t="shared" si="73"/>
        <v>3.780936806701387E-2</v>
      </c>
      <c r="K136" s="61">
        <f t="shared" si="73"/>
        <v>2.8292632410444399E-2</v>
      </c>
      <c r="L136" s="61">
        <f t="shared" si="73"/>
        <v>1.9246626134217612E-2</v>
      </c>
      <c r="M136" s="61">
        <f t="shared" si="73"/>
        <v>1.2001825345496517E-2</v>
      </c>
      <c r="N136" s="61">
        <f t="shared" si="73"/>
        <v>6.9084065692730096E-3</v>
      </c>
      <c r="O136" s="61">
        <f t="shared" ref="O136:X145" si="74">VLOOKUP($C136&amp;$D136,$C$88:$Y$126,O$22,FALSE)*$C$134*$A136/8760/1000</f>
        <v>3.6925279481739518E-3</v>
      </c>
      <c r="P136" s="61">
        <f t="shared" si="74"/>
        <v>1.8420714449712138E-3</v>
      </c>
      <c r="Q136" s="61">
        <f t="shared" si="74"/>
        <v>8.6151020452739774E-4</v>
      </c>
      <c r="R136" s="61">
        <f t="shared" si="74"/>
        <v>3.7921494344596014E-4</v>
      </c>
      <c r="S136" s="61">
        <f t="shared" si="74"/>
        <v>1.5764742308260125E-4</v>
      </c>
      <c r="T136" s="61">
        <f t="shared" si="74"/>
        <v>6.2087934673610702E-5</v>
      </c>
      <c r="U136" s="61">
        <f t="shared" si="74"/>
        <v>2.3230104107135513E-5</v>
      </c>
      <c r="V136" s="61">
        <f t="shared" si="74"/>
        <v>8.2776259903534361E-6</v>
      </c>
      <c r="W136" s="61">
        <f t="shared" si="74"/>
        <v>2.8155098897287327E-6</v>
      </c>
      <c r="X136" s="61">
        <f t="shared" si="74"/>
        <v>9.1601621078673705E-7</v>
      </c>
      <c r="Y136" s="61">
        <f t="shared" ref="Y136:Y174" si="75">VLOOKUP($D136,$D$23:$Z$61,$X$22+1,FALSE)*$C$134*$A136/8760/1000</f>
        <v>0.32003475497640338</v>
      </c>
      <c r="AA136" s="61">
        <f>SUM(E136:X136)</f>
        <v>0.32792676074100968</v>
      </c>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row>
    <row r="137" spans="1:80">
      <c r="A137" s="88">
        <f t="shared" si="70"/>
        <v>274.47530845276236</v>
      </c>
      <c r="B137" s="88">
        <f t="shared" si="71"/>
        <v>65.788668575046941</v>
      </c>
      <c r="C137" s="57" t="str">
        <f t="shared" ref="C137:C174" si="76">$C$136</f>
        <v>Multifamily - Low Rise</v>
      </c>
      <c r="D137" s="60" t="str">
        <f t="shared" si="72"/>
        <v>FLOOR R0 - R19_Electric Zonal</v>
      </c>
      <c r="E137" s="61">
        <f t="shared" si="73"/>
        <v>3.0696437099460051E-3</v>
      </c>
      <c r="F137" s="61">
        <f t="shared" si="73"/>
        <v>3.500210809038464E-3</v>
      </c>
      <c r="G137" s="61">
        <f t="shared" si="73"/>
        <v>3.8196479196170373E-3</v>
      </c>
      <c r="H137" s="61">
        <f t="shared" si="73"/>
        <v>3.9860760095493421E-3</v>
      </c>
      <c r="I137" s="61">
        <f t="shared" si="73"/>
        <v>3.8192948106142671E-3</v>
      </c>
      <c r="J137" s="61">
        <f t="shared" si="73"/>
        <v>3.1755182399447151E-3</v>
      </c>
      <c r="K137" s="61">
        <f t="shared" si="73"/>
        <v>2.3762304124252164E-3</v>
      </c>
      <c r="L137" s="61">
        <f t="shared" si="73"/>
        <v>1.6164780177832698E-3</v>
      </c>
      <c r="M137" s="61">
        <f t="shared" si="73"/>
        <v>1.0080045566935865E-3</v>
      </c>
      <c r="N137" s="61">
        <f t="shared" si="73"/>
        <v>5.8022051653435489E-4</v>
      </c>
      <c r="O137" s="61">
        <f t="shared" si="74"/>
        <v>3.1012657577744317E-4</v>
      </c>
      <c r="P137" s="61">
        <f t="shared" si="74"/>
        <v>1.5471116741278541E-4</v>
      </c>
      <c r="Q137" s="61">
        <f t="shared" si="74"/>
        <v>7.2356178064822093E-5</v>
      </c>
      <c r="R137" s="61">
        <f t="shared" si="74"/>
        <v>3.1849354573657544E-5</v>
      </c>
      <c r="S137" s="61">
        <f t="shared" si="74"/>
        <v>1.3240429371678185E-5</v>
      </c>
      <c r="T137" s="61">
        <f t="shared" si="74"/>
        <v>5.2146168824375764E-6</v>
      </c>
      <c r="U137" s="61">
        <f t="shared" si="74"/>
        <v>1.9510407890784281E-6</v>
      </c>
      <c r="V137" s="61">
        <f t="shared" si="74"/>
        <v>6.9521797532343107E-7</v>
      </c>
      <c r="W137" s="61">
        <f t="shared" si="74"/>
        <v>2.364679302159108E-7</v>
      </c>
      <c r="X137" s="61">
        <f t="shared" si="74"/>
        <v>7.6934006944593224E-8</v>
      </c>
      <c r="Y137" s="61">
        <f t="shared" si="75"/>
        <v>2.687895232849552E-2</v>
      </c>
      <c r="AA137" s="61">
        <f t="shared" ref="AA137:AA174" si="77">SUM(E137:X137)</f>
        <v>2.7541782984930645E-2</v>
      </c>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c r="CA137" s="59"/>
      <c r="CB137" s="59"/>
    </row>
    <row r="138" spans="1:80">
      <c r="A138" s="88">
        <f t="shared" si="70"/>
        <v>357.26474219206523</v>
      </c>
      <c r="B138" s="88">
        <f t="shared" si="71"/>
        <v>87.401423781946448</v>
      </c>
      <c r="C138" s="57" t="str">
        <f t="shared" si="76"/>
        <v>Multifamily - Low Rise</v>
      </c>
      <c r="D138" s="60" t="str">
        <f t="shared" si="72"/>
        <v>FLOOR R0 - R30_Electric Zonal</v>
      </c>
      <c r="E138" s="61">
        <f t="shared" si="73"/>
        <v>4.4237299190058206E-2</v>
      </c>
      <c r="F138" s="61">
        <f t="shared" si="73"/>
        <v>5.0442294747762038E-2</v>
      </c>
      <c r="G138" s="61">
        <f t="shared" si="73"/>
        <v>5.5045772013636862E-2</v>
      </c>
      <c r="H138" s="61">
        <f t="shared" si="73"/>
        <v>5.7444203200979704E-2</v>
      </c>
      <c r="I138" s="61">
        <f t="shared" si="73"/>
        <v>5.5040683283452428E-2</v>
      </c>
      <c r="J138" s="61">
        <f t="shared" si="73"/>
        <v>4.5763079932945171E-2</v>
      </c>
      <c r="K138" s="61">
        <f t="shared" si="73"/>
        <v>3.4244370236967567E-2</v>
      </c>
      <c r="L138" s="61">
        <f t="shared" si="73"/>
        <v>2.3295414212123191E-2</v>
      </c>
      <c r="M138" s="61">
        <f t="shared" si="73"/>
        <v>1.452657160663787E-2</v>
      </c>
      <c r="N138" s="61">
        <f t="shared" si="73"/>
        <v>8.3616833129444377E-3</v>
      </c>
      <c r="O138" s="61">
        <f t="shared" si="74"/>
        <v>4.4693011358299716E-3</v>
      </c>
      <c r="P138" s="61">
        <f t="shared" si="74"/>
        <v>2.2295760836044901E-3</v>
      </c>
      <c r="Q138" s="61">
        <f t="shared" si="74"/>
        <v>1.0427405261827483E-3</v>
      </c>
      <c r="R138" s="61">
        <f t="shared" si="74"/>
        <v>4.5898793489291309E-4</v>
      </c>
      <c r="S138" s="61">
        <f t="shared" si="74"/>
        <v>1.9081069038141393E-4</v>
      </c>
      <c r="T138" s="61">
        <f t="shared" si="74"/>
        <v>7.5148971342337692E-5</v>
      </c>
      <c r="U138" s="61">
        <f t="shared" si="74"/>
        <v>2.8116870644895737E-5</v>
      </c>
      <c r="V138" s="61">
        <f t="shared" si="74"/>
        <v>1.0018936555092932E-5</v>
      </c>
      <c r="W138" s="61">
        <f t="shared" si="74"/>
        <v>3.4077904689463301E-6</v>
      </c>
      <c r="X138" s="61">
        <f t="shared" si="74"/>
        <v>1.1087126079390658E-6</v>
      </c>
      <c r="Y138" s="61">
        <f t="shared" si="75"/>
        <v>0.38735839348986961</v>
      </c>
      <c r="AA138" s="61">
        <f t="shared" si="77"/>
        <v>0.39691058939001828</v>
      </c>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c r="CA138" s="59"/>
      <c r="CB138" s="59"/>
    </row>
    <row r="139" spans="1:80">
      <c r="A139" s="88">
        <f t="shared" si="70"/>
        <v>214.28987369126358</v>
      </c>
      <c r="B139" s="88">
        <f t="shared" si="71"/>
        <v>35.535787271970072</v>
      </c>
      <c r="C139" s="57" t="str">
        <f t="shared" si="76"/>
        <v>Multifamily - Low Rise</v>
      </c>
      <c r="D139" s="60" t="str">
        <f t="shared" si="72"/>
        <v>ATTIC R0 - R19_Electric Zonal</v>
      </c>
      <c r="E139" s="61">
        <f t="shared" si="73"/>
        <v>6.0470479046047442E-3</v>
      </c>
      <c r="F139" s="61">
        <f t="shared" si="73"/>
        <v>6.8952440212819424E-3</v>
      </c>
      <c r="G139" s="61">
        <f t="shared" si="73"/>
        <v>7.5245194984060078E-3</v>
      </c>
      <c r="H139" s="61">
        <f t="shared" si="73"/>
        <v>7.8523746919034378E-3</v>
      </c>
      <c r="I139" s="61">
        <f t="shared" si="73"/>
        <v>7.5238238909489004E-3</v>
      </c>
      <c r="J139" s="61">
        <f t="shared" si="73"/>
        <v>6.2556155480433936E-3</v>
      </c>
      <c r="K139" s="61">
        <f t="shared" si="73"/>
        <v>4.6810576386295726E-3</v>
      </c>
      <c r="L139" s="61">
        <f t="shared" si="73"/>
        <v>3.1843825974343762E-3</v>
      </c>
      <c r="M139" s="61">
        <f t="shared" si="73"/>
        <v>1.9857196529473467E-3</v>
      </c>
      <c r="N139" s="61">
        <f t="shared" si="73"/>
        <v>1.1430060261877978E-3</v>
      </c>
      <c r="O139" s="61">
        <f t="shared" si="74"/>
        <v>6.1093417914948132E-4</v>
      </c>
      <c r="P139" s="61">
        <f t="shared" si="74"/>
        <v>3.0477342946712662E-4</v>
      </c>
      <c r="Q139" s="61">
        <f t="shared" si="74"/>
        <v>1.4253813025088391E-4</v>
      </c>
      <c r="R139" s="61">
        <f t="shared" si="74"/>
        <v>6.2741670055589967E-5</v>
      </c>
      <c r="S139" s="61">
        <f t="shared" si="74"/>
        <v>2.6082997980727214E-5</v>
      </c>
      <c r="T139" s="61">
        <f t="shared" si="74"/>
        <v>1.0272540096458074E-5</v>
      </c>
      <c r="U139" s="61">
        <f t="shared" si="74"/>
        <v>3.8434548860403803E-6</v>
      </c>
      <c r="V139" s="61">
        <f t="shared" si="74"/>
        <v>1.3695453929397736E-6</v>
      </c>
      <c r="W139" s="61">
        <f t="shared" si="74"/>
        <v>4.6583025166249548E-7</v>
      </c>
      <c r="X139" s="61">
        <f t="shared" si="74"/>
        <v>1.515562291414375E-7</v>
      </c>
      <c r="Y139" s="61">
        <f t="shared" si="75"/>
        <v>5.2950220844639538E-2</v>
      </c>
      <c r="AA139" s="61">
        <f t="shared" si="77"/>
        <v>5.4255964804147586E-2</v>
      </c>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A139" s="59"/>
      <c r="CB139" s="59"/>
    </row>
    <row r="140" spans="1:80">
      <c r="A140" s="88">
        <f t="shared" si="70"/>
        <v>291.70698270576145</v>
      </c>
      <c r="B140" s="88">
        <f t="shared" si="71"/>
        <v>68.938549102223377</v>
      </c>
      <c r="C140" s="57" t="str">
        <f t="shared" si="76"/>
        <v>Multifamily - Low Rise</v>
      </c>
      <c r="D140" s="60" t="str">
        <f t="shared" si="72"/>
        <v>ATTIC R0 - R38_Electric Zonal</v>
      </c>
      <c r="E140" s="61">
        <f t="shared" si="73"/>
        <v>1.6352198252365027E-3</v>
      </c>
      <c r="F140" s="61">
        <f t="shared" si="73"/>
        <v>1.8645858113440375E-3</v>
      </c>
      <c r="G140" s="61">
        <f t="shared" si="73"/>
        <v>2.0347521060322046E-3</v>
      </c>
      <c r="H140" s="61">
        <f t="shared" si="73"/>
        <v>2.1234094675532701E-3</v>
      </c>
      <c r="I140" s="61">
        <f t="shared" si="73"/>
        <v>2.034564002494348E-3</v>
      </c>
      <c r="J140" s="61">
        <f t="shared" si="73"/>
        <v>1.6916198986002388E-3</v>
      </c>
      <c r="K140" s="61">
        <f t="shared" si="73"/>
        <v>1.2658339035040564E-3</v>
      </c>
      <c r="L140" s="61">
        <f t="shared" si="73"/>
        <v>8.6110869908895802E-4</v>
      </c>
      <c r="M140" s="61">
        <f t="shared" si="73"/>
        <v>5.3697079882377579E-4</v>
      </c>
      <c r="N140" s="61">
        <f t="shared" si="73"/>
        <v>3.0908736690572796E-4</v>
      </c>
      <c r="O140" s="61">
        <f t="shared" si="74"/>
        <v>1.6520651025421636E-4</v>
      </c>
      <c r="P140" s="61">
        <f t="shared" si="74"/>
        <v>8.2415678184136971E-5</v>
      </c>
      <c r="Q140" s="61">
        <f t="shared" si="74"/>
        <v>3.854462212229212E-5</v>
      </c>
      <c r="R140" s="61">
        <f t="shared" si="74"/>
        <v>1.6966365135824764E-5</v>
      </c>
      <c r="S140" s="61">
        <f t="shared" si="74"/>
        <v>7.0532656715370709E-6</v>
      </c>
      <c r="T140" s="61">
        <f t="shared" si="74"/>
        <v>2.7778614435109393E-6</v>
      </c>
      <c r="U140" s="61">
        <f t="shared" si="74"/>
        <v>1.0393325348505132E-6</v>
      </c>
      <c r="V140" s="61">
        <f t="shared" si="74"/>
        <v>3.7034728572119951E-7</v>
      </c>
      <c r="W140" s="61">
        <f t="shared" si="74"/>
        <v>1.2596805494683968E-7</v>
      </c>
      <c r="X140" s="61">
        <f t="shared" si="74"/>
        <v>4.0983262319031308E-8</v>
      </c>
      <c r="Y140" s="61">
        <f t="shared" si="75"/>
        <v>1.4318598470151397E-2</v>
      </c>
      <c r="AA140" s="61">
        <f t="shared" si="77"/>
        <v>1.4671692813532472E-2</v>
      </c>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A140" s="59"/>
      <c r="CB140" s="59"/>
    </row>
    <row r="141" spans="1:80">
      <c r="A141" s="88">
        <f t="shared" si="70"/>
        <v>309.64144332325418</v>
      </c>
      <c r="B141" s="88">
        <f t="shared" si="71"/>
        <v>91.403500392971353</v>
      </c>
      <c r="C141" s="57" t="str">
        <f t="shared" si="76"/>
        <v>Multifamily - Low Rise</v>
      </c>
      <c r="D141" s="60" t="str">
        <f t="shared" si="72"/>
        <v>ATTIC R0 - R49_Electric Zonal</v>
      </c>
      <c r="E141" s="61">
        <f t="shared" si="73"/>
        <v>1.0353714452087695E-2</v>
      </c>
      <c r="F141" s="61">
        <f t="shared" si="73"/>
        <v>1.1805990096333546E-2</v>
      </c>
      <c r="G141" s="61">
        <f t="shared" si="73"/>
        <v>1.2883431304775513E-2</v>
      </c>
      <c r="H141" s="61">
        <f t="shared" si="73"/>
        <v>1.3444782745785509E-2</v>
      </c>
      <c r="I141" s="61">
        <f t="shared" si="73"/>
        <v>1.2882240290400358E-2</v>
      </c>
      <c r="J141" s="61">
        <f t="shared" si="73"/>
        <v>1.0710822558088345E-2</v>
      </c>
      <c r="K141" s="61">
        <f t="shared" si="73"/>
        <v>8.014875173591408E-3</v>
      </c>
      <c r="L141" s="61">
        <f t="shared" si="73"/>
        <v>5.4522783083835822E-3</v>
      </c>
      <c r="M141" s="61">
        <f t="shared" si="73"/>
        <v>3.3999357360572041E-3</v>
      </c>
      <c r="N141" s="61">
        <f t="shared" si="73"/>
        <v>1.9570471739031913E-3</v>
      </c>
      <c r="O141" s="61">
        <f t="shared" si="74"/>
        <v>1.0460373623165089E-3</v>
      </c>
      <c r="P141" s="61">
        <f t="shared" si="74"/>
        <v>5.2183100102170849E-4</v>
      </c>
      <c r="Q141" s="61">
        <f t="shared" si="74"/>
        <v>2.4405282088609445E-4</v>
      </c>
      <c r="R141" s="61">
        <f t="shared" si="74"/>
        <v>1.0742586237956061E-4</v>
      </c>
      <c r="S141" s="61">
        <f t="shared" si="74"/>
        <v>4.4659132424134708E-5</v>
      </c>
      <c r="T141" s="61">
        <f t="shared" si="74"/>
        <v>1.7588573554272224E-5</v>
      </c>
      <c r="U141" s="61">
        <f t="shared" si="74"/>
        <v>6.5807374155645003E-6</v>
      </c>
      <c r="V141" s="61">
        <f t="shared" si="74"/>
        <v>2.3449263427982547E-6</v>
      </c>
      <c r="W141" s="61">
        <f t="shared" si="74"/>
        <v>7.9759140078664228E-7</v>
      </c>
      <c r="X141" s="61">
        <f t="shared" si="74"/>
        <v>2.5949354870675228E-7</v>
      </c>
      <c r="Y141" s="61">
        <f t="shared" si="75"/>
        <v>9.0661009379950294E-2</v>
      </c>
      <c r="AA141" s="61">
        <f t="shared" si="77"/>
        <v>9.2896695340696486E-2</v>
      </c>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row>
    <row r="142" spans="1:80">
      <c r="A142" s="88">
        <f t="shared" si="70"/>
        <v>56.111593683209037</v>
      </c>
      <c r="B142" s="88">
        <f t="shared" si="71"/>
        <v>121.74529912188139</v>
      </c>
      <c r="C142" s="57" t="str">
        <f t="shared" si="76"/>
        <v>Multifamily - Low Rise</v>
      </c>
      <c r="D142" s="60" t="str">
        <f t="shared" si="72"/>
        <v>ATTIC R19 - R30_Electric Zonal</v>
      </c>
      <c r="E142" s="61">
        <f t="shared" si="73"/>
        <v>1.0847275201622581E-3</v>
      </c>
      <c r="F142" s="61">
        <f t="shared" si="73"/>
        <v>1.2368780711036356E-3</v>
      </c>
      <c r="G142" s="61">
        <f t="shared" si="73"/>
        <v>1.3497583456719793E-3</v>
      </c>
      <c r="H142" s="61">
        <f t="shared" si="73"/>
        <v>1.4085694476551427E-3</v>
      </c>
      <c r="I142" s="61">
        <f t="shared" si="73"/>
        <v>1.3496335666783514E-3</v>
      </c>
      <c r="J142" s="61">
        <f t="shared" si="73"/>
        <v>1.1221406622809128E-3</v>
      </c>
      <c r="K142" s="61">
        <f t="shared" si="73"/>
        <v>8.3969436395909386E-4</v>
      </c>
      <c r="L142" s="61">
        <f t="shared" si="73"/>
        <v>5.7121879843758543E-4</v>
      </c>
      <c r="M142" s="61">
        <f t="shared" si="73"/>
        <v>3.5620104038514732E-4</v>
      </c>
      <c r="N142" s="61">
        <f t="shared" si="73"/>
        <v>2.0503394579908619E-4</v>
      </c>
      <c r="O142" s="61">
        <f t="shared" si="74"/>
        <v>1.0959018806954498E-4</v>
      </c>
      <c r="P142" s="61">
        <f t="shared" si="74"/>
        <v>5.4670664359294835E-5</v>
      </c>
      <c r="Q142" s="61">
        <f t="shared" si="74"/>
        <v>2.5568679956689115E-5</v>
      </c>
      <c r="R142" s="61">
        <f t="shared" si="74"/>
        <v>1.1254684474785417E-5</v>
      </c>
      <c r="S142" s="61">
        <f t="shared" si="74"/>
        <v>4.6788029736769128E-6</v>
      </c>
      <c r="T142" s="61">
        <f t="shared" si="74"/>
        <v>1.8427019465338053E-6</v>
      </c>
      <c r="U142" s="61">
        <f t="shared" si="74"/>
        <v>6.8944406479984769E-7</v>
      </c>
      <c r="V142" s="61">
        <f t="shared" si="74"/>
        <v>2.45670879620774E-7</v>
      </c>
      <c r="W142" s="61">
        <f t="shared" si="74"/>
        <v>8.3561251981754808E-8</v>
      </c>
      <c r="X142" s="61">
        <f t="shared" si="74"/>
        <v>2.7186358566226713E-8</v>
      </c>
      <c r="Y142" s="61">
        <f t="shared" si="75"/>
        <v>9.4982812530908841E-3</v>
      </c>
      <c r="AA142" s="61">
        <f t="shared" si="77"/>
        <v>9.732507346468685E-3</v>
      </c>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c r="CA142" s="59"/>
      <c r="CB142" s="59"/>
    </row>
    <row r="143" spans="1:80">
      <c r="A143" s="88">
        <f t="shared" si="70"/>
        <v>77.417109014497882</v>
      </c>
      <c r="B143" s="88">
        <f t="shared" si="71"/>
        <v>161.39709870014082</v>
      </c>
      <c r="C143" s="57" t="str">
        <f t="shared" si="76"/>
        <v>Multifamily - Low Rise</v>
      </c>
      <c r="D143" s="60" t="str">
        <f t="shared" si="72"/>
        <v>ATTIC R19 - R38_Electric Zonal</v>
      </c>
      <c r="E143" s="61">
        <f t="shared" si="73"/>
        <v>4.0568647372284751E-4</v>
      </c>
      <c r="F143" s="61">
        <f t="shared" si="73"/>
        <v>4.6259055270958033E-4</v>
      </c>
      <c r="G143" s="61">
        <f t="shared" si="73"/>
        <v>5.0480760693869041E-4</v>
      </c>
      <c r="H143" s="61">
        <f t="shared" si="73"/>
        <v>5.2680287131230501E-4</v>
      </c>
      <c r="I143" s="61">
        <f t="shared" si="73"/>
        <v>5.0476093978129048E-4</v>
      </c>
      <c r="J143" s="61">
        <f t="shared" si="73"/>
        <v>4.1967893304086911E-4</v>
      </c>
      <c r="K143" s="61">
        <f t="shared" si="73"/>
        <v>3.1404443898367935E-4</v>
      </c>
      <c r="L143" s="61">
        <f t="shared" si="73"/>
        <v>2.136349781442643E-4</v>
      </c>
      <c r="M143" s="61">
        <f t="shared" si="73"/>
        <v>1.3321865751930419E-4</v>
      </c>
      <c r="N143" s="61">
        <f t="shared" si="73"/>
        <v>7.6682389741776242E-5</v>
      </c>
      <c r="O143" s="61">
        <f t="shared" si="74"/>
        <v>4.0986566788594957E-5</v>
      </c>
      <c r="P143" s="61">
        <f t="shared" si="74"/>
        <v>2.0446746881364302E-5</v>
      </c>
      <c r="Q143" s="61">
        <f t="shared" si="74"/>
        <v>9.5626481457994528E-6</v>
      </c>
      <c r="R143" s="61">
        <f t="shared" si="74"/>
        <v>4.2092351973848612E-6</v>
      </c>
      <c r="S143" s="61">
        <f t="shared" si="74"/>
        <v>1.7498653296369117E-6</v>
      </c>
      <c r="T143" s="61">
        <f t="shared" si="74"/>
        <v>6.8916777800539572E-7</v>
      </c>
      <c r="U143" s="61">
        <f t="shared" si="74"/>
        <v>2.5785105132757961E-7</v>
      </c>
      <c r="V143" s="61">
        <f t="shared" si="74"/>
        <v>9.1880542345633138E-8</v>
      </c>
      <c r="W143" s="61">
        <f t="shared" si="74"/>
        <v>3.1251783536637427E-8</v>
      </c>
      <c r="X143" s="61">
        <f t="shared" si="74"/>
        <v>1.0167657531586972E-8</v>
      </c>
      <c r="Y143" s="61">
        <f t="shared" si="75"/>
        <v>3.5523430136794854E-3</v>
      </c>
      <c r="AA143" s="61">
        <f t="shared" si="77"/>
        <v>3.6399432230501344E-3</v>
      </c>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c r="CA143" s="59"/>
      <c r="CB143" s="59"/>
    </row>
    <row r="144" spans="1:80">
      <c r="A144" s="88">
        <f t="shared" si="70"/>
        <v>95.351569631990586</v>
      </c>
      <c r="B144" s="88">
        <f t="shared" si="71"/>
        <v>216.95869821849863</v>
      </c>
      <c r="C144" s="57" t="str">
        <f t="shared" si="76"/>
        <v>Multifamily - Low Rise</v>
      </c>
      <c r="D144" s="60" t="str">
        <f t="shared" si="72"/>
        <v>ATTIC R19 - R49_Electric Zonal</v>
      </c>
      <c r="E144" s="61">
        <f t="shared" si="73"/>
        <v>7.3394083239179423E-3</v>
      </c>
      <c r="F144" s="61">
        <f t="shared" si="73"/>
        <v>8.3688788585097144E-3</v>
      </c>
      <c r="G144" s="61">
        <f t="shared" si="73"/>
        <v>9.1326415651561861E-3</v>
      </c>
      <c r="H144" s="61">
        <f t="shared" si="73"/>
        <v>9.5305651758427184E-3</v>
      </c>
      <c r="I144" s="61">
        <f t="shared" si="73"/>
        <v>9.1317972941595896E-3</v>
      </c>
      <c r="J144" s="61">
        <f t="shared" si="73"/>
        <v>7.5925505385162247E-3</v>
      </c>
      <c r="K144" s="61">
        <f t="shared" si="73"/>
        <v>5.6814819296430201E-3</v>
      </c>
      <c r="L144" s="61">
        <f t="shared" si="73"/>
        <v>3.8649411267855545E-3</v>
      </c>
      <c r="M144" s="61">
        <f t="shared" si="73"/>
        <v>2.4101028435232494E-3</v>
      </c>
      <c r="N144" s="61">
        <f t="shared" si="73"/>
        <v>1.3872865033040323E-3</v>
      </c>
      <c r="O144" s="61">
        <f t="shared" si="74"/>
        <v>7.4150155093053816E-4</v>
      </c>
      <c r="P144" s="61">
        <f t="shared" si="74"/>
        <v>3.6990886800098127E-4</v>
      </c>
      <c r="Q144" s="61">
        <f t="shared" si="74"/>
        <v>1.7300103391646875E-4</v>
      </c>
      <c r="R144" s="61">
        <f t="shared" si="74"/>
        <v>7.6150667685608294E-5</v>
      </c>
      <c r="S144" s="61">
        <f t="shared" si="74"/>
        <v>3.1657393080466579E-5</v>
      </c>
      <c r="T144" s="61">
        <f t="shared" si="74"/>
        <v>1.2467962463851726E-5</v>
      </c>
      <c r="U144" s="61">
        <f t="shared" si="74"/>
        <v>4.6648687472323998E-6</v>
      </c>
      <c r="V144" s="61">
        <f t="shared" si="74"/>
        <v>1.6622413143562901E-6</v>
      </c>
      <c r="W144" s="61">
        <f t="shared" si="74"/>
        <v>5.6538636381250576E-7</v>
      </c>
      <c r="X144" s="61">
        <f t="shared" si="74"/>
        <v>1.8394645904082468E-7</v>
      </c>
      <c r="Y144" s="61">
        <f t="shared" si="75"/>
        <v>6.4266613685085822E-2</v>
      </c>
      <c r="AA144" s="61">
        <f t="shared" si="77"/>
        <v>6.5851418078320581E-2</v>
      </c>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59"/>
    </row>
    <row r="145" spans="1:80">
      <c r="A145" s="88">
        <f t="shared" si="70"/>
        <v>5262.5321950170346</v>
      </c>
      <c r="B145" s="88">
        <f t="shared" si="71"/>
        <v>14.073815422337896</v>
      </c>
      <c r="C145" s="57" t="str">
        <f t="shared" si="76"/>
        <v>Multifamily - Low Rise</v>
      </c>
      <c r="D145" s="60" t="str">
        <f t="shared" si="72"/>
        <v>WINDOW CL22 Prime Window Replacement of Single Pane Base_Electric Zonal</v>
      </c>
      <c r="E145" s="61">
        <f t="shared" si="73"/>
        <v>8.7494844392523086E-2</v>
      </c>
      <c r="F145" s="61">
        <f t="shared" si="73"/>
        <v>9.9767409190050477E-2</v>
      </c>
      <c r="G145" s="61">
        <f t="shared" si="73"/>
        <v>0.1088724073345293</v>
      </c>
      <c r="H145" s="61">
        <f t="shared" si="73"/>
        <v>0.11361614999886216</v>
      </c>
      <c r="I145" s="61">
        <f t="shared" si="73"/>
        <v>0.10886234257777891</v>
      </c>
      <c r="J145" s="61">
        <f t="shared" si="73"/>
        <v>9.0512613359440608E-2</v>
      </c>
      <c r="K145" s="61">
        <f t="shared" si="73"/>
        <v>6.7730306778692032E-2</v>
      </c>
      <c r="L145" s="61">
        <f t="shared" si="73"/>
        <v>4.6074888812542077E-2</v>
      </c>
      <c r="M145" s="61">
        <f t="shared" si="73"/>
        <v>2.8731413208997771E-2</v>
      </c>
      <c r="N145" s="61">
        <f t="shared" si="73"/>
        <v>1.6538174656242341E-2</v>
      </c>
      <c r="O145" s="61">
        <f t="shared" si="74"/>
        <v>8.8396175757188122E-3</v>
      </c>
      <c r="P145" s="61">
        <f t="shared" si="74"/>
        <v>4.4097722073436823E-3</v>
      </c>
      <c r="Q145" s="61">
        <f t="shared" si="74"/>
        <v>2.0623867584719331E-3</v>
      </c>
      <c r="R145" s="61">
        <f t="shared" si="74"/>
        <v>9.0781034730362141E-4</v>
      </c>
      <c r="S145" s="61">
        <f t="shared" si="74"/>
        <v>3.7739536474920479E-4</v>
      </c>
      <c r="T145" s="61">
        <f t="shared" si="74"/>
        <v>1.4863356656578394E-4</v>
      </c>
      <c r="U145" s="61">
        <f t="shared" si="74"/>
        <v>5.5611017555807875E-5</v>
      </c>
      <c r="V145" s="61">
        <f t="shared" si="74"/>
        <v>1.9815976809529634E-5</v>
      </c>
      <c r="W145" s="61">
        <f t="shared" si="74"/>
        <v>6.7401062511020395E-6</v>
      </c>
      <c r="X145" s="61">
        <f t="shared" si="74"/>
        <v>2.1928697927711222E-6</v>
      </c>
      <c r="Y145" s="61">
        <f t="shared" si="75"/>
        <v>0.76613769337325766</v>
      </c>
      <c r="AA145" s="61">
        <f t="shared" si="77"/>
        <v>0.78503052610022106</v>
      </c>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row>
    <row r="146" spans="1:80">
      <c r="A146" s="88">
        <f t="shared" si="70"/>
        <v>3104.8660353810656</v>
      </c>
      <c r="B146" s="88">
        <f t="shared" si="71"/>
        <v>48.630561661519231</v>
      </c>
      <c r="C146" s="57" t="str">
        <f t="shared" si="76"/>
        <v>Multifamily - Low Rise</v>
      </c>
      <c r="D146" s="60" t="str">
        <f t="shared" si="72"/>
        <v>WINDOW CL22 Prime Window Replacement of Double Pane Base_Electric Zonal</v>
      </c>
      <c r="E146" s="61">
        <f t="shared" ref="E146:N155" si="78">VLOOKUP($C146&amp;$D146,$C$88:$Y$126,E$22,FALSE)*$C$134*$A146/8760/1000</f>
        <v>0.26824032793112934</v>
      </c>
      <c r="F146" s="61">
        <f t="shared" si="78"/>
        <v>0.30586536548278298</v>
      </c>
      <c r="G146" s="61">
        <f t="shared" si="78"/>
        <v>0.33377932664294518</v>
      </c>
      <c r="H146" s="61">
        <f t="shared" si="78"/>
        <v>0.34832261884188848</v>
      </c>
      <c r="I146" s="61">
        <f t="shared" si="78"/>
        <v>0.33374847026883514</v>
      </c>
      <c r="J146" s="61">
        <f t="shared" si="78"/>
        <v>0.27749215691518669</v>
      </c>
      <c r="K146" s="61">
        <f t="shared" si="78"/>
        <v>0.20764651708718154</v>
      </c>
      <c r="L146" s="61">
        <f t="shared" si="78"/>
        <v>0.14125567478033899</v>
      </c>
      <c r="M146" s="61">
        <f t="shared" si="78"/>
        <v>8.8084318048857996E-2</v>
      </c>
      <c r="N146" s="61">
        <f t="shared" si="78"/>
        <v>5.0702477659950389E-2</v>
      </c>
      <c r="O146" s="61">
        <f t="shared" ref="O146:X155" si="79">VLOOKUP($C146&amp;$D146,$C$88:$Y$126,O$22,FALSE)*$C$134*$A146/8760/1000</f>
        <v>2.7100361555694306E-2</v>
      </c>
      <c r="P146" s="61">
        <f t="shared" si="79"/>
        <v>1.3519410785997499E-2</v>
      </c>
      <c r="Q146" s="61">
        <f t="shared" si="79"/>
        <v>6.3228331252464668E-3</v>
      </c>
      <c r="R146" s="61">
        <f t="shared" si="79"/>
        <v>2.783150789634471E-3</v>
      </c>
      <c r="S146" s="61">
        <f t="shared" si="79"/>
        <v>1.1570128171879545E-3</v>
      </c>
      <c r="T146" s="61">
        <f t="shared" si="79"/>
        <v>4.5567846784565837E-4</v>
      </c>
      <c r="U146" s="61">
        <f t="shared" si="79"/>
        <v>1.7049138939926434E-4</v>
      </c>
      <c r="V146" s="61">
        <f t="shared" si="79"/>
        <v>6.0751512327029367E-5</v>
      </c>
      <c r="W146" s="61">
        <f t="shared" si="79"/>
        <v>2.0663712515165824E-5</v>
      </c>
      <c r="X146" s="61">
        <f t="shared" si="79"/>
        <v>6.7228659746431818E-6</v>
      </c>
      <c r="Y146" s="61">
        <f t="shared" si="75"/>
        <v>2.3488129790696952</v>
      </c>
      <c r="AA146" s="61">
        <f t="shared" si="77"/>
        <v>2.4067343306809192</v>
      </c>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c r="CA146" s="59"/>
      <c r="CB146" s="59"/>
    </row>
    <row r="147" spans="1:80">
      <c r="A147" s="88">
        <f t="shared" si="70"/>
        <v>4839.7481812685928</v>
      </c>
      <c r="B147" s="88">
        <f t="shared" si="71"/>
        <v>15.298298162320789</v>
      </c>
      <c r="C147" s="57" t="str">
        <f t="shared" si="76"/>
        <v>Multifamily - Low Rise</v>
      </c>
      <c r="D147" s="60" t="str">
        <f t="shared" si="72"/>
        <v>WINDOW CL30 Prime Window Replacement of Single Pane Base_Electric Zonal</v>
      </c>
      <c r="E147" s="61">
        <f t="shared" si="78"/>
        <v>0.32186255462345648</v>
      </c>
      <c r="F147" s="61">
        <f t="shared" si="78"/>
        <v>0.36700897536332378</v>
      </c>
      <c r="G147" s="61">
        <f t="shared" si="78"/>
        <v>0.40050303987616059</v>
      </c>
      <c r="H147" s="61">
        <f t="shared" si="78"/>
        <v>0.41795358959733858</v>
      </c>
      <c r="I147" s="61">
        <f t="shared" si="78"/>
        <v>0.40046601519954295</v>
      </c>
      <c r="J147" s="61">
        <f t="shared" si="78"/>
        <v>0.33296385819967572</v>
      </c>
      <c r="K147" s="61">
        <f t="shared" si="78"/>
        <v>0.24915581845509446</v>
      </c>
      <c r="L147" s="61">
        <f t="shared" si="78"/>
        <v>0.16949320294423878</v>
      </c>
      <c r="M147" s="61">
        <f t="shared" si="78"/>
        <v>0.10569269672511583</v>
      </c>
      <c r="N147" s="61">
        <f t="shared" si="78"/>
        <v>6.0838089153993004E-2</v>
      </c>
      <c r="O147" s="61">
        <f t="shared" si="79"/>
        <v>3.2517823359411502E-2</v>
      </c>
      <c r="P147" s="61">
        <f t="shared" si="79"/>
        <v>1.6221990653479536E-2</v>
      </c>
      <c r="Q147" s="61">
        <f t="shared" si="79"/>
        <v>7.586790688207585E-3</v>
      </c>
      <c r="R147" s="61">
        <f t="shared" si="79"/>
        <v>3.339512853876452E-3</v>
      </c>
      <c r="S147" s="61">
        <f t="shared" si="79"/>
        <v>1.388303928586796E-3</v>
      </c>
      <c r="T147" s="61">
        <f t="shared" si="79"/>
        <v>5.4677026709183956E-4</v>
      </c>
      <c r="U147" s="61">
        <f t="shared" si="79"/>
        <v>2.0457324428651462E-4</v>
      </c>
      <c r="V147" s="61">
        <f t="shared" si="79"/>
        <v>7.2895962757085791E-5</v>
      </c>
      <c r="W147" s="61">
        <f t="shared" si="79"/>
        <v>2.4794464536456922E-5</v>
      </c>
      <c r="X147" s="61">
        <f t="shared" si="79"/>
        <v>8.0667915733585493E-6</v>
      </c>
      <c r="Y147" s="61">
        <f t="shared" si="75"/>
        <v>2.8183493198315994</v>
      </c>
      <c r="AA147" s="61">
        <f t="shared" si="77"/>
        <v>2.8878493623517474</v>
      </c>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c r="CA147" s="59"/>
      <c r="CB147" s="59"/>
    </row>
    <row r="148" spans="1:80">
      <c r="A148" s="88">
        <f t="shared" si="70"/>
        <v>2682.0820216326224</v>
      </c>
      <c r="B148" s="88">
        <f t="shared" si="71"/>
        <v>56.287384914975831</v>
      </c>
      <c r="C148" s="57" t="str">
        <f t="shared" si="76"/>
        <v>Multifamily - Low Rise</v>
      </c>
      <c r="D148" s="60" t="str">
        <f t="shared" si="72"/>
        <v>WINDOW CL30 Prime Window Replacement of Double Pane Base_Electric Zonal</v>
      </c>
      <c r="E148" s="61">
        <f t="shared" si="78"/>
        <v>0.92685810314855988</v>
      </c>
      <c r="F148" s="61">
        <f t="shared" si="78"/>
        <v>1.056864919069888</v>
      </c>
      <c r="G148" s="61">
        <f t="shared" si="78"/>
        <v>1.1533167885252269</v>
      </c>
      <c r="H148" s="61">
        <f t="shared" si="78"/>
        <v>1.2035686217414041</v>
      </c>
      <c r="I148" s="61">
        <f t="shared" si="78"/>
        <v>1.1532101696562511</v>
      </c>
      <c r="J148" s="61">
        <f t="shared" si="78"/>
        <v>0.95882619955284099</v>
      </c>
      <c r="K148" s="61">
        <f t="shared" si="78"/>
        <v>0.71748665995608185</v>
      </c>
      <c r="L148" s="61">
        <f t="shared" si="78"/>
        <v>0.48808457622930429</v>
      </c>
      <c r="M148" s="61">
        <f t="shared" si="78"/>
        <v>0.30436014067526956</v>
      </c>
      <c r="N148" s="61">
        <f t="shared" si="78"/>
        <v>0.17519365052707342</v>
      </c>
      <c r="O148" s="61">
        <f t="shared" si="79"/>
        <v>9.3640616606314592E-2</v>
      </c>
      <c r="P148" s="61">
        <f t="shared" si="79"/>
        <v>4.6713987913156167E-2</v>
      </c>
      <c r="Q148" s="61">
        <f t="shared" si="79"/>
        <v>2.184745732377523E-2</v>
      </c>
      <c r="R148" s="61">
        <f t="shared" si="79"/>
        <v>9.61669664495538E-3</v>
      </c>
      <c r="S148" s="61">
        <f t="shared" si="79"/>
        <v>3.997857866221869E-3</v>
      </c>
      <c r="T148" s="61">
        <f t="shared" si="79"/>
        <v>1.5745182076481322E-3</v>
      </c>
      <c r="U148" s="61">
        <f t="shared" si="79"/>
        <v>5.8910353637181871E-4</v>
      </c>
      <c r="V148" s="61">
        <f t="shared" si="79"/>
        <v>2.0991635341757362E-4</v>
      </c>
      <c r="W148" s="61">
        <f t="shared" si="79"/>
        <v>7.1399888053861579E-5</v>
      </c>
      <c r="X148" s="61">
        <f t="shared" si="79"/>
        <v>2.3229701712039434E-5</v>
      </c>
      <c r="Y148" s="61">
        <f t="shared" si="75"/>
        <v>8.1159173910278106</v>
      </c>
      <c r="AA148" s="61">
        <f t="shared" si="77"/>
        <v>8.31605461312353</v>
      </c>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row>
    <row r="149" spans="1:80">
      <c r="A149" s="88">
        <f t="shared" si="70"/>
        <v>712.3575717659503</v>
      </c>
      <c r="B149" s="88">
        <f t="shared" si="71"/>
        <v>1.4354544635360371</v>
      </c>
      <c r="C149" s="57" t="str">
        <f t="shared" si="76"/>
        <v>Multifamily - Low Rise</v>
      </c>
      <c r="D149" s="60" t="str">
        <f t="shared" ref="D149:D161" si="80">D36</f>
        <v>WALL R0 - R11_Electric FAF</v>
      </c>
      <c r="E149" s="61">
        <f t="shared" si="78"/>
        <v>9.9419547547861843E-3</v>
      </c>
      <c r="F149" s="61">
        <f t="shared" si="78"/>
        <v>1.1336474452367649E-2</v>
      </c>
      <c r="G149" s="61">
        <f t="shared" si="78"/>
        <v>1.2371066607177589E-2</v>
      </c>
      <c r="H149" s="61">
        <f t="shared" si="78"/>
        <v>1.2910093509443577E-2</v>
      </c>
      <c r="I149" s="61">
        <f t="shared" si="78"/>
        <v>1.2369922958578349E-2</v>
      </c>
      <c r="J149" s="61">
        <f t="shared" si="78"/>
        <v>1.0284860931004901E-2</v>
      </c>
      <c r="K149" s="61">
        <f t="shared" si="78"/>
        <v>7.6961294142159457E-3</v>
      </c>
      <c r="L149" s="61">
        <f t="shared" si="78"/>
        <v>5.2354451635008865E-3</v>
      </c>
      <c r="M149" s="61">
        <f t="shared" si="78"/>
        <v>3.2647227633601237E-3</v>
      </c>
      <c r="N149" s="61">
        <f t="shared" si="78"/>
        <v>1.8792168304394821E-3</v>
      </c>
      <c r="O149" s="61">
        <f t="shared" si="79"/>
        <v>1.0044372168163918E-3</v>
      </c>
      <c r="P149" s="61">
        <f t="shared" si="79"/>
        <v>5.0107816144731631E-4</v>
      </c>
      <c r="Q149" s="61">
        <f t="shared" si="79"/>
        <v>2.3434701760953461E-4</v>
      </c>
      <c r="R149" s="61">
        <f t="shared" si="79"/>
        <v>1.0315361392414348E-4</v>
      </c>
      <c r="S149" s="61">
        <f t="shared" si="79"/>
        <v>4.2883071191829615E-5</v>
      </c>
      <c r="T149" s="61">
        <f t="shared" si="79"/>
        <v>1.6889088769735585E-5</v>
      </c>
      <c r="U149" s="61">
        <f t="shared" si="79"/>
        <v>6.3190262723035237E-6</v>
      </c>
      <c r="V149" s="61">
        <f t="shared" si="79"/>
        <v>2.251670326749806E-6</v>
      </c>
      <c r="W149" s="61">
        <f t="shared" si="79"/>
        <v>7.6587177057296806E-7</v>
      </c>
      <c r="X149" s="61">
        <f t="shared" si="79"/>
        <v>2.4917367890914148E-7</v>
      </c>
      <c r="Y149" s="61">
        <f t="shared" si="75"/>
        <v>8.7055486941400667E-2</v>
      </c>
      <c r="AA149" s="61">
        <f t="shared" si="77"/>
        <v>8.920226129668217E-2</v>
      </c>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row>
    <row r="150" spans="1:80">
      <c r="A150" s="88">
        <f t="shared" si="70"/>
        <v>245.17929119859181</v>
      </c>
      <c r="B150" s="88">
        <f t="shared" si="71"/>
        <v>77.909755903057984</v>
      </c>
      <c r="C150" s="57" t="str">
        <f t="shared" si="76"/>
        <v>Multifamily - Low Rise</v>
      </c>
      <c r="D150" s="60" t="str">
        <f t="shared" si="80"/>
        <v>FLOOR R0 - R19_Electric FAF</v>
      </c>
      <c r="E150" s="61">
        <f t="shared" si="78"/>
        <v>8.4385942787534819E-4</v>
      </c>
      <c r="F150" s="61">
        <f t="shared" si="78"/>
        <v>9.6222433932251423E-4</v>
      </c>
      <c r="G150" s="61">
        <f t="shared" si="78"/>
        <v>1.0500390966188039E-3</v>
      </c>
      <c r="H150" s="61">
        <f t="shared" si="78"/>
        <v>1.0957909577542226E-3</v>
      </c>
      <c r="I150" s="61">
        <f t="shared" si="78"/>
        <v>1.0499420253006929E-3</v>
      </c>
      <c r="J150" s="61">
        <f t="shared" si="78"/>
        <v>8.7296483187445067E-4</v>
      </c>
      <c r="K150" s="61">
        <f t="shared" si="78"/>
        <v>6.5323686583952645E-4</v>
      </c>
      <c r="L150" s="61">
        <f t="shared" si="78"/>
        <v>4.443773754067572E-4</v>
      </c>
      <c r="M150" s="61">
        <f t="shared" si="78"/>
        <v>2.7710517209248245E-4</v>
      </c>
      <c r="N150" s="61">
        <f t="shared" si="78"/>
        <v>1.5950533657628691E-4</v>
      </c>
      <c r="O150" s="61">
        <f t="shared" si="79"/>
        <v>8.5255247687718544E-5</v>
      </c>
      <c r="P150" s="61">
        <f t="shared" si="79"/>
        <v>4.2530824276403312E-5</v>
      </c>
      <c r="Q150" s="61">
        <f t="shared" si="79"/>
        <v>1.9891052120215472E-5</v>
      </c>
      <c r="R150" s="61">
        <f t="shared" si="79"/>
        <v>8.7555366903472032E-6</v>
      </c>
      <c r="S150" s="61">
        <f t="shared" si="79"/>
        <v>3.6398560257030091E-6</v>
      </c>
      <c r="T150" s="61">
        <f t="shared" si="79"/>
        <v>1.4335225957152878E-6</v>
      </c>
      <c r="U150" s="61">
        <f t="shared" si="79"/>
        <v>5.3635024765208017E-7</v>
      </c>
      <c r="V150" s="61">
        <f t="shared" si="79"/>
        <v>1.9111867641323359E-7</v>
      </c>
      <c r="W150" s="61">
        <f t="shared" si="79"/>
        <v>6.500614115453035E-8</v>
      </c>
      <c r="X150" s="61">
        <f t="shared" si="79"/>
        <v>2.1149518712568905E-8</v>
      </c>
      <c r="Y150" s="61">
        <f t="shared" si="75"/>
        <v>7.3891498418270692E-3</v>
      </c>
      <c r="AA150" s="61">
        <f t="shared" si="77"/>
        <v>7.5713650926411214E-3</v>
      </c>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row>
    <row r="151" spans="1:80">
      <c r="A151" s="88">
        <f t="shared" si="70"/>
        <v>318.80670205822048</v>
      </c>
      <c r="B151" s="88">
        <f t="shared" si="71"/>
        <v>102.24563978318299</v>
      </c>
      <c r="C151" s="57" t="str">
        <f t="shared" si="76"/>
        <v>Multifamily - Low Rise</v>
      </c>
      <c r="D151" s="60" t="str">
        <f t="shared" si="80"/>
        <v>FLOOR R0 - R30_Electric FAF</v>
      </c>
      <c r="E151" s="61">
        <f t="shared" si="78"/>
        <v>1.2148636045548358E-2</v>
      </c>
      <c r="F151" s="61">
        <f t="shared" si="78"/>
        <v>1.3852678427767964E-2</v>
      </c>
      <c r="G151" s="61">
        <f t="shared" si="78"/>
        <v>1.5116905016439043E-2</v>
      </c>
      <c r="H151" s="61">
        <f t="shared" si="78"/>
        <v>1.5775572433049077E-2</v>
      </c>
      <c r="I151" s="61">
        <f t="shared" si="78"/>
        <v>1.5115507527621313E-2</v>
      </c>
      <c r="J151" s="61">
        <f t="shared" si="78"/>
        <v>1.2567652469923689E-2</v>
      </c>
      <c r="K151" s="61">
        <f t="shared" si="78"/>
        <v>9.4043352156413622E-3</v>
      </c>
      <c r="L151" s="61">
        <f t="shared" si="78"/>
        <v>6.3974861480011365E-3</v>
      </c>
      <c r="M151" s="61">
        <f t="shared" si="78"/>
        <v>3.9893491390699861E-3</v>
      </c>
      <c r="N151" s="61">
        <f t="shared" si="78"/>
        <v>2.2963211849950944E-3</v>
      </c>
      <c r="O151" s="61">
        <f t="shared" si="79"/>
        <v>1.2273785667583558E-3</v>
      </c>
      <c r="P151" s="61">
        <f t="shared" si="79"/>
        <v>6.1229570682419423E-4</v>
      </c>
      <c r="Q151" s="61">
        <f t="shared" si="79"/>
        <v>2.8636185695045201E-4</v>
      </c>
      <c r="R151" s="61">
        <f t="shared" si="79"/>
        <v>1.260492270641378E-4</v>
      </c>
      <c r="S151" s="61">
        <f t="shared" si="79"/>
        <v>5.2401246764282011E-5</v>
      </c>
      <c r="T151" s="61">
        <f t="shared" si="79"/>
        <v>2.0637731478882425E-5</v>
      </c>
      <c r="U151" s="61">
        <f t="shared" si="79"/>
        <v>7.7215751064967145E-6</v>
      </c>
      <c r="V151" s="61">
        <f t="shared" si="79"/>
        <v>2.7514431486499591E-6</v>
      </c>
      <c r="W151" s="61">
        <f t="shared" si="79"/>
        <v>9.3586197359945657E-7</v>
      </c>
      <c r="X151" s="61">
        <f t="shared" si="79"/>
        <v>3.0447939181579903E-7</v>
      </c>
      <c r="Y151" s="61">
        <f t="shared" si="75"/>
        <v>0.10637801646702523</v>
      </c>
      <c r="AA151" s="61">
        <f t="shared" si="77"/>
        <v>0.10900128130351787</v>
      </c>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row>
    <row r="152" spans="1:80">
      <c r="A152" s="88">
        <f t="shared" si="70"/>
        <v>216.91838694515957</v>
      </c>
      <c r="B152" s="88">
        <f t="shared" si="71"/>
        <v>34.673154471859185</v>
      </c>
      <c r="C152" s="57" t="str">
        <f t="shared" si="76"/>
        <v>Multifamily - Low Rise</v>
      </c>
      <c r="D152" s="60" t="str">
        <f t="shared" si="80"/>
        <v>ATTIC R0 - R19_Electric FAF</v>
      </c>
      <c r="E152" s="61">
        <f t="shared" si="78"/>
        <v>1.8838215452864659E-3</v>
      </c>
      <c r="F152" s="61">
        <f t="shared" si="78"/>
        <v>2.148057937065019E-3</v>
      </c>
      <c r="G152" s="61">
        <f t="shared" si="78"/>
        <v>2.3440945354891917E-3</v>
      </c>
      <c r="H152" s="61">
        <f t="shared" si="78"/>
        <v>2.4462304350203021E-3</v>
      </c>
      <c r="I152" s="61">
        <f t="shared" si="78"/>
        <v>2.3438778346567472E-3</v>
      </c>
      <c r="J152" s="61">
        <f t="shared" si="78"/>
        <v>1.9487960959362399E-3</v>
      </c>
      <c r="K152" s="61">
        <f t="shared" si="78"/>
        <v>1.4582780512889901E-3</v>
      </c>
      <c r="L152" s="61">
        <f t="shared" si="78"/>
        <v>9.9202265967070365E-4</v>
      </c>
      <c r="M152" s="61">
        <f t="shared" si="78"/>
        <v>6.1860622309151071E-4</v>
      </c>
      <c r="N152" s="61">
        <f t="shared" si="78"/>
        <v>3.5607777753591017E-4</v>
      </c>
      <c r="O152" s="61">
        <f t="shared" si="79"/>
        <v>1.9032278023749523E-4</v>
      </c>
      <c r="P152" s="61">
        <f t="shared" si="79"/>
        <v>9.4945295939167167E-5</v>
      </c>
      <c r="Q152" s="61">
        <f t="shared" si="79"/>
        <v>4.4404543345355684E-5</v>
      </c>
      <c r="R152" s="61">
        <f t="shared" si="79"/>
        <v>1.9545753845933956E-5</v>
      </c>
      <c r="S152" s="61">
        <f t="shared" si="79"/>
        <v>8.1255704166558932E-6</v>
      </c>
      <c r="T152" s="61">
        <f t="shared" si="79"/>
        <v>3.2001784447235529E-6</v>
      </c>
      <c r="U152" s="61">
        <f t="shared" si="79"/>
        <v>1.1973417834421245E-6</v>
      </c>
      <c r="V152" s="61">
        <f t="shared" si="79"/>
        <v>4.2665101371251675E-7</v>
      </c>
      <c r="W152" s="61">
        <f t="shared" si="79"/>
        <v>1.4511892056614766E-7</v>
      </c>
      <c r="X152" s="61">
        <f t="shared" si="79"/>
        <v>4.7213928892741941E-8</v>
      </c>
      <c r="Y152" s="61">
        <f t="shared" si="75"/>
        <v>1.649544842845567E-2</v>
      </c>
      <c r="AA152" s="61">
        <f t="shared" si="77"/>
        <v>1.6902223542917028E-2</v>
      </c>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row>
    <row r="153" spans="1:80">
      <c r="A153" s="88">
        <f t="shared" si="70"/>
        <v>295.10011901769491</v>
      </c>
      <c r="B153" s="88">
        <f t="shared" si="71"/>
        <v>67.735927767529191</v>
      </c>
      <c r="C153" s="57" t="str">
        <f t="shared" si="76"/>
        <v>Multifamily - Low Rise</v>
      </c>
      <c r="D153" s="60" t="str">
        <f t="shared" si="80"/>
        <v>ATTIC R0 - R38_Electric FAF</v>
      </c>
      <c r="E153" s="61">
        <f t="shared" si="78"/>
        <v>5.0909676396136618E-4</v>
      </c>
      <c r="F153" s="61">
        <f t="shared" si="78"/>
        <v>5.8050580602900671E-4</v>
      </c>
      <c r="G153" s="61">
        <f t="shared" si="78"/>
        <v>6.3348407147323371E-4</v>
      </c>
      <c r="H153" s="61">
        <f t="shared" si="78"/>
        <v>6.610859725480324E-4</v>
      </c>
      <c r="I153" s="61">
        <f t="shared" si="78"/>
        <v>6.334255087644562E-4</v>
      </c>
      <c r="J153" s="61">
        <f t="shared" si="78"/>
        <v>5.2665592903111994E-4</v>
      </c>
      <c r="K153" s="61">
        <f t="shared" si="78"/>
        <v>3.940949920254878E-4</v>
      </c>
      <c r="L153" s="61">
        <f t="shared" si="78"/>
        <v>2.6809095961258039E-4</v>
      </c>
      <c r="M153" s="61">
        <f t="shared" si="78"/>
        <v>1.6717635867911294E-4</v>
      </c>
      <c r="N153" s="61">
        <f t="shared" si="78"/>
        <v>9.6228883630546216E-5</v>
      </c>
      <c r="O153" s="61">
        <f t="shared" si="79"/>
        <v>5.1434124304117634E-5</v>
      </c>
      <c r="P153" s="61">
        <f t="shared" si="79"/>
        <v>2.5658663389282933E-5</v>
      </c>
      <c r="Q153" s="61">
        <f t="shared" si="79"/>
        <v>1.2000186205994976E-5</v>
      </c>
      <c r="R153" s="61">
        <f t="shared" si="79"/>
        <v>5.2821776335705077E-6</v>
      </c>
      <c r="S153" s="61">
        <f t="shared" si="79"/>
        <v>2.1959094877167197E-6</v>
      </c>
      <c r="T153" s="61">
        <f t="shared" si="79"/>
        <v>8.6483801737172042E-7</v>
      </c>
      <c r="U153" s="61">
        <f t="shared" si="79"/>
        <v>3.2357779792428393E-7</v>
      </c>
      <c r="V153" s="61">
        <f t="shared" si="79"/>
        <v>1.1530107560631431E-7</v>
      </c>
      <c r="W153" s="61">
        <f t="shared" si="79"/>
        <v>3.9217925410529109E-8</v>
      </c>
      <c r="X153" s="61">
        <f t="shared" si="79"/>
        <v>1.275941368933745E-8</v>
      </c>
      <c r="Y153" s="61">
        <f t="shared" si="75"/>
        <v>4.4578423237756123E-3</v>
      </c>
      <c r="AA153" s="61">
        <f t="shared" si="77"/>
        <v>4.5677720010056291E-3</v>
      </c>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row>
    <row r="154" spans="1:80">
      <c r="A154" s="88">
        <f t="shared" si="70"/>
        <v>313.18425137916427</v>
      </c>
      <c r="B154" s="88">
        <f t="shared" si="71"/>
        <v>89.966208699924948</v>
      </c>
      <c r="C154" s="57" t="str">
        <f t="shared" si="76"/>
        <v>Multifamily - Low Rise</v>
      </c>
      <c r="D154" s="60" t="str">
        <f t="shared" si="80"/>
        <v>ATTIC R0 - R49_Electric FAF</v>
      </c>
      <c r="E154" s="61">
        <f t="shared" si="78"/>
        <v>3.2228392821695997E-3</v>
      </c>
      <c r="F154" s="61">
        <f t="shared" si="78"/>
        <v>3.6748945340767964E-3</v>
      </c>
      <c r="G154" s="61">
        <f t="shared" si="78"/>
        <v>4.0102736742746309E-3</v>
      </c>
      <c r="H154" s="61">
        <f t="shared" si="78"/>
        <v>4.1850076292780664E-3</v>
      </c>
      <c r="I154" s="61">
        <f t="shared" si="78"/>
        <v>4.0099029427915827E-3</v>
      </c>
      <c r="J154" s="61">
        <f t="shared" si="78"/>
        <v>3.3339976531412867E-3</v>
      </c>
      <c r="K154" s="61">
        <f t="shared" si="78"/>
        <v>2.494820063917047E-3</v>
      </c>
      <c r="L154" s="61">
        <f t="shared" si="78"/>
        <v>1.6971509877826206E-3</v>
      </c>
      <c r="M154" s="61">
        <f t="shared" si="78"/>
        <v>1.0583106669324782E-3</v>
      </c>
      <c r="N154" s="61">
        <f t="shared" si="78"/>
        <v>6.0917736705037558E-4</v>
      </c>
      <c r="O154" s="61">
        <f t="shared" si="79"/>
        <v>3.256039479832243E-4</v>
      </c>
      <c r="P154" s="61">
        <f t="shared" si="79"/>
        <v>1.6243228036944148E-4</v>
      </c>
      <c r="Q154" s="61">
        <f t="shared" si="79"/>
        <v>7.5967231056619529E-5</v>
      </c>
      <c r="R154" s="61">
        <f t="shared" si="79"/>
        <v>3.3438848521458223E-5</v>
      </c>
      <c r="S154" s="61">
        <f t="shared" si="79"/>
        <v>1.3901214578608923E-5</v>
      </c>
      <c r="T154" s="61">
        <f t="shared" si="79"/>
        <v>5.4748608366930632E-6</v>
      </c>
      <c r="U154" s="61">
        <f t="shared" si="79"/>
        <v>2.0484106594467713E-6</v>
      </c>
      <c r="V154" s="61">
        <f t="shared" si="79"/>
        <v>7.299139614421832E-7</v>
      </c>
      <c r="W154" s="61">
        <f t="shared" si="79"/>
        <v>2.4826924766672092E-7</v>
      </c>
      <c r="X154" s="61">
        <f t="shared" si="79"/>
        <v>8.0773523947541489E-8</v>
      </c>
      <c r="Y154" s="61">
        <f t="shared" si="75"/>
        <v>2.8220390251532848E-2</v>
      </c>
      <c r="AA154" s="61">
        <f t="shared" si="77"/>
        <v>2.8916300552153027E-2</v>
      </c>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row>
    <row r="155" spans="1:80">
      <c r="A155" s="88">
        <f t="shared" si="70"/>
        <v>56.683436160197026</v>
      </c>
      <c r="B155" s="88">
        <f t="shared" si="71"/>
        <v>120.1574086804076</v>
      </c>
      <c r="C155" s="57" t="str">
        <f t="shared" si="76"/>
        <v>Multifamily - Low Rise</v>
      </c>
      <c r="D155" s="60" t="str">
        <f t="shared" si="80"/>
        <v>ATTIC R19 - R30_Electric FAF</v>
      </c>
      <c r="E155" s="61">
        <f t="shared" si="78"/>
        <v>3.3722973198974722E-4</v>
      </c>
      <c r="F155" s="61">
        <f t="shared" si="78"/>
        <v>3.8453164750524736E-4</v>
      </c>
      <c r="G155" s="61">
        <f t="shared" si="78"/>
        <v>4.1962487048710498E-4</v>
      </c>
      <c r="H155" s="61">
        <f t="shared" si="78"/>
        <v>4.379085885556178E-4</v>
      </c>
      <c r="I155" s="61">
        <f t="shared" si="78"/>
        <v>4.1958607808459196E-4</v>
      </c>
      <c r="J155" s="61">
        <f t="shared" si="78"/>
        <v>3.4886106212109755E-4</v>
      </c>
      <c r="K155" s="61">
        <f t="shared" si="78"/>
        <v>2.6105164665580599E-4</v>
      </c>
      <c r="L155" s="61">
        <f t="shared" si="78"/>
        <v>1.7758557676843823E-4</v>
      </c>
      <c r="M155" s="61">
        <f t="shared" si="78"/>
        <v>1.1073894517360825E-4</v>
      </c>
      <c r="N155" s="61">
        <f t="shared" si="78"/>
        <v>6.3742775310322535E-5</v>
      </c>
      <c r="O155" s="61">
        <f t="shared" si="79"/>
        <v>3.4070371650449549E-5</v>
      </c>
      <c r="P155" s="61">
        <f t="shared" si="79"/>
        <v>1.6996502021842867E-5</v>
      </c>
      <c r="Q155" s="61">
        <f t="shared" si="79"/>
        <v>7.9490184667169654E-6</v>
      </c>
      <c r="R155" s="61">
        <f t="shared" si="79"/>
        <v>3.4989563355904539E-6</v>
      </c>
      <c r="S155" s="61">
        <f t="shared" si="79"/>
        <v>1.4545878513434218E-6</v>
      </c>
      <c r="T155" s="61">
        <f t="shared" si="79"/>
        <v>5.7287555816194911E-7</v>
      </c>
      <c r="U155" s="61">
        <f t="shared" si="79"/>
        <v>2.1434049830283281E-7</v>
      </c>
      <c r="V155" s="61">
        <f t="shared" si="79"/>
        <v>7.6376346457778063E-8</v>
      </c>
      <c r="W155" s="61">
        <f t="shared" si="79"/>
        <v>2.5978264667167034E-8</v>
      </c>
      <c r="X155" s="61">
        <f t="shared" si="79"/>
        <v>8.4519367699774117E-9</v>
      </c>
      <c r="Y155" s="61">
        <f t="shared" si="75"/>
        <v>2.9529100919869215E-3</v>
      </c>
      <c r="AA155" s="61">
        <f t="shared" si="77"/>
        <v>3.0257283815818842E-3</v>
      </c>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row>
    <row r="156" spans="1:80">
      <c r="A156" s="88">
        <f t="shared" si="70"/>
        <v>78.181732072535269</v>
      </c>
      <c r="B156" s="88">
        <f t="shared" si="71"/>
        <v>159.46993341192052</v>
      </c>
      <c r="C156" s="57" t="str">
        <f t="shared" si="76"/>
        <v>Multifamily - Low Rise</v>
      </c>
      <c r="D156" s="60" t="str">
        <f t="shared" si="80"/>
        <v>ATTIC R19 - R38_Electric FAF</v>
      </c>
      <c r="E156" s="61">
        <f t="shared" ref="E156:N165" si="81">VLOOKUP($C156&amp;$D156,$C$88:$Y$126,E$22,FALSE)*$C$134*$A156/8760/1000</f>
        <v>1.2608415124644757E-4</v>
      </c>
      <c r="F156" s="61">
        <f t="shared" si="81"/>
        <v>1.4376948947245055E-4</v>
      </c>
      <c r="G156" s="61">
        <f t="shared" si="81"/>
        <v>1.5689021642633716E-4</v>
      </c>
      <c r="H156" s="61">
        <f t="shared" si="81"/>
        <v>1.6372617083847032E-4</v>
      </c>
      <c r="I156" s="61">
        <f t="shared" si="81"/>
        <v>1.5687571264247211E-4</v>
      </c>
      <c r="J156" s="61">
        <f t="shared" si="81"/>
        <v>1.3043289706676908E-4</v>
      </c>
      <c r="K156" s="61">
        <f t="shared" si="81"/>
        <v>9.7602530790747501E-5</v>
      </c>
      <c r="L156" s="61">
        <f t="shared" si="81"/>
        <v>6.639606356280631E-5</v>
      </c>
      <c r="M156" s="61">
        <f t="shared" si="81"/>
        <v>4.1403306374438511E-5</v>
      </c>
      <c r="N156" s="61">
        <f t="shared" si="81"/>
        <v>2.3832280966671642E-5</v>
      </c>
      <c r="O156" s="61">
        <f t="shared" ref="O156:X165" si="82">VLOOKUP($C156&amp;$D156,$C$88:$Y$126,O$22,FALSE)*$C$134*$A156/8760/1000</f>
        <v>1.2738301177811224E-5</v>
      </c>
      <c r="P156" s="61">
        <f t="shared" si="82"/>
        <v>6.3546874083087727E-6</v>
      </c>
      <c r="Q156" s="61">
        <f t="shared" si="82"/>
        <v>2.9719955020123134E-6</v>
      </c>
      <c r="R156" s="61">
        <f t="shared" si="82"/>
        <v>1.3081970478057236E-6</v>
      </c>
      <c r="S156" s="61">
        <f t="shared" si="82"/>
        <v>5.4384432110394442E-7</v>
      </c>
      <c r="T156" s="61">
        <f t="shared" si="82"/>
        <v>2.1418790121056201E-7</v>
      </c>
      <c r="U156" s="61">
        <f t="shared" si="82"/>
        <v>8.013806981608297E-8</v>
      </c>
      <c r="V156" s="61">
        <f t="shared" si="82"/>
        <v>2.8555746735659546E-8</v>
      </c>
      <c r="W156" s="61">
        <f t="shared" si="82"/>
        <v>9.7128074446143905E-9</v>
      </c>
      <c r="X156" s="61">
        <f t="shared" si="82"/>
        <v>3.1600276397445362E-9</v>
      </c>
      <c r="Y156" s="61">
        <f t="shared" si="75"/>
        <v>1.1040401463372749E-3</v>
      </c>
      <c r="AA156" s="61">
        <f t="shared" si="77"/>
        <v>1.1312655993974997E-3</v>
      </c>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row>
    <row r="157" spans="1:80">
      <c r="A157" s="88">
        <f t="shared" si="70"/>
        <v>96.265864434004669</v>
      </c>
      <c r="B157" s="88">
        <f t="shared" si="71"/>
        <v>214.55949213369954</v>
      </c>
      <c r="C157" s="57" t="str">
        <f t="shared" si="76"/>
        <v>Multifamily - Low Rise</v>
      </c>
      <c r="D157" s="60" t="str">
        <f t="shared" si="80"/>
        <v>ATTIC R19 - R49_Electric FAF</v>
      </c>
      <c r="E157" s="61">
        <f t="shared" si="81"/>
        <v>2.2803796232660862E-3</v>
      </c>
      <c r="F157" s="61">
        <f t="shared" si="81"/>
        <v>2.600239689122557E-3</v>
      </c>
      <c r="G157" s="61">
        <f t="shared" si="81"/>
        <v>2.8375434112184314E-3</v>
      </c>
      <c r="H157" s="61">
        <f t="shared" si="81"/>
        <v>2.961179657272342E-3</v>
      </c>
      <c r="I157" s="61">
        <f t="shared" si="81"/>
        <v>2.837281093291402E-3</v>
      </c>
      <c r="J157" s="61">
        <f t="shared" si="81"/>
        <v>2.3590317873754436E-3</v>
      </c>
      <c r="K157" s="61">
        <f t="shared" si="81"/>
        <v>1.7652561419823358E-3</v>
      </c>
      <c r="L157" s="61">
        <f t="shared" si="81"/>
        <v>1.20085061379171E-3</v>
      </c>
      <c r="M157" s="61">
        <f t="shared" si="81"/>
        <v>7.4882731301863421E-4</v>
      </c>
      <c r="N157" s="61">
        <f t="shared" si="81"/>
        <v>4.3103472843404996E-4</v>
      </c>
      <c r="O157" s="61">
        <f t="shared" si="82"/>
        <v>2.3038710380124432E-4</v>
      </c>
      <c r="P157" s="61">
        <f t="shared" si="82"/>
        <v>1.1493196833127896E-4</v>
      </c>
      <c r="Q157" s="61">
        <f t="shared" si="82"/>
        <v>5.3752021298698248E-5</v>
      </c>
      <c r="R157" s="61">
        <f t="shared" si="82"/>
        <v>2.366027658148727E-5</v>
      </c>
      <c r="S157" s="61">
        <f t="shared" si="82"/>
        <v>9.8360618350068418E-6</v>
      </c>
      <c r="T157" s="61">
        <f t="shared" si="82"/>
        <v>3.8738391831341027E-6</v>
      </c>
      <c r="U157" s="61">
        <f t="shared" si="82"/>
        <v>1.449390900044778E-6</v>
      </c>
      <c r="V157" s="61">
        <f t="shared" si="82"/>
        <v>5.1646414191950095E-7</v>
      </c>
      <c r="W157" s="61">
        <f t="shared" si="82"/>
        <v>1.756675043012581E-7</v>
      </c>
      <c r="X157" s="61">
        <f t="shared" si="82"/>
        <v>5.7152802849470707E-8</v>
      </c>
      <c r="Y157" s="61">
        <f t="shared" si="75"/>
        <v>1.9967859783218897E-2</v>
      </c>
      <c r="AA157" s="61">
        <f t="shared" si="77"/>
        <v>2.046026400515296E-2</v>
      </c>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row>
    <row r="158" spans="1:80">
      <c r="A158" s="88">
        <f t="shared" si="70"/>
        <v>4647.967050968954</v>
      </c>
      <c r="B158" s="88">
        <f t="shared" si="71"/>
        <v>20.648824313224956</v>
      </c>
      <c r="C158" s="57" t="str">
        <f t="shared" si="76"/>
        <v>Multifamily - Low Rise</v>
      </c>
      <c r="D158" s="60" t="str">
        <f t="shared" si="80"/>
        <v>WINDOW CL22 Prime Window Replacement of Single Pane Base_Electric FAF</v>
      </c>
      <c r="E158" s="61">
        <f t="shared" si="81"/>
        <v>2.3782218844182308E-2</v>
      </c>
      <c r="F158" s="61">
        <f t="shared" si="81"/>
        <v>2.7118059073634102E-2</v>
      </c>
      <c r="G158" s="61">
        <f t="shared" si="81"/>
        <v>2.9592914134538399E-2</v>
      </c>
      <c r="H158" s="61">
        <f t="shared" si="81"/>
        <v>3.0882324121686046E-2</v>
      </c>
      <c r="I158" s="61">
        <f t="shared" si="81"/>
        <v>2.9590178404801253E-2</v>
      </c>
      <c r="J158" s="61">
        <f t="shared" si="81"/>
        <v>2.4602487083879264E-2</v>
      </c>
      <c r="K158" s="61">
        <f t="shared" si="81"/>
        <v>1.8409964488514563E-2</v>
      </c>
      <c r="L158" s="61">
        <f t="shared" si="81"/>
        <v>1.2523744645403149E-2</v>
      </c>
      <c r="M158" s="61">
        <f t="shared" si="81"/>
        <v>7.8095659393778698E-3</v>
      </c>
      <c r="N158" s="61">
        <f t="shared" si="81"/>
        <v>4.4952875988162307E-3</v>
      </c>
      <c r="O158" s="61">
        <f t="shared" si="82"/>
        <v>2.4027212248244187E-3</v>
      </c>
      <c r="P158" s="61">
        <f t="shared" si="82"/>
        <v>1.1986325413363714E-3</v>
      </c>
      <c r="Q158" s="61">
        <f t="shared" si="82"/>
        <v>5.6058312431851915E-4</v>
      </c>
      <c r="R158" s="61">
        <f t="shared" si="82"/>
        <v>2.4675447448916006E-4</v>
      </c>
      <c r="S158" s="61">
        <f t="shared" si="82"/>
        <v>1.0258089168065975E-4</v>
      </c>
      <c r="T158" s="61">
        <f t="shared" si="82"/>
        <v>4.0400506249267434E-5</v>
      </c>
      <c r="U158" s="61">
        <f t="shared" si="82"/>
        <v>1.511578652253602E-5</v>
      </c>
      <c r="V158" s="61">
        <f t="shared" si="82"/>
        <v>5.3862361876004162E-6</v>
      </c>
      <c r="W158" s="61">
        <f t="shared" si="82"/>
        <v>1.8320471681466059E-6</v>
      </c>
      <c r="X158" s="61">
        <f t="shared" si="82"/>
        <v>5.9605008352853445E-7</v>
      </c>
      <c r="Y158" s="61">
        <f t="shared" si="75"/>
        <v>0.20824603341013412</v>
      </c>
      <c r="AA158" s="61">
        <f t="shared" si="77"/>
        <v>0.21338134721769336</v>
      </c>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row>
    <row r="159" spans="1:80">
      <c r="A159" s="88">
        <f t="shared" si="70"/>
        <v>2719.7023128601013</v>
      </c>
      <c r="B159" s="88">
        <f t="shared" si="71"/>
        <v>60.56679676088163</v>
      </c>
      <c r="C159" s="57" t="str">
        <f t="shared" si="76"/>
        <v>Multifamily - Low Rise</v>
      </c>
      <c r="D159" s="60" t="str">
        <f t="shared" si="80"/>
        <v>WINDOW CL22 Prime Window Replacement of Double Pane Base_Electric FAF</v>
      </c>
      <c r="E159" s="61">
        <f t="shared" si="81"/>
        <v>7.2310973529007255E-2</v>
      </c>
      <c r="F159" s="61">
        <f t="shared" si="81"/>
        <v>8.2453755247959198E-2</v>
      </c>
      <c r="G159" s="61">
        <f t="shared" si="81"/>
        <v>8.9978670394426183E-2</v>
      </c>
      <c r="H159" s="61">
        <f t="shared" si="81"/>
        <v>9.3899183112753956E-2</v>
      </c>
      <c r="I159" s="61">
        <f t="shared" si="81"/>
        <v>8.9970352277353074E-2</v>
      </c>
      <c r="J159" s="61">
        <f t="shared" si="81"/>
        <v>7.480503833246531E-2</v>
      </c>
      <c r="K159" s="61">
        <f t="shared" si="81"/>
        <v>5.5976377289312249E-2</v>
      </c>
      <c r="L159" s="61">
        <f t="shared" si="81"/>
        <v>3.8079044410077229E-2</v>
      </c>
      <c r="M159" s="61">
        <f t="shared" si="81"/>
        <v>2.3745358648633121E-2</v>
      </c>
      <c r="N159" s="61">
        <f t="shared" si="81"/>
        <v>1.3668136883821168E-2</v>
      </c>
      <c r="O159" s="61">
        <f t="shared" si="82"/>
        <v>7.3055887688277732E-3</v>
      </c>
      <c r="P159" s="61">
        <f t="shared" si="82"/>
        <v>3.6444995538666347E-3</v>
      </c>
      <c r="Q159" s="61">
        <f t="shared" si="82"/>
        <v>1.7044797934537875E-3</v>
      </c>
      <c r="R159" s="61">
        <f t="shared" si="82"/>
        <v>7.5026877810917909E-4</v>
      </c>
      <c r="S159" s="61">
        <f t="shared" si="82"/>
        <v>3.1190210600205205E-4</v>
      </c>
      <c r="T159" s="61">
        <f t="shared" si="82"/>
        <v>1.2283967097813134E-4</v>
      </c>
      <c r="U159" s="61">
        <f t="shared" si="82"/>
        <v>4.5960271674508201E-5</v>
      </c>
      <c r="V159" s="61">
        <f t="shared" si="82"/>
        <v>1.6377108668219648E-5</v>
      </c>
      <c r="W159" s="61">
        <f t="shared" si="82"/>
        <v>5.5704270130433593E-6</v>
      </c>
      <c r="X159" s="61">
        <f t="shared" si="82"/>
        <v>1.8123187787643265E-6</v>
      </c>
      <c r="Y159" s="61">
        <f t="shared" si="75"/>
        <v>0.63318202174918714</v>
      </c>
      <c r="AA159" s="61">
        <f t="shared" si="77"/>
        <v>0.64879618892318069</v>
      </c>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row>
    <row r="160" spans="1:80">
      <c r="A160" s="88">
        <f t="shared" si="70"/>
        <v>4279.6475547618102</v>
      </c>
      <c r="B160" s="88">
        <f t="shared" si="71"/>
        <v>21.96658235841495</v>
      </c>
      <c r="C160" s="57" t="str">
        <f t="shared" si="76"/>
        <v>Multifamily - Low Rise</v>
      </c>
      <c r="D160" s="60" t="str">
        <f t="shared" si="80"/>
        <v>WINDOW CL30 Prime Window Replacement of Single Pane Base_Electric FAF</v>
      </c>
      <c r="E160" s="61">
        <f t="shared" si="81"/>
        <v>8.7590564741285973E-2</v>
      </c>
      <c r="F160" s="61">
        <f t="shared" si="81"/>
        <v>9.9876555863424685E-2</v>
      </c>
      <c r="G160" s="61">
        <f t="shared" si="81"/>
        <v>0.10899151497879189</v>
      </c>
      <c r="H160" s="61">
        <f t="shared" si="81"/>
        <v>0.11374044735122039</v>
      </c>
      <c r="I160" s="61">
        <f t="shared" si="81"/>
        <v>0.10898143921108383</v>
      </c>
      <c r="J160" s="61">
        <f t="shared" si="81"/>
        <v>9.0611635181564607E-2</v>
      </c>
      <c r="K160" s="61">
        <f t="shared" si="81"/>
        <v>6.7804404499897011E-2</v>
      </c>
      <c r="L160" s="61">
        <f t="shared" si="81"/>
        <v>4.6125295261710234E-2</v>
      </c>
      <c r="M160" s="61">
        <f t="shared" si="81"/>
        <v>2.8762845699813772E-2</v>
      </c>
      <c r="N160" s="61">
        <f t="shared" si="81"/>
        <v>1.6556267606255431E-2</v>
      </c>
      <c r="O160" s="61">
        <f t="shared" si="82"/>
        <v>8.8492882172652131E-3</v>
      </c>
      <c r="P160" s="61">
        <f t="shared" si="82"/>
        <v>4.4145965479843504E-3</v>
      </c>
      <c r="Q160" s="61">
        <f t="shared" si="82"/>
        <v>2.0646430328978781E-3</v>
      </c>
      <c r="R160" s="61">
        <f t="shared" si="82"/>
        <v>9.0880350208500033E-4</v>
      </c>
      <c r="S160" s="61">
        <f t="shared" si="82"/>
        <v>3.7780823954412665E-4</v>
      </c>
      <c r="T160" s="61">
        <f t="shared" si="82"/>
        <v>1.487961733676855E-4</v>
      </c>
      <c r="U160" s="61">
        <f t="shared" si="82"/>
        <v>5.5671856637612729E-5</v>
      </c>
      <c r="V160" s="61">
        <f t="shared" si="82"/>
        <v>1.9837655712149037E-5</v>
      </c>
      <c r="W160" s="61">
        <f t="shared" si="82"/>
        <v>6.7474800035274955E-6</v>
      </c>
      <c r="X160" s="61">
        <f t="shared" si="82"/>
        <v>2.1952688171115041E-6</v>
      </c>
      <c r="Y160" s="61">
        <f t="shared" si="75"/>
        <v>0.76697585666984081</v>
      </c>
      <c r="AA160" s="61">
        <f t="shared" si="77"/>
        <v>0.78588935836936236</v>
      </c>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A160" s="59"/>
      <c r="CB160" s="59"/>
    </row>
    <row r="161" spans="1:80">
      <c r="A161" s="88">
        <f t="shared" si="70"/>
        <v>2351.3828166529579</v>
      </c>
      <c r="B161" s="88">
        <f t="shared" si="71"/>
        <v>69.217922112878682</v>
      </c>
      <c r="C161" s="57" t="str">
        <f t="shared" si="76"/>
        <v>Multifamily - Low Rise</v>
      </c>
      <c r="D161" s="60" t="str">
        <f t="shared" si="80"/>
        <v>WINDOW CL30 Prime Window Replacement of Double Pane Base_Electric FAF</v>
      </c>
      <c r="E161" s="61">
        <f t="shared" si="81"/>
        <v>0.25007263450498196</v>
      </c>
      <c r="F161" s="61">
        <f t="shared" si="81"/>
        <v>0.28514935968072314</v>
      </c>
      <c r="G161" s="61">
        <f t="shared" si="81"/>
        <v>0.31117273156007663</v>
      </c>
      <c r="H161" s="61">
        <f t="shared" si="81"/>
        <v>0.3247310187222488</v>
      </c>
      <c r="I161" s="61">
        <f t="shared" si="81"/>
        <v>0.31114396506241965</v>
      </c>
      <c r="J161" s="61">
        <f t="shared" si="81"/>
        <v>0.25869784483736274</v>
      </c>
      <c r="K161" s="61">
        <f t="shared" si="81"/>
        <v>0.1935827918727695</v>
      </c>
      <c r="L161" s="61">
        <f t="shared" si="81"/>
        <v>0.13168854587803738</v>
      </c>
      <c r="M161" s="61">
        <f t="shared" si="81"/>
        <v>8.2118440739112897E-2</v>
      </c>
      <c r="N161" s="61">
        <f t="shared" si="81"/>
        <v>4.7268441185358216E-2</v>
      </c>
      <c r="O161" s="61">
        <f t="shared" si="82"/>
        <v>2.5264876696728528E-2</v>
      </c>
      <c r="P161" s="61">
        <f t="shared" si="82"/>
        <v>1.2603752382369191E-2</v>
      </c>
      <c r="Q161" s="61">
        <f t="shared" si="82"/>
        <v>5.8945929173323921E-3</v>
      </c>
      <c r="R161" s="61">
        <f t="shared" si="82"/>
        <v>2.5946503106244654E-3</v>
      </c>
      <c r="S161" s="61">
        <f t="shared" si="82"/>
        <v>1.0786493052025725E-3</v>
      </c>
      <c r="T161" s="61">
        <f t="shared" si="82"/>
        <v>4.2481574571670984E-4</v>
      </c>
      <c r="U161" s="61">
        <f t="shared" si="82"/>
        <v>1.5894414995807564E-4</v>
      </c>
      <c r="V161" s="61">
        <f t="shared" si="82"/>
        <v>5.6636863125528018E-5</v>
      </c>
      <c r="W161" s="61">
        <f t="shared" si="82"/>
        <v>1.9264176521018201E-5</v>
      </c>
      <c r="X161" s="61">
        <f t="shared" si="82"/>
        <v>6.2675318758727932E-6</v>
      </c>
      <c r="Y161" s="61">
        <f t="shared" si="75"/>
        <v>2.1897298372907672</v>
      </c>
      <c r="AA161" s="61">
        <f t="shared" si="77"/>
        <v>2.2437282241225449</v>
      </c>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A161" s="59"/>
      <c r="CB161" s="59"/>
    </row>
    <row r="162" spans="1:80">
      <c r="A162" s="88">
        <f t="shared" si="70"/>
        <v>400.26430403812111</v>
      </c>
      <c r="B162" s="88">
        <f t="shared" si="71"/>
        <v>30.354061194839794</v>
      </c>
      <c r="C162" s="57" t="str">
        <f t="shared" si="76"/>
        <v>Multifamily - Low Rise</v>
      </c>
      <c r="D162" s="60" t="str">
        <f t="shared" ref="D162:D174" si="83">D49</f>
        <v>WALL R0 - R11_Heat Pump</v>
      </c>
      <c r="E162" s="61">
        <f t="shared" si="81"/>
        <v>0.2778522746130061</v>
      </c>
      <c r="F162" s="61">
        <f t="shared" si="81"/>
        <v>0.31682554290102743</v>
      </c>
      <c r="G162" s="61">
        <f t="shared" si="81"/>
        <v>0.34573975450235506</v>
      </c>
      <c r="H162" s="61">
        <f t="shared" si="81"/>
        <v>0.360804181425049</v>
      </c>
      <c r="I162" s="61">
        <f t="shared" si="81"/>
        <v>0.34570779244132238</v>
      </c>
      <c r="J162" s="61">
        <f t="shared" si="81"/>
        <v>0.2874356275240974</v>
      </c>
      <c r="K162" s="61">
        <f t="shared" si="81"/>
        <v>0.21508718518624476</v>
      </c>
      <c r="L162" s="61">
        <f t="shared" si="81"/>
        <v>0.14631733730130694</v>
      </c>
      <c r="M162" s="61">
        <f t="shared" si="81"/>
        <v>9.1240673303584929E-2</v>
      </c>
      <c r="N162" s="61">
        <f t="shared" si="81"/>
        <v>5.2519316744756531E-2</v>
      </c>
      <c r="O162" s="61">
        <f t="shared" si="82"/>
        <v>2.8071458006186996E-2</v>
      </c>
      <c r="P162" s="61">
        <f t="shared" si="82"/>
        <v>1.4003856419685963E-2</v>
      </c>
      <c r="Q162" s="61">
        <f t="shared" si="82"/>
        <v>6.5494013498941682E-3</v>
      </c>
      <c r="R162" s="61">
        <f t="shared" si="82"/>
        <v>2.8828803761732193E-3</v>
      </c>
      <c r="S162" s="61">
        <f t="shared" si="82"/>
        <v>1.1984724500285243E-3</v>
      </c>
      <c r="T162" s="61">
        <f t="shared" si="82"/>
        <v>4.7200694899088096E-4</v>
      </c>
      <c r="U162" s="61">
        <f t="shared" si="82"/>
        <v>1.7660066520154254E-4</v>
      </c>
      <c r="V162" s="61">
        <f t="shared" si="82"/>
        <v>6.2928441880592668E-5</v>
      </c>
      <c r="W162" s="61">
        <f t="shared" si="82"/>
        <v>2.140416233670197E-5</v>
      </c>
      <c r="X162" s="61">
        <f t="shared" si="82"/>
        <v>6.9637687121102525E-6</v>
      </c>
      <c r="Y162" s="61">
        <f t="shared" si="75"/>
        <v>2.432978791476228</v>
      </c>
      <c r="AA162" s="61">
        <f t="shared" si="77"/>
        <v>2.4929756585318414</v>
      </c>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59"/>
    </row>
    <row r="163" spans="1:80">
      <c r="A163" s="88">
        <f t="shared" si="70"/>
        <v>80.891595786455383</v>
      </c>
      <c r="B163" s="88">
        <f t="shared" si="71"/>
        <v>308.55150010285007</v>
      </c>
      <c r="C163" s="57" t="str">
        <f t="shared" si="76"/>
        <v>Multifamily - Low Rise</v>
      </c>
      <c r="D163" s="60" t="str">
        <f t="shared" si="83"/>
        <v>FLOOR R0 - R19_Heat Pump</v>
      </c>
      <c r="E163" s="61">
        <f t="shared" si="81"/>
        <v>1.3847873339906431E-2</v>
      </c>
      <c r="F163" s="61">
        <f t="shared" si="81"/>
        <v>1.5790261192035426E-2</v>
      </c>
      <c r="G163" s="61">
        <f t="shared" si="81"/>
        <v>1.723131594149219E-2</v>
      </c>
      <c r="H163" s="61">
        <f t="shared" si="81"/>
        <v>1.7982111580125332E-2</v>
      </c>
      <c r="I163" s="61">
        <f t="shared" si="81"/>
        <v>1.7229722985042654E-2</v>
      </c>
      <c r="J163" s="61">
        <f t="shared" si="81"/>
        <v>1.4325497852677669E-2</v>
      </c>
      <c r="K163" s="61">
        <f t="shared" si="81"/>
        <v>1.0719725442754013E-2</v>
      </c>
      <c r="L163" s="61">
        <f t="shared" si="81"/>
        <v>7.2923065222443954E-3</v>
      </c>
      <c r="M163" s="61">
        <f t="shared" si="81"/>
        <v>4.5473418891949693E-3</v>
      </c>
      <c r="N163" s="61">
        <f t="shared" si="81"/>
        <v>2.6175090601391528E-3</v>
      </c>
      <c r="O163" s="61">
        <f t="shared" si="82"/>
        <v>1.39905277175652E-3</v>
      </c>
      <c r="P163" s="61">
        <f t="shared" si="82"/>
        <v>6.9793788890209563E-4</v>
      </c>
      <c r="Q163" s="61">
        <f t="shared" si="82"/>
        <v>3.2641546833427038E-4</v>
      </c>
      <c r="R163" s="61">
        <f t="shared" si="82"/>
        <v>1.4367981100371326E-4</v>
      </c>
      <c r="S163" s="61">
        <f t="shared" si="82"/>
        <v>5.9730641804094427E-5</v>
      </c>
      <c r="T163" s="61">
        <f t="shared" si="82"/>
        <v>2.3524343841651732E-5</v>
      </c>
      <c r="U163" s="61">
        <f t="shared" si="82"/>
        <v>8.8015966284974538E-6</v>
      </c>
      <c r="V163" s="61">
        <f t="shared" si="82"/>
        <v>3.1362892164688427E-6</v>
      </c>
      <c r="W163" s="61">
        <f t="shared" si="82"/>
        <v>1.06676157104805E-6</v>
      </c>
      <c r="X163" s="61">
        <f t="shared" si="82"/>
        <v>3.4706711409154003E-7</v>
      </c>
      <c r="Y163" s="61">
        <f t="shared" si="75"/>
        <v>0.12125717592187149</v>
      </c>
      <c r="AA163" s="61">
        <f t="shared" si="77"/>
        <v>0.12424735844578469</v>
      </c>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row r="164" spans="1:80">
      <c r="A164" s="88">
        <f t="shared" si="70"/>
        <v>104.5381966544835</v>
      </c>
      <c r="B164" s="88">
        <f t="shared" si="71"/>
        <v>384.8921396513453</v>
      </c>
      <c r="C164" s="57" t="str">
        <f t="shared" si="76"/>
        <v>Multifamily - Low Rise</v>
      </c>
      <c r="D164" s="60" t="str">
        <f t="shared" si="83"/>
        <v>FLOOR R0 - R30_Heat Pump</v>
      </c>
      <c r="E164" s="61">
        <f t="shared" si="81"/>
        <v>0.19813830373238939</v>
      </c>
      <c r="F164" s="61">
        <f t="shared" si="81"/>
        <v>0.22593040037889425</v>
      </c>
      <c r="G164" s="61">
        <f t="shared" si="81"/>
        <v>0.24654931684601983</v>
      </c>
      <c r="H164" s="61">
        <f t="shared" si="81"/>
        <v>0.25729185980817643</v>
      </c>
      <c r="I164" s="61">
        <f t="shared" si="81"/>
        <v>0.24652652448786611</v>
      </c>
      <c r="J164" s="61">
        <f t="shared" si="81"/>
        <v>0.20497225638768865</v>
      </c>
      <c r="K164" s="61">
        <f t="shared" si="81"/>
        <v>0.15338010130287402</v>
      </c>
      <c r="L164" s="61">
        <f t="shared" si="81"/>
        <v>0.10433986570705497</v>
      </c>
      <c r="M164" s="61">
        <f t="shared" si="81"/>
        <v>6.5064330551020039E-2</v>
      </c>
      <c r="N164" s="61">
        <f t="shared" si="81"/>
        <v>3.7451873832898358E-2</v>
      </c>
      <c r="O164" s="61">
        <f t="shared" si="82"/>
        <v>2.0017943277188269E-2</v>
      </c>
      <c r="P164" s="61">
        <f t="shared" si="82"/>
        <v>9.986243087529597E-3</v>
      </c>
      <c r="Q164" s="61">
        <f t="shared" si="82"/>
        <v>4.6704216322795136E-3</v>
      </c>
      <c r="R164" s="61">
        <f t="shared" si="82"/>
        <v>2.0558011569059014E-3</v>
      </c>
      <c r="S164" s="61">
        <f t="shared" si="82"/>
        <v>8.5463866959301494E-4</v>
      </c>
      <c r="T164" s="61">
        <f t="shared" si="82"/>
        <v>3.3659129245284158E-4</v>
      </c>
      <c r="U164" s="61">
        <f t="shared" si="82"/>
        <v>1.2593510810656982E-4</v>
      </c>
      <c r="V164" s="61">
        <f t="shared" si="82"/>
        <v>4.487469015004145E-5</v>
      </c>
      <c r="W164" s="61">
        <f t="shared" si="82"/>
        <v>1.526345042204058E-5</v>
      </c>
      <c r="X164" s="61">
        <f t="shared" si="82"/>
        <v>4.9659097523098827E-6</v>
      </c>
      <c r="Y164" s="61">
        <f t="shared" si="75"/>
        <v>1.7349733466512107</v>
      </c>
      <c r="AA164" s="61">
        <f t="shared" si="77"/>
        <v>1.7777575113092619</v>
      </c>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c r="CA164" s="59"/>
      <c r="CB164" s="59"/>
    </row>
    <row r="165" spans="1:80">
      <c r="A165" s="88">
        <f t="shared" si="70"/>
        <v>119.86389869211362</v>
      </c>
      <c r="B165" s="88">
        <f t="shared" si="71"/>
        <v>91.616721642971015</v>
      </c>
      <c r="C165" s="57" t="str">
        <f t="shared" si="76"/>
        <v>Multifamily - Low Rise</v>
      </c>
      <c r="D165" s="60" t="str">
        <f t="shared" si="83"/>
        <v>ATTIC R0 - R19_Heat Pump</v>
      </c>
      <c r="E165" s="61">
        <f t="shared" si="81"/>
        <v>5.1775601229902074E-2</v>
      </c>
      <c r="F165" s="61">
        <f t="shared" si="81"/>
        <v>5.9037965377602759E-2</v>
      </c>
      <c r="G165" s="61">
        <f t="shared" si="81"/>
        <v>6.4425902877241523E-2</v>
      </c>
      <c r="H165" s="61">
        <f t="shared" si="81"/>
        <v>6.7233041174715444E-2</v>
      </c>
      <c r="I165" s="61">
        <f t="shared" si="81"/>
        <v>6.4419946996805338E-2</v>
      </c>
      <c r="J165" s="61">
        <f t="shared" si="81"/>
        <v>5.356138419482892E-2</v>
      </c>
      <c r="K165" s="61">
        <f t="shared" si="81"/>
        <v>4.00798170372215E-2</v>
      </c>
      <c r="L165" s="61">
        <f t="shared" si="81"/>
        <v>2.726509300557272E-2</v>
      </c>
      <c r="M165" s="61">
        <f t="shared" si="81"/>
        <v>1.7001986841726775E-2</v>
      </c>
      <c r="N165" s="61">
        <f t="shared" si="81"/>
        <v>9.7865644772236367E-3</v>
      </c>
      <c r="O165" s="61">
        <f t="shared" si="82"/>
        <v>5.2308969494477059E-3</v>
      </c>
      <c r="P165" s="61">
        <f t="shared" si="82"/>
        <v>2.6095092677442672E-3</v>
      </c>
      <c r="Q165" s="61">
        <f t="shared" si="82"/>
        <v>1.2204297879475762E-3</v>
      </c>
      <c r="R165" s="61">
        <f t="shared" si="82"/>
        <v>5.3720224158016567E-4</v>
      </c>
      <c r="S165" s="61">
        <f t="shared" si="82"/>
        <v>2.2332598048414897E-4</v>
      </c>
      <c r="T165" s="61">
        <f t="shared" si="82"/>
        <v>8.7954808369780475E-5</v>
      </c>
      <c r="U165" s="61">
        <f t="shared" si="82"/>
        <v>3.2908154634133424E-5</v>
      </c>
      <c r="V165" s="61">
        <f t="shared" si="82"/>
        <v>1.1726223646600018E-5</v>
      </c>
      <c r="W165" s="61">
        <f t="shared" si="82"/>
        <v>3.988498475849063E-6</v>
      </c>
      <c r="X165" s="61">
        <f t="shared" si="82"/>
        <v>1.2976439095115177E-6</v>
      </c>
      <c r="Y165" s="61">
        <f t="shared" si="75"/>
        <v>0.45336659519427114</v>
      </c>
      <c r="AA165" s="61">
        <f t="shared" si="77"/>
        <v>0.46454654276908042</v>
      </c>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row>
    <row r="166" spans="1:80">
      <c r="A166" s="88">
        <f t="shared" si="70"/>
        <v>163.51238390770072</v>
      </c>
      <c r="B166" s="88">
        <f t="shared" si="71"/>
        <v>150.93896574530709</v>
      </c>
      <c r="C166" s="57" t="str">
        <f t="shared" si="76"/>
        <v>Multifamily - Low Rise</v>
      </c>
      <c r="D166" s="60" t="str">
        <f t="shared" si="83"/>
        <v>ATTIC R0 - R38_Heat Pump</v>
      </c>
      <c r="E166" s="61">
        <f t="shared" ref="E166:N174" si="84">VLOOKUP($C166&amp;$D166,$C$88:$Y$126,E$22,FALSE)*$C$134*$A166/8760/1000</f>
        <v>1.4030558538048308E-2</v>
      </c>
      <c r="F166" s="61">
        <f t="shared" si="84"/>
        <v>1.5998570939227148E-2</v>
      </c>
      <c r="G166" s="61">
        <f t="shared" si="84"/>
        <v>1.745863650471147E-2</v>
      </c>
      <c r="H166" s="61">
        <f t="shared" si="84"/>
        <v>1.8219336859154826E-2</v>
      </c>
      <c r="I166" s="61">
        <f t="shared" si="84"/>
        <v>1.7457022533514211E-2</v>
      </c>
      <c r="J166" s="61">
        <f t="shared" si="84"/>
        <v>1.4514484013184758E-2</v>
      </c>
      <c r="K166" s="61">
        <f t="shared" si="84"/>
        <v>1.0861143198279879E-2</v>
      </c>
      <c r="L166" s="61">
        <f t="shared" si="84"/>
        <v>7.3885087642224763E-3</v>
      </c>
      <c r="M166" s="61">
        <f t="shared" si="84"/>
        <v>4.6073317543284436E-3</v>
      </c>
      <c r="N166" s="61">
        <f t="shared" si="84"/>
        <v>2.6520400057618038E-3</v>
      </c>
      <c r="O166" s="61">
        <f t="shared" ref="O166:X174" si="85">VLOOKUP($C166&amp;$D166,$C$88:$Y$126,O$22,FALSE)*$C$134*$A166/8760/1000</f>
        <v>1.4175094854009711E-3</v>
      </c>
      <c r="P166" s="61">
        <f t="shared" si="85"/>
        <v>7.07145289807285E-4</v>
      </c>
      <c r="Q166" s="61">
        <f t="shared" si="85"/>
        <v>3.3072163672890557E-4</v>
      </c>
      <c r="R166" s="61">
        <f t="shared" si="85"/>
        <v>1.4557527712316125E-4</v>
      </c>
      <c r="S166" s="61">
        <f t="shared" si="85"/>
        <v>6.0518625912937818E-5</v>
      </c>
      <c r="T166" s="61">
        <f t="shared" si="85"/>
        <v>2.383468387079433E-5</v>
      </c>
      <c r="U166" s="61">
        <f t="shared" si="85"/>
        <v>8.917709867301291E-6</v>
      </c>
      <c r="V166" s="61">
        <f t="shared" si="85"/>
        <v>3.1776640617521039E-6</v>
      </c>
      <c r="W166" s="61">
        <f t="shared" si="85"/>
        <v>1.0808346019166562E-6</v>
      </c>
      <c r="X166" s="61">
        <f t="shared" si="85"/>
        <v>3.5164572504139795E-7</v>
      </c>
      <c r="Y166" s="61">
        <f t="shared" si="75"/>
        <v>0.12285683607658811</v>
      </c>
      <c r="AA166" s="61">
        <f t="shared" si="77"/>
        <v>0.12588646596353339</v>
      </c>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row>
    <row r="167" spans="1:80">
      <c r="A167" s="88">
        <f t="shared" si="70"/>
        <v>173.59575203746954</v>
      </c>
      <c r="B167" s="88">
        <f t="shared" si="71"/>
        <v>190.97680151409514</v>
      </c>
      <c r="C167" s="57" t="str">
        <f t="shared" si="76"/>
        <v>Multifamily - Low Rise</v>
      </c>
      <c r="D167" s="60" t="str">
        <f t="shared" si="83"/>
        <v>ATTIC R0 - R49_Heat Pump</v>
      </c>
      <c r="E167" s="61">
        <f t="shared" si="84"/>
        <v>8.8852813620882695E-2</v>
      </c>
      <c r="F167" s="61">
        <f t="shared" si="84"/>
        <v>0.10131585553124797</v>
      </c>
      <c r="G167" s="61">
        <f t="shared" si="84"/>
        <v>0.11056216837135625</v>
      </c>
      <c r="H167" s="61">
        <f t="shared" si="84"/>
        <v>0.11537953659168781</v>
      </c>
      <c r="I167" s="61">
        <f t="shared" si="84"/>
        <v>0.11055194740391647</v>
      </c>
      <c r="J167" s="61">
        <f t="shared" si="84"/>
        <v>9.1917420060611599E-2</v>
      </c>
      <c r="K167" s="61">
        <f t="shared" si="84"/>
        <v>6.8781519259511967E-2</v>
      </c>
      <c r="L167" s="61">
        <f t="shared" si="84"/>
        <v>4.6789997018539052E-2</v>
      </c>
      <c r="M167" s="61">
        <f t="shared" si="84"/>
        <v>2.9177340912464121E-2</v>
      </c>
      <c r="N167" s="61">
        <f t="shared" si="84"/>
        <v>1.6794856434835609E-2</v>
      </c>
      <c r="O167" s="61">
        <f t="shared" si="85"/>
        <v>8.9768134155609886E-3</v>
      </c>
      <c r="P167" s="61">
        <f t="shared" si="85"/>
        <v>4.4782143538864318E-3</v>
      </c>
      <c r="Q167" s="61">
        <f t="shared" si="85"/>
        <v>2.0943961617050739E-3</v>
      </c>
      <c r="R167" s="61">
        <f t="shared" si="85"/>
        <v>9.2190007482281355E-4</v>
      </c>
      <c r="S167" s="61">
        <f t="shared" si="85"/>
        <v>3.8325275321378453E-4</v>
      </c>
      <c r="T167" s="61">
        <f t="shared" si="85"/>
        <v>1.5094044317204619E-4</v>
      </c>
      <c r="U167" s="61">
        <f t="shared" si="85"/>
        <v>5.6474131846974123E-5</v>
      </c>
      <c r="V167" s="61">
        <f t="shared" si="85"/>
        <v>2.0123531922337266E-5</v>
      </c>
      <c r="W167" s="61">
        <f t="shared" si="85"/>
        <v>6.8447164935502541E-6</v>
      </c>
      <c r="X167" s="61">
        <f t="shared" si="85"/>
        <v>2.2269043661343604E-6</v>
      </c>
      <c r="Y167" s="61">
        <f t="shared" si="75"/>
        <v>0.77802858156799326</v>
      </c>
      <c r="AA167" s="61">
        <f t="shared" si="77"/>
        <v>0.7972146416920437</v>
      </c>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row>
    <row r="168" spans="1:80">
      <c r="A168" s="88">
        <f t="shared" si="70"/>
        <v>31.579529644069172</v>
      </c>
      <c r="B168" s="88">
        <f t="shared" si="71"/>
        <v>244.017780079944</v>
      </c>
      <c r="C168" s="57" t="str">
        <f t="shared" si="76"/>
        <v>Multifamily - Low Rise</v>
      </c>
      <c r="D168" s="60" t="str">
        <f t="shared" si="83"/>
        <v>ATTIC R19 - R30_Heat Pump</v>
      </c>
      <c r="E168" s="61">
        <f t="shared" si="84"/>
        <v>9.3447718594763859E-3</v>
      </c>
      <c r="F168" s="61">
        <f t="shared" si="84"/>
        <v>1.0655527012648986E-2</v>
      </c>
      <c r="G168" s="61">
        <f t="shared" si="84"/>
        <v>1.1627974372626021E-2</v>
      </c>
      <c r="H168" s="61">
        <f t="shared" si="84"/>
        <v>1.2134623573113582E-2</v>
      </c>
      <c r="I168" s="61">
        <f t="shared" si="84"/>
        <v>1.162689941950956E-2</v>
      </c>
      <c r="J168" s="61">
        <f t="shared" si="84"/>
        <v>9.6670807076862115E-3</v>
      </c>
      <c r="K168" s="61">
        <f t="shared" si="84"/>
        <v>7.2338463964776271E-3</v>
      </c>
      <c r="L168" s="61">
        <f t="shared" si="84"/>
        <v>4.9209679426636052E-3</v>
      </c>
      <c r="M168" s="61">
        <f t="shared" si="84"/>
        <v>3.068620825633177E-3</v>
      </c>
      <c r="N168" s="61">
        <f t="shared" si="84"/>
        <v>1.7663380077736985E-3</v>
      </c>
      <c r="O168" s="61">
        <f t="shared" si="85"/>
        <v>9.4410373712452706E-4</v>
      </c>
      <c r="P168" s="61">
        <f t="shared" si="85"/>
        <v>4.7097992477151946E-4</v>
      </c>
      <c r="Q168" s="61">
        <f t="shared" si="85"/>
        <v>2.2027050711084168E-4</v>
      </c>
      <c r="R168" s="61">
        <f t="shared" si="85"/>
        <v>9.6957490994170045E-5</v>
      </c>
      <c r="S168" s="61">
        <f t="shared" si="85"/>
        <v>4.030721591530219E-5</v>
      </c>
      <c r="T168" s="61">
        <f t="shared" si="85"/>
        <v>1.5874612725595529E-5</v>
      </c>
      <c r="U168" s="61">
        <f t="shared" si="85"/>
        <v>5.9394616396022708E-6</v>
      </c>
      <c r="V168" s="61">
        <f t="shared" si="85"/>
        <v>2.1164193586879901E-6</v>
      </c>
      <c r="W168" s="61">
        <f t="shared" si="85"/>
        <v>7.1986818951999426E-7</v>
      </c>
      <c r="X168" s="61">
        <f t="shared" si="85"/>
        <v>2.3420657609323696E-7</v>
      </c>
      <c r="Y168" s="61">
        <f t="shared" si="75"/>
        <v>8.1826329393762248E-2</v>
      </c>
      <c r="AA168" s="61">
        <f t="shared" si="77"/>
        <v>8.3844153562014731E-2</v>
      </c>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c r="CA168" s="59"/>
      <c r="CB168" s="59"/>
    </row>
    <row r="169" spans="1:80">
      <c r="A169" s="88">
        <f t="shared" si="70"/>
        <v>43.648485215587066</v>
      </c>
      <c r="B169" s="88">
        <f t="shared" si="71"/>
        <v>313.84485863370514</v>
      </c>
      <c r="C169" s="57" t="str">
        <f t="shared" si="76"/>
        <v>Multifamily - Low Rise</v>
      </c>
      <c r="D169" s="60" t="str">
        <f t="shared" si="83"/>
        <v>ATTIC R19 - R38_Heat Pump</v>
      </c>
      <c r="E169" s="61">
        <f t="shared" si="84"/>
        <v>3.5012066599355886E-3</v>
      </c>
      <c r="F169" s="61">
        <f t="shared" si="84"/>
        <v>3.9923074316659257E-3</v>
      </c>
      <c r="G169" s="61">
        <f t="shared" si="84"/>
        <v>4.3566543867749139E-3</v>
      </c>
      <c r="H169" s="61">
        <f t="shared" si="84"/>
        <v>4.5464806962528933E-3</v>
      </c>
      <c r="I169" s="61">
        <f t="shared" si="84"/>
        <v>4.3562516339771947E-3</v>
      </c>
      <c r="J169" s="61">
        <f t="shared" si="84"/>
        <v>3.6219661501487228E-3</v>
      </c>
      <c r="K169" s="61">
        <f t="shared" si="84"/>
        <v>2.7103059936786598E-3</v>
      </c>
      <c r="L169" s="61">
        <f t="shared" si="84"/>
        <v>1.8437395790151215E-3</v>
      </c>
      <c r="M169" s="61">
        <f t="shared" si="84"/>
        <v>1.1497204889628983E-3</v>
      </c>
      <c r="N169" s="61">
        <f t="shared" si="84"/>
        <v>6.6179404799949365E-4</v>
      </c>
      <c r="O169" s="61">
        <f t="shared" si="85"/>
        <v>3.5372744694012138E-4</v>
      </c>
      <c r="P169" s="61">
        <f t="shared" si="85"/>
        <v>1.7646209817672362E-4</v>
      </c>
      <c r="Q169" s="61">
        <f t="shared" si="85"/>
        <v>8.2528774172458121E-5</v>
      </c>
      <c r="R169" s="61">
        <f t="shared" si="85"/>
        <v>3.6327073395075309E-5</v>
      </c>
      <c r="S169" s="61">
        <f t="shared" si="85"/>
        <v>1.5101908845747396E-5</v>
      </c>
      <c r="T169" s="61">
        <f t="shared" si="85"/>
        <v>5.9477428271713457E-6</v>
      </c>
      <c r="U169" s="61">
        <f t="shared" si="85"/>
        <v>2.2253387200586659E-6</v>
      </c>
      <c r="V169" s="61">
        <f t="shared" si="85"/>
        <v>7.9295906473528423E-7</v>
      </c>
      <c r="W169" s="61">
        <f t="shared" si="85"/>
        <v>2.6971309062695545E-7</v>
      </c>
      <c r="X169" s="61">
        <f t="shared" si="85"/>
        <v>8.775020261054289E-8</v>
      </c>
      <c r="Y169" s="61">
        <f t="shared" si="75"/>
        <v>3.0657879479529252E-2</v>
      </c>
      <c r="AA169" s="61">
        <f t="shared" si="77"/>
        <v>3.1413897873846748E-2</v>
      </c>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row>
    <row r="170" spans="1:80">
      <c r="A170" s="88">
        <f t="shared" si="70"/>
        <v>53.731853345355894</v>
      </c>
      <c r="B170" s="88">
        <f t="shared" si="71"/>
        <v>412.62719706558471</v>
      </c>
      <c r="C170" s="57" t="str">
        <f t="shared" si="76"/>
        <v>Multifamily - Low Rise</v>
      </c>
      <c r="D170" s="60" t="str">
        <f t="shared" si="83"/>
        <v>ATTIC R19 - R49_Heat Pump</v>
      </c>
      <c r="E170" s="61">
        <f t="shared" si="84"/>
        <v>6.3308207228362529E-2</v>
      </c>
      <c r="F170" s="61">
        <f t="shared" si="84"/>
        <v>7.2188205596492264E-2</v>
      </c>
      <c r="G170" s="61">
        <f t="shared" si="84"/>
        <v>7.8776263594041898E-2</v>
      </c>
      <c r="H170" s="61">
        <f t="shared" si="84"/>
        <v>8.2208669762847797E-2</v>
      </c>
      <c r="I170" s="61">
        <f t="shared" si="84"/>
        <v>7.8768981088307044E-2</v>
      </c>
      <c r="J170" s="61">
        <f t="shared" si="84"/>
        <v>6.5491759235928149E-2</v>
      </c>
      <c r="K170" s="61">
        <f t="shared" si="84"/>
        <v>4.9007279536946342E-2</v>
      </c>
      <c r="L170" s="61">
        <f t="shared" si="84"/>
        <v>3.3338177000260406E-2</v>
      </c>
      <c r="M170" s="61">
        <f t="shared" si="84"/>
        <v>2.0789045046343109E-2</v>
      </c>
      <c r="N170" s="61">
        <f t="shared" si="84"/>
        <v>1.1966444372643693E-2</v>
      </c>
      <c r="O170" s="61">
        <f t="shared" si="85"/>
        <v>6.396037905873511E-3</v>
      </c>
      <c r="P170" s="61">
        <f t="shared" si="85"/>
        <v>3.190756834539208E-3</v>
      </c>
      <c r="Q170" s="61">
        <f t="shared" si="85"/>
        <v>1.4922708783230835E-3</v>
      </c>
      <c r="R170" s="61">
        <f t="shared" si="85"/>
        <v>6.5685979545625326E-4</v>
      </c>
      <c r="S170" s="61">
        <f t="shared" si="85"/>
        <v>2.7307007772229191E-4</v>
      </c>
      <c r="T170" s="61">
        <f t="shared" si="85"/>
        <v>1.0754604683931954E-4</v>
      </c>
      <c r="U170" s="61">
        <f t="shared" si="85"/>
        <v>4.0238186010238194E-5</v>
      </c>
      <c r="V170" s="61">
        <f t="shared" si="85"/>
        <v>1.4338147293137345E-5</v>
      </c>
      <c r="W170" s="61">
        <f t="shared" si="85"/>
        <v>4.8769049907861045E-6</v>
      </c>
      <c r="X170" s="61">
        <f t="shared" si="85"/>
        <v>1.5866838352527435E-6</v>
      </c>
      <c r="Y170" s="61">
        <f t="shared" si="75"/>
        <v>0.55435042137955592</v>
      </c>
      <c r="AA170" s="61">
        <f t="shared" si="77"/>
        <v>0.56802061392305614</v>
      </c>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row>
    <row r="171" spans="1:80">
      <c r="A171" s="88">
        <f t="shared" si="70"/>
        <v>3053.755125217408</v>
      </c>
      <c r="B171" s="88">
        <f t="shared" si="71"/>
        <v>50.04122300433869</v>
      </c>
      <c r="C171" s="57" t="str">
        <f t="shared" si="76"/>
        <v>Multifamily - Low Rise</v>
      </c>
      <c r="D171" s="60" t="str">
        <f t="shared" si="83"/>
        <v>WINDOW CL22 Prime Window Replacement of Single Pane Base_Heat Pump</v>
      </c>
      <c r="E171" s="61">
        <f t="shared" si="84"/>
        <v>0.7771715558841833</v>
      </c>
      <c r="F171" s="61">
        <f t="shared" si="84"/>
        <v>0.88618241640522744</v>
      </c>
      <c r="G171" s="61">
        <f t="shared" si="84"/>
        <v>0.96705741679407231</v>
      </c>
      <c r="H171" s="61">
        <f t="shared" si="84"/>
        <v>1.0091936351364275</v>
      </c>
      <c r="I171" s="61">
        <f t="shared" si="84"/>
        <v>0.96696801675321709</v>
      </c>
      <c r="J171" s="61">
        <f t="shared" si="84"/>
        <v>0.8039768404652563</v>
      </c>
      <c r="K171" s="61">
        <f t="shared" si="84"/>
        <v>0.60161336665234799</v>
      </c>
      <c r="L171" s="61">
        <f t="shared" si="84"/>
        <v>0.40925946293464199</v>
      </c>
      <c r="M171" s="61">
        <f t="shared" si="84"/>
        <v>0.25520631828561002</v>
      </c>
      <c r="N171" s="61">
        <f t="shared" si="84"/>
        <v>0.14690007186497248</v>
      </c>
      <c r="O171" s="61">
        <f t="shared" si="85"/>
        <v>7.8517761731451585E-2</v>
      </c>
      <c r="P171" s="61">
        <f t="shared" si="85"/>
        <v>3.9169731099824516E-2</v>
      </c>
      <c r="Q171" s="61">
        <f t="shared" si="85"/>
        <v>1.8319117395373525E-2</v>
      </c>
      <c r="R171" s="61">
        <f t="shared" si="85"/>
        <v>8.0636108899921326E-3</v>
      </c>
      <c r="S171" s="61">
        <f t="shared" si="85"/>
        <v>3.3522082911514096E-3</v>
      </c>
      <c r="T171" s="61">
        <f t="shared" si="85"/>
        <v>1.3202352777075953E-3</v>
      </c>
      <c r="U171" s="61">
        <f t="shared" si="85"/>
        <v>4.9396397397151275E-4</v>
      </c>
      <c r="V171" s="61">
        <f t="shared" si="85"/>
        <v>1.7601509706488585E-4</v>
      </c>
      <c r="W171" s="61">
        <f t="shared" si="85"/>
        <v>5.9868885971083739E-5</v>
      </c>
      <c r="X171" s="61">
        <f t="shared" si="85"/>
        <v>1.9478130860530967E-5</v>
      </c>
      <c r="Y171" s="61">
        <f t="shared" si="75"/>
        <v>6.805205807432646</v>
      </c>
      <c r="AA171" s="61">
        <f t="shared" si="77"/>
        <v>6.973021091949323</v>
      </c>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c r="CA171" s="59"/>
      <c r="CB171" s="59"/>
    </row>
    <row r="172" spans="1:80">
      <c r="A172" s="88">
        <f t="shared" si="70"/>
        <v>1977.5911127011982</v>
      </c>
      <c r="B172" s="88">
        <f t="shared" si="71"/>
        <v>96.674290098502752</v>
      </c>
      <c r="C172" s="57" t="str">
        <f t="shared" si="76"/>
        <v>Multifamily - Low Rise</v>
      </c>
      <c r="D172" s="60" t="str">
        <f t="shared" si="83"/>
        <v>WINDOW CL22 Prime Window Replacement of Double Pane Base_Heat Pump</v>
      </c>
      <c r="E172" s="61">
        <f t="shared" si="84"/>
        <v>2.6152469093676332</v>
      </c>
      <c r="F172" s="61">
        <f t="shared" si="84"/>
        <v>2.9820775195548799</v>
      </c>
      <c r="G172" s="61">
        <f t="shared" si="84"/>
        <v>3.2542286208280102</v>
      </c>
      <c r="H172" s="61">
        <f t="shared" si="84"/>
        <v>3.3960204992851604</v>
      </c>
      <c r="I172" s="61">
        <f t="shared" si="84"/>
        <v>3.2539277822566897</v>
      </c>
      <c r="J172" s="61">
        <f t="shared" si="84"/>
        <v>2.7054489209114241</v>
      </c>
      <c r="K172" s="61">
        <f t="shared" si="84"/>
        <v>2.0244790044867238</v>
      </c>
      <c r="L172" s="61">
        <f t="shared" si="84"/>
        <v>1.3771921237539244</v>
      </c>
      <c r="M172" s="61">
        <f t="shared" si="84"/>
        <v>0.85879048209401609</v>
      </c>
      <c r="N172" s="61">
        <f t="shared" si="84"/>
        <v>0.49433095694511542</v>
      </c>
      <c r="O172" s="61">
        <f t="shared" si="85"/>
        <v>0.26421879718053398</v>
      </c>
      <c r="P172" s="61">
        <f t="shared" si="85"/>
        <v>0.13180940221497647</v>
      </c>
      <c r="Q172" s="61">
        <f t="shared" si="85"/>
        <v>6.1645353317244952E-2</v>
      </c>
      <c r="R172" s="61">
        <f t="shared" si="85"/>
        <v>2.713472115484598E-2</v>
      </c>
      <c r="S172" s="61">
        <f t="shared" si="85"/>
        <v>1.128045964448131E-2</v>
      </c>
      <c r="T172" s="61">
        <f t="shared" si="85"/>
        <v>4.4427014904511617E-3</v>
      </c>
      <c r="U172" s="61">
        <f t="shared" si="85"/>
        <v>1.6622298467913394E-3</v>
      </c>
      <c r="V172" s="61">
        <f t="shared" si="85"/>
        <v>5.9230543773218806E-4</v>
      </c>
      <c r="W172" s="61">
        <f t="shared" si="85"/>
        <v>2.0146377954482537E-4</v>
      </c>
      <c r="X172" s="61">
        <f t="shared" si="85"/>
        <v>6.5545530002455738E-5</v>
      </c>
      <c r="Y172" s="61">
        <f t="shared" si="75"/>
        <v>22.900083412408254</v>
      </c>
      <c r="AA172" s="61">
        <f t="shared" si="77"/>
        <v>23.464795799080179</v>
      </c>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59"/>
    </row>
    <row r="173" spans="1:80">
      <c r="A173" s="88">
        <f t="shared" si="70"/>
        <v>2829.0013451773661</v>
      </c>
      <c r="B173" s="88">
        <f t="shared" si="71"/>
        <v>51.512614179741284</v>
      </c>
      <c r="C173" s="57" t="str">
        <f t="shared" si="76"/>
        <v>Multifamily - Low Rise</v>
      </c>
      <c r="D173" s="60" t="str">
        <f t="shared" si="83"/>
        <v>WINDOW CL30 Prime Window Replacement of Single Pane Base_Heat Pump</v>
      </c>
      <c r="E173" s="61">
        <f t="shared" si="84"/>
        <v>2.8798895613785183</v>
      </c>
      <c r="F173" s="61">
        <f t="shared" si="84"/>
        <v>3.2838405769741392</v>
      </c>
      <c r="G173" s="61">
        <f t="shared" si="84"/>
        <v>3.583531253547263</v>
      </c>
      <c r="H173" s="61">
        <f t="shared" si="84"/>
        <v>3.7396713675817477</v>
      </c>
      <c r="I173" s="61">
        <f t="shared" si="84"/>
        <v>3.583199972451736</v>
      </c>
      <c r="J173" s="61">
        <f t="shared" si="84"/>
        <v>2.9792193151122186</v>
      </c>
      <c r="K173" s="61">
        <f t="shared" si="84"/>
        <v>2.2293405381219062</v>
      </c>
      <c r="L173" s="61">
        <f t="shared" si="84"/>
        <v>1.5165532581283716</v>
      </c>
      <c r="M173" s="61">
        <f t="shared" si="84"/>
        <v>0.94569340123675238</v>
      </c>
      <c r="N173" s="61">
        <f t="shared" si="84"/>
        <v>0.54435340604865601</v>
      </c>
      <c r="O173" s="61">
        <f t="shared" si="85"/>
        <v>0.29095568498509317</v>
      </c>
      <c r="P173" s="61">
        <f t="shared" si="85"/>
        <v>0.14514748881674031</v>
      </c>
      <c r="Q173" s="61">
        <f t="shared" si="85"/>
        <v>6.7883383740907105E-2</v>
      </c>
      <c r="R173" s="61">
        <f t="shared" si="85"/>
        <v>2.9880543945907296E-2</v>
      </c>
      <c r="S173" s="61">
        <f t="shared" si="85"/>
        <v>1.242195444771545E-2</v>
      </c>
      <c r="T173" s="61">
        <f t="shared" si="85"/>
        <v>4.8922683364397094E-3</v>
      </c>
      <c r="U173" s="61">
        <f t="shared" si="85"/>
        <v>1.8304345823866007E-3</v>
      </c>
      <c r="V173" s="61">
        <f t="shared" si="85"/>
        <v>6.5224214247713939E-4</v>
      </c>
      <c r="W173" s="61">
        <f t="shared" si="85"/>
        <v>2.218503475250436E-4</v>
      </c>
      <c r="X173" s="61">
        <f t="shared" si="85"/>
        <v>7.2178227980293402E-5</v>
      </c>
      <c r="Y173" s="61">
        <f t="shared" si="75"/>
        <v>25.217393790951281</v>
      </c>
      <c r="AA173" s="61">
        <f t="shared" si="77"/>
        <v>25.839250680154485</v>
      </c>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59"/>
    </row>
    <row r="174" spans="1:80">
      <c r="A174" s="88">
        <f t="shared" si="70"/>
        <v>1752.8373326611568</v>
      </c>
      <c r="B174" s="88">
        <f t="shared" si="71"/>
        <v>105.02847416676336</v>
      </c>
      <c r="C174" s="57" t="str">
        <f t="shared" si="76"/>
        <v>Multifamily - Low Rise</v>
      </c>
      <c r="D174" s="60" t="str">
        <f t="shared" si="83"/>
        <v>WINDOW CL30 Prime Window Replacement of Double Pane Base_Heat Pump</v>
      </c>
      <c r="E174" s="61">
        <f t="shared" si="84"/>
        <v>9.2720934826711598</v>
      </c>
      <c r="F174" s="61">
        <f t="shared" si="84"/>
        <v>10.572654319882467</v>
      </c>
      <c r="G174" s="61">
        <f t="shared" si="84"/>
        <v>11.53753853153288</v>
      </c>
      <c r="H174" s="61">
        <f t="shared" si="84"/>
        <v>12.040247299653034</v>
      </c>
      <c r="I174" s="61">
        <f t="shared" si="84"/>
        <v>11.536471938796844</v>
      </c>
      <c r="J174" s="61">
        <f t="shared" si="84"/>
        <v>9.5918955940370978</v>
      </c>
      <c r="K174" s="61">
        <f t="shared" si="84"/>
        <v>7.1775856100121782</v>
      </c>
      <c r="L174" s="61">
        <f t="shared" si="84"/>
        <v>4.8826954232525859</v>
      </c>
      <c r="M174" s="61">
        <f t="shared" si="84"/>
        <v>3.0447548197005045</v>
      </c>
      <c r="N174" s="61">
        <f t="shared" si="84"/>
        <v>1.7526004247460094</v>
      </c>
      <c r="O174" s="61">
        <f t="shared" si="85"/>
        <v>0.93676102954623808</v>
      </c>
      <c r="P174" s="61">
        <f t="shared" si="85"/>
        <v>0.46731690795794895</v>
      </c>
      <c r="Q174" s="61">
        <f t="shared" si="85"/>
        <v>0.21855736706252191</v>
      </c>
      <c r="R174" s="61">
        <f t="shared" si="85"/>
        <v>9.6203410191499861E-2</v>
      </c>
      <c r="S174" s="61">
        <f t="shared" si="85"/>
        <v>3.9993729072571919E-2</v>
      </c>
      <c r="T174" s="61">
        <f t="shared" si="85"/>
        <v>1.5751148921164831E-2</v>
      </c>
      <c r="U174" s="61">
        <f t="shared" si="85"/>
        <v>5.89326784936806E-3</v>
      </c>
      <c r="V174" s="61">
        <f t="shared" si="85"/>
        <v>2.0999590399191992E-3</v>
      </c>
      <c r="W174" s="61">
        <f t="shared" si="85"/>
        <v>7.142694598436804E-4</v>
      </c>
      <c r="X174" s="61">
        <f t="shared" si="85"/>
        <v>2.3238504914281665E-4</v>
      </c>
      <c r="Y174" s="61">
        <f t="shared" si="75"/>
        <v>81.189930251043975</v>
      </c>
      <c r="AA174" s="61">
        <f t="shared" si="77"/>
        <v>83.19206091843499</v>
      </c>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row>
    <row r="175" spans="1:80">
      <c r="A175" s="88"/>
      <c r="B175" s="88"/>
      <c r="D175" s="60"/>
      <c r="E175" s="61"/>
      <c r="F175" s="61"/>
      <c r="G175" s="61"/>
      <c r="H175" s="61"/>
      <c r="I175" s="61"/>
      <c r="J175" s="61"/>
      <c r="K175" s="61"/>
      <c r="L175" s="61"/>
      <c r="M175" s="61"/>
      <c r="N175" s="61"/>
      <c r="O175" s="61"/>
      <c r="P175" s="61"/>
      <c r="Q175" s="61"/>
      <c r="R175" s="61"/>
      <c r="S175" s="61"/>
      <c r="T175" s="61"/>
      <c r="U175" s="61"/>
      <c r="V175" s="61"/>
      <c r="W175" s="61"/>
      <c r="X175" s="61"/>
      <c r="Y175" s="61"/>
      <c r="AA175" s="60"/>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row>
    <row r="176" spans="1:80">
      <c r="AA176" s="60"/>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c r="CA176" s="59"/>
      <c r="CB176" s="59"/>
    </row>
    <row r="177" spans="1:80">
      <c r="B177" s="90">
        <f>SUMPRODUCT(B136:B175,AA136:AA175)/SUM(AA136:AA175)</f>
        <v>90.04832102466618</v>
      </c>
      <c r="E177" s="61">
        <f t="shared" ref="E177:Y177" si="86">SUM(E136:E175)</f>
        <v>18.445280761534757</v>
      </c>
      <c r="F177" s="61">
        <f t="shared" si="86"/>
        <v>21.032529243730636</v>
      </c>
      <c r="G177" s="61">
        <f t="shared" si="86"/>
        <v>22.952005165702985</v>
      </c>
      <c r="H177" s="61">
        <f t="shared" si="86"/>
        <v>23.952060265081705</v>
      </c>
      <c r="I177" s="61">
        <f t="shared" si="86"/>
        <v>22.949883357665648</v>
      </c>
      <c r="J177" s="61">
        <f t="shared" si="86"/>
        <v>19.081473628151215</v>
      </c>
      <c r="K177" s="61">
        <f t="shared" si="86"/>
        <v>14.278607308485194</v>
      </c>
      <c r="L177" s="61">
        <f t="shared" si="86"/>
        <v>9.7133067222925504</v>
      </c>
      <c r="M177" s="61">
        <f t="shared" si="86"/>
        <v>6.0570309827411961</v>
      </c>
      <c r="N177" s="61">
        <f t="shared" si="86"/>
        <v>3.4865057128298274</v>
      </c>
      <c r="O177" s="61">
        <f t="shared" si="86"/>
        <v>1.8635295501212887</v>
      </c>
      <c r="P177" s="61">
        <f t="shared" si="86"/>
        <v>0.92964890701397707</v>
      </c>
      <c r="Q177" s="61">
        <f t="shared" si="86"/>
        <v>0.43478336424285596</v>
      </c>
      <c r="R177" s="61">
        <f t="shared" si="86"/>
        <v>0.19138061048626323</v>
      </c>
      <c r="S177" s="61">
        <f t="shared" si="86"/>
        <v>7.9560841661383302E-2</v>
      </c>
      <c r="T177" s="61">
        <f t="shared" si="86"/>
        <v>3.1334279007283236E-2</v>
      </c>
      <c r="U177" s="61">
        <f t="shared" si="86"/>
        <v>1.1723671713154922E-2</v>
      </c>
      <c r="V177" s="61">
        <f t="shared" si="86"/>
        <v>4.1775176395087198E-3</v>
      </c>
      <c r="W177" s="61">
        <f t="shared" si="86"/>
        <v>1.420919747069996E-3</v>
      </c>
      <c r="X177" s="61">
        <f t="shared" si="86"/>
        <v>4.6229122735154426E-4</v>
      </c>
      <c r="Y177" s="61">
        <f t="shared" si="86"/>
        <v>161.5138006631164</v>
      </c>
      <c r="AA177" s="61">
        <f>SUM(E177:X177)</f>
        <v>165.49670510107589</v>
      </c>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c r="CA177" s="59"/>
      <c r="CB177" s="59"/>
    </row>
    <row r="178" spans="1:80">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c r="CA178" s="59"/>
    </row>
    <row r="179" spans="1:80">
      <c r="D179" s="61"/>
      <c r="E179" s="61">
        <f>E177</f>
        <v>18.445280761534757</v>
      </c>
      <c r="F179" s="61">
        <f>E179+F177</f>
        <v>39.477810005265397</v>
      </c>
      <c r="G179" s="61">
        <f t="shared" ref="G179:W179" si="87">F179+G177</f>
        <v>62.429815170968382</v>
      </c>
      <c r="H179" s="61">
        <f t="shared" si="87"/>
        <v>86.38187543605008</v>
      </c>
      <c r="I179" s="61">
        <f t="shared" si="87"/>
        <v>109.33175879371572</v>
      </c>
      <c r="J179" s="61">
        <f t="shared" si="87"/>
        <v>128.41323242186695</v>
      </c>
      <c r="K179" s="61">
        <f t="shared" si="87"/>
        <v>142.69183973035214</v>
      </c>
      <c r="L179" s="61">
        <f t="shared" si="87"/>
        <v>152.40514645264469</v>
      </c>
      <c r="M179" s="61">
        <f t="shared" si="87"/>
        <v>158.46217743538588</v>
      </c>
      <c r="N179" s="61">
        <f t="shared" si="87"/>
        <v>161.94868314821571</v>
      </c>
      <c r="O179" s="61">
        <f t="shared" si="87"/>
        <v>163.81221269833699</v>
      </c>
      <c r="P179" s="61">
        <f t="shared" si="87"/>
        <v>164.74186160535098</v>
      </c>
      <c r="Q179" s="61">
        <f t="shared" si="87"/>
        <v>165.17664496959384</v>
      </c>
      <c r="R179" s="61">
        <f t="shared" si="87"/>
        <v>165.36802558008011</v>
      </c>
      <c r="S179" s="61">
        <f t="shared" si="87"/>
        <v>165.44758642174151</v>
      </c>
      <c r="T179" s="61">
        <f t="shared" si="87"/>
        <v>165.4789207007488</v>
      </c>
      <c r="U179" s="61">
        <f t="shared" si="87"/>
        <v>165.49064437246196</v>
      </c>
      <c r="V179" s="61">
        <f t="shared" si="87"/>
        <v>165.49482189010146</v>
      </c>
      <c r="W179" s="61">
        <f t="shared" si="87"/>
        <v>165.49624280984852</v>
      </c>
      <c r="X179" s="61">
        <f>W179+X177</f>
        <v>165.49670510107589</v>
      </c>
      <c r="Y179" s="61"/>
      <c r="Z179" s="61"/>
      <c r="AA179" s="61"/>
      <c r="AB179" s="62"/>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c r="CA179" s="59"/>
    </row>
    <row r="180" spans="1:80">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A180" s="59"/>
    </row>
    <row r="181" spans="1:80">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row>
    <row r="182" spans="1:80" ht="15">
      <c r="A182" s="79" t="s">
        <v>100</v>
      </c>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c r="CA182" s="59"/>
    </row>
    <row r="183" spans="1:80" ht="15">
      <c r="E183" s="80">
        <f t="shared" ref="E183:X183" si="88">E11</f>
        <v>2016</v>
      </c>
      <c r="F183" s="81">
        <f t="shared" si="88"/>
        <v>2017</v>
      </c>
      <c r="G183" s="81">
        <f t="shared" si="88"/>
        <v>2018</v>
      </c>
      <c r="H183" s="81">
        <f t="shared" si="88"/>
        <v>2019</v>
      </c>
      <c r="I183" s="81">
        <f t="shared" si="88"/>
        <v>2020</v>
      </c>
      <c r="J183" s="81">
        <f t="shared" si="88"/>
        <v>2021</v>
      </c>
      <c r="K183" s="81">
        <f t="shared" si="88"/>
        <v>2022</v>
      </c>
      <c r="L183" s="81">
        <f t="shared" si="88"/>
        <v>2023</v>
      </c>
      <c r="M183" s="81">
        <f t="shared" si="88"/>
        <v>2024</v>
      </c>
      <c r="N183" s="81">
        <f t="shared" si="88"/>
        <v>2025</v>
      </c>
      <c r="O183" s="81">
        <f t="shared" si="88"/>
        <v>2026</v>
      </c>
      <c r="P183" s="81">
        <f t="shared" si="88"/>
        <v>2027</v>
      </c>
      <c r="Q183" s="81">
        <f t="shared" si="88"/>
        <v>2028</v>
      </c>
      <c r="R183" s="81">
        <f t="shared" si="88"/>
        <v>2029</v>
      </c>
      <c r="S183" s="81">
        <f t="shared" si="88"/>
        <v>2030</v>
      </c>
      <c r="T183" s="81">
        <f t="shared" si="88"/>
        <v>2031</v>
      </c>
      <c r="U183" s="81">
        <f t="shared" si="88"/>
        <v>2032</v>
      </c>
      <c r="V183" s="81">
        <f t="shared" si="88"/>
        <v>2033</v>
      </c>
      <c r="W183" s="81">
        <f t="shared" si="88"/>
        <v>2034</v>
      </c>
      <c r="X183" s="81">
        <f t="shared" si="88"/>
        <v>2035</v>
      </c>
      <c r="Y183" s="82" t="s">
        <v>2132</v>
      </c>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row>
    <row r="184" spans="1:80" ht="15">
      <c r="C184" s="63" t="s">
        <v>97</v>
      </c>
      <c r="D184" s="63" t="s">
        <v>97</v>
      </c>
      <c r="E184" s="83" t="str">
        <f t="shared" ref="E184:X184" si="89">CONCATENATE("aMW_",E183)</f>
        <v>aMW_2016</v>
      </c>
      <c r="F184" s="84" t="str">
        <f t="shared" si="89"/>
        <v>aMW_2017</v>
      </c>
      <c r="G184" s="84" t="str">
        <f t="shared" si="89"/>
        <v>aMW_2018</v>
      </c>
      <c r="H184" s="84" t="str">
        <f t="shared" si="89"/>
        <v>aMW_2019</v>
      </c>
      <c r="I184" s="84" t="str">
        <f t="shared" si="89"/>
        <v>aMW_2020</v>
      </c>
      <c r="J184" s="84" t="str">
        <f t="shared" si="89"/>
        <v>aMW_2021</v>
      </c>
      <c r="K184" s="84" t="str">
        <f t="shared" si="89"/>
        <v>aMW_2022</v>
      </c>
      <c r="L184" s="84" t="str">
        <f t="shared" si="89"/>
        <v>aMW_2023</v>
      </c>
      <c r="M184" s="84" t="str">
        <f t="shared" si="89"/>
        <v>aMW_2024</v>
      </c>
      <c r="N184" s="84" t="str">
        <f t="shared" si="89"/>
        <v>aMW_2025</v>
      </c>
      <c r="O184" s="84" t="str">
        <f t="shared" si="89"/>
        <v>aMW_2026</v>
      </c>
      <c r="P184" s="84" t="str">
        <f t="shared" si="89"/>
        <v>aMW_2027</v>
      </c>
      <c r="Q184" s="84" t="str">
        <f t="shared" si="89"/>
        <v>aMW_2028</v>
      </c>
      <c r="R184" s="84" t="str">
        <f t="shared" si="89"/>
        <v>aMW_2029</v>
      </c>
      <c r="S184" s="84" t="str">
        <f t="shared" si="89"/>
        <v>aMW_2030</v>
      </c>
      <c r="T184" s="84" t="str">
        <f t="shared" si="89"/>
        <v>aMW_2031</v>
      </c>
      <c r="U184" s="84" t="str">
        <f t="shared" si="89"/>
        <v>aMW_2032</v>
      </c>
      <c r="V184" s="84" t="str">
        <f t="shared" si="89"/>
        <v>aMW_2033</v>
      </c>
      <c r="W184" s="84" t="str">
        <f t="shared" si="89"/>
        <v>aMW_2034</v>
      </c>
      <c r="X184" s="84" t="str">
        <f t="shared" si="89"/>
        <v>aMW_2035</v>
      </c>
      <c r="Y184" s="85" t="s">
        <v>2132</v>
      </c>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row>
    <row r="185" spans="1:80">
      <c r="B185" s="57" t="s">
        <v>101</v>
      </c>
      <c r="C185" s="64" t="s">
        <v>102</v>
      </c>
      <c r="D185" s="64" t="s">
        <v>103</v>
      </c>
      <c r="E185" s="61">
        <f>DSUM($B$135:$Y$175,E$135,$C$184:$D185)</f>
        <v>3.6548770970360765E-2</v>
      </c>
      <c r="F185" s="61">
        <f>DSUM($B$135:$Y$175,F$135,$C$184:$D185)</f>
        <v>4.167532629048281E-2</v>
      </c>
      <c r="G185" s="61">
        <f>DSUM($B$135:$Y$175,G$135,$C$184:$D185)</f>
        <v>4.5478710297604426E-2</v>
      </c>
      <c r="H185" s="61">
        <f>DSUM($B$135:$Y$175,H$135,$C$184:$D185)</f>
        <v>4.7460289502468375E-2</v>
      </c>
      <c r="I185" s="61">
        <f>DSUM($B$135:$Y$175,I$135,$C$184:$D185)</f>
        <v>4.5474505998575179E-2</v>
      </c>
      <c r="J185" s="61">
        <f>DSUM($B$135:$Y$175,J$135,$C$184:$D185)</f>
        <v>3.780936806701387E-2</v>
      </c>
      <c r="K185" s="61">
        <f>DSUM($B$135:$Y$175,K$135,$C$184:$D185)</f>
        <v>2.8292632410444399E-2</v>
      </c>
      <c r="L185" s="61">
        <f>DSUM($B$135:$Y$175,L$135,$C$184:$D185)</f>
        <v>1.9246626134217612E-2</v>
      </c>
      <c r="M185" s="61">
        <f>DSUM($B$135:$Y$175,M$135,$C$184:$D185)</f>
        <v>1.2001825345496517E-2</v>
      </c>
      <c r="N185" s="61">
        <f>DSUM($B$135:$Y$175,N$135,$C$184:$D185)</f>
        <v>6.9084065692730096E-3</v>
      </c>
      <c r="O185" s="61">
        <f>DSUM($B$135:$Y$175,O$135,$C$184:$D185)</f>
        <v>3.6925279481739518E-3</v>
      </c>
      <c r="P185" s="61">
        <f>DSUM($B$135:$Y$175,P$135,$C$184:$D185)</f>
        <v>1.8420714449712138E-3</v>
      </c>
      <c r="Q185" s="61">
        <f>DSUM($B$135:$Y$175,Q$135,$C$184:$D185)</f>
        <v>8.6151020452739774E-4</v>
      </c>
      <c r="R185" s="61">
        <f>DSUM($B$135:$Y$175,R$135,$C$184:$D185)</f>
        <v>3.7921494344596014E-4</v>
      </c>
      <c r="S185" s="61">
        <f>DSUM($B$135:$Y$175,S$135,$C$184:$D185)</f>
        <v>1.5764742308260125E-4</v>
      </c>
      <c r="T185" s="61">
        <f>DSUM($B$135:$Y$175,T$135,$C$184:$D185)</f>
        <v>6.2087934673610702E-5</v>
      </c>
      <c r="U185" s="61">
        <f>DSUM($B$135:$Y$175,U$135,$C$184:$D185)</f>
        <v>2.3230104107135513E-5</v>
      </c>
      <c r="V185" s="61">
        <f>DSUM($B$135:$Y$175,V$135,$C$184:$D185)</f>
        <v>8.2776259903534361E-6</v>
      </c>
      <c r="W185" s="61">
        <f>DSUM($B$135:$Y$175,W$135,$C$184:$D185)</f>
        <v>2.8155098897287327E-6</v>
      </c>
      <c r="X185" s="61">
        <f>DSUM($B$135:$Y$175,X$135,$C$184:$D185)</f>
        <v>9.1601621078673705E-7</v>
      </c>
      <c r="Y185" s="60">
        <f>DSUM($B$135:$Y$175,Y$135,$C$184:$D185)</f>
        <v>0.32003475497640338</v>
      </c>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A185" s="59"/>
    </row>
    <row r="186" spans="1:80">
      <c r="B186" s="57" t="s">
        <v>2182</v>
      </c>
      <c r="C186" s="64" t="s">
        <v>105</v>
      </c>
      <c r="D186" s="64" t="s">
        <v>106</v>
      </c>
      <c r="E186" s="61">
        <f>DSUM($B$135:$Y$175,E$135,$C$184:$D186)</f>
        <v>4.6490725725146953E-2</v>
      </c>
      <c r="F186" s="61">
        <f>DSUM($B$135:$Y$175,F$135,$C$184:$D186)</f>
        <v>5.301180074285046E-2</v>
      </c>
      <c r="G186" s="61">
        <f>DSUM($B$135:$Y$175,G$135,$C$184:$D186)</f>
        <v>5.7849776904782019E-2</v>
      </c>
      <c r="H186" s="61">
        <f>DSUM($B$135:$Y$175,H$135,$C$184:$D186)</f>
        <v>6.037038301191195E-2</v>
      </c>
      <c r="I186" s="61">
        <f>DSUM($B$135:$Y$175,I$135,$C$184:$D186)</f>
        <v>5.7844428957153526E-2</v>
      </c>
      <c r="J186" s="61">
        <f>DSUM($B$135:$Y$175,J$135,$C$184:$D186)</f>
        <v>4.8094228998018768E-2</v>
      </c>
      <c r="K186" s="61">
        <f>DSUM($B$135:$Y$175,K$135,$C$184:$D186)</f>
        <v>3.5988761824660348E-2</v>
      </c>
      <c r="L186" s="61">
        <f>DSUM($B$135:$Y$175,L$135,$C$184:$D186)</f>
        <v>2.4482071297718497E-2</v>
      </c>
      <c r="M186" s="61">
        <f>DSUM($B$135:$Y$175,M$135,$C$184:$D186)</f>
        <v>1.526654810885664E-2</v>
      </c>
      <c r="N186" s="61">
        <f>DSUM($B$135:$Y$175,N$135,$C$184:$D186)</f>
        <v>8.7876233997124919E-3</v>
      </c>
      <c r="O186" s="61">
        <f>DSUM($B$135:$Y$175,O$135,$C$184:$D186)</f>
        <v>4.6969651649903434E-3</v>
      </c>
      <c r="P186" s="61">
        <f>DSUM($B$135:$Y$175,P$135,$C$184:$D186)</f>
        <v>2.3431496064185301E-3</v>
      </c>
      <c r="Q186" s="61">
        <f>DSUM($B$135:$Y$175,Q$135,$C$184:$D186)</f>
        <v>1.0958572221369323E-3</v>
      </c>
      <c r="R186" s="61">
        <f>DSUM($B$135:$Y$175,R$135,$C$184:$D186)</f>
        <v>4.8236855737010363E-4</v>
      </c>
      <c r="S186" s="61">
        <f>DSUM($B$135:$Y$175,S$135,$C$184:$D186)</f>
        <v>2.0053049427443088E-4</v>
      </c>
      <c r="T186" s="61">
        <f>DSUM($B$135:$Y$175,T$135,$C$184:$D186)</f>
        <v>7.897702344334629E-5</v>
      </c>
      <c r="U186" s="61">
        <f>DSUM($B$135:$Y$175,U$135,$C$184:$D186)</f>
        <v>2.9549130379439037E-5</v>
      </c>
      <c r="V186" s="61">
        <f>DSUM($B$135:$Y$175,V$135,$C$184:$D186)</f>
        <v>1.0529296317103242E-5</v>
      </c>
      <c r="W186" s="61">
        <f>DSUM($B$135:$Y$175,W$135,$C$184:$D186)</f>
        <v>3.5813816603017005E-6</v>
      </c>
      <c r="X186" s="61">
        <f>DSUM($B$135:$Y$175,X$135,$C$184:$D186)</f>
        <v>1.1651898896958786E-6</v>
      </c>
      <c r="Y186" s="60">
        <f>DSUM($B$135:$Y$175,Y$135,$C$184:$D186)</f>
        <v>0.40709024191780407</v>
      </c>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c r="CA186" s="59"/>
    </row>
    <row r="187" spans="1:80">
      <c r="B187" s="57" t="s">
        <v>107</v>
      </c>
      <c r="C187" s="64" t="s">
        <v>108</v>
      </c>
      <c r="D187" s="64" t="s">
        <v>109</v>
      </c>
      <c r="E187" s="61">
        <f>DSUM($B$135:$Y$175,E$135,$C$184:$D187)</f>
        <v>0.45584812474112657</v>
      </c>
      <c r="F187" s="61">
        <f>DSUM($B$135:$Y$175,F$135,$C$184:$D187)</f>
        <v>0.51978818529622473</v>
      </c>
      <c r="G187" s="61">
        <f>DSUM($B$135:$Y$175,G$135,$C$184:$D187)</f>
        <v>0.56722522411547194</v>
      </c>
      <c r="H187" s="61">
        <f>DSUM($B$135:$Y$175,H$135,$C$184:$D187)</f>
        <v>0.5919401226081128</v>
      </c>
      <c r="I187" s="61">
        <f>DSUM($B$135:$Y$175,I$135,$C$184:$D187)</f>
        <v>0.56717278673447535</v>
      </c>
      <c r="J187" s="61">
        <f>DSUM($B$135:$Y$175,J$135,$C$184:$D187)</f>
        <v>0.47157070055713513</v>
      </c>
      <c r="K187" s="61">
        <f>DSUM($B$135:$Y$175,K$135,$C$184:$D187)</f>
        <v>0.35287488705844683</v>
      </c>
      <c r="L187" s="61">
        <f>DSUM($B$135:$Y$175,L$135,$C$184:$D187)</f>
        <v>0.24005016305449936</v>
      </c>
      <c r="M187" s="61">
        <f>DSUM($B$135:$Y$175,M$135,$C$184:$D187)</f>
        <v>0.14969065804297024</v>
      </c>
      <c r="N187" s="61">
        <f>DSUM($B$135:$Y$175,N$135,$C$184:$D187)</f>
        <v>8.6163887209947831E-2</v>
      </c>
      <c r="O187" s="61">
        <f>DSUM($B$135:$Y$175,O$135,$C$184:$D187)</f>
        <v>4.6054406100120661E-2</v>
      </c>
      <c r="P187" s="61">
        <f>DSUM($B$135:$Y$175,P$135,$C$184:$D187)</f>
        <v>2.2974912467241749E-2</v>
      </c>
      <c r="Q187" s="61">
        <f>DSUM($B$135:$Y$175,Q$135,$C$184:$D187)</f>
        <v>1.0745034668816451E-2</v>
      </c>
      <c r="R187" s="61">
        <f>DSUM($B$135:$Y$175,R$135,$C$184:$D187)</f>
        <v>4.7296917585501769E-3</v>
      </c>
      <c r="S187" s="61">
        <f>DSUM($B$135:$Y$175,S$135,$C$184:$D187)</f>
        <v>1.9662297876104316E-3</v>
      </c>
      <c r="T187" s="61">
        <f>DSUM($B$135:$Y$175,T$135,$C$184:$D187)</f>
        <v>7.7438085710096981E-4</v>
      </c>
      <c r="U187" s="61">
        <f>DSUM($B$135:$Y$175,U$135,$C$184:$D187)</f>
        <v>2.8973339222176155E-4</v>
      </c>
      <c r="V187" s="61">
        <f>DSUM($B$135:$Y$175,V$135,$C$184:$D187)</f>
        <v>1.0324123588371867E-4</v>
      </c>
      <c r="W187" s="61">
        <f>DSUM($B$135:$Y$175,W$135,$C$184:$D187)</f>
        <v>3.5115952447860664E-5</v>
      </c>
      <c r="X187" s="61">
        <f>DSUM($B$135:$Y$175,X$135,$C$184:$D187)</f>
        <v>1.1424851255825552E-5</v>
      </c>
      <c r="Y187" s="60">
        <f>DSUM($B$135:$Y$175,Y$135,$C$184:$D187)</f>
        <v>3.9915772551226616</v>
      </c>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c r="CA187" s="59"/>
    </row>
    <row r="188" spans="1:80">
      <c r="B188" s="57" t="s">
        <v>110</v>
      </c>
      <c r="C188" s="64" t="s">
        <v>111</v>
      </c>
      <c r="D188" s="64" t="s">
        <v>112</v>
      </c>
      <c r="E188" s="61">
        <f>DSUM($B$135:$Y$175,E$135,$C$184:$D188)</f>
        <v>0.56722090832659489</v>
      </c>
      <c r="F188" s="61">
        <f>DSUM($B$135:$Y$175,F$135,$C$184:$D188)</f>
        <v>0.64678280023328349</v>
      </c>
      <c r="G188" s="61">
        <f>DSUM($B$135:$Y$175,G$135,$C$184:$D188)</f>
        <v>0.70580965322880218</v>
      </c>
      <c r="H188" s="61">
        <f>DSUM($B$135:$Y$175,H$135,$C$184:$D188)</f>
        <v>0.73656289408101916</v>
      </c>
      <c r="I188" s="61">
        <f>DSUM($B$135:$Y$175,I$135,$C$184:$D188)</f>
        <v>0.70574440435036045</v>
      </c>
      <c r="J188" s="61">
        <f>DSUM($B$135:$Y$175,J$135,$C$184:$D188)</f>
        <v>0.58678482282257893</v>
      </c>
      <c r="K188" s="61">
        <f>DSUM($B$135:$Y$175,K$135,$C$184:$D188)</f>
        <v>0.43908925604685839</v>
      </c>
      <c r="L188" s="61">
        <f>DSUM($B$135:$Y$175,L$135,$C$184:$D188)</f>
        <v>0.29869920296161273</v>
      </c>
      <c r="M188" s="61">
        <f>DSUM($B$135:$Y$175,M$135,$C$184:$D188)</f>
        <v>0.18626306968216189</v>
      </c>
      <c r="N188" s="61">
        <f>DSUM($B$135:$Y$175,N$135,$C$184:$D188)</f>
        <v>0.1072154424150195</v>
      </c>
      <c r="O188" s="61">
        <f>DSUM($B$135:$Y$175,O$135,$C$184:$D188)</f>
        <v>5.730641554221029E-2</v>
      </c>
      <c r="P188" s="61">
        <f>DSUM($B$135:$Y$175,P$135,$C$184:$D188)</f>
        <v>2.8588141556562474E-2</v>
      </c>
      <c r="Q188" s="61">
        <f>DSUM($B$135:$Y$175,Q$135,$C$184:$D188)</f>
        <v>1.3370260826032848E-2</v>
      </c>
      <c r="R188" s="61">
        <f>DSUM($B$135:$Y$175,R$135,$C$184:$D188)</f>
        <v>5.8852497351243368E-3</v>
      </c>
      <c r="S188" s="61">
        <f>DSUM($B$135:$Y$175,S$135,$C$184:$D188)</f>
        <v>2.4466189188352178E-3</v>
      </c>
      <c r="T188" s="61">
        <f>DSUM($B$135:$Y$175,T$135,$C$184:$D188)</f>
        <v>9.6357753671792278E-4</v>
      </c>
      <c r="U188" s="61">
        <f>DSUM($B$135:$Y$175,U$135,$C$184:$D188)</f>
        <v>3.6052103538191028E-4</v>
      </c>
      <c r="V188" s="61">
        <f>DSUM($B$135:$Y$175,V$135,$C$184:$D188)</f>
        <v>1.2846512778346813E-4</v>
      </c>
      <c r="W188" s="61">
        <f>DSUM($B$135:$Y$175,W$135,$C$184:$D188)</f>
        <v>4.3695479619534763E-5</v>
      </c>
      <c r="X188" s="61">
        <f>DSUM($B$135:$Y$175,X$135,$C$184:$D188)</f>
        <v>1.4216170156465589E-5</v>
      </c>
      <c r="Y188" s="60">
        <f>DSUM($B$135:$Y$175,Y$135,$C$184:$D188)</f>
        <v>4.9667991452026357</v>
      </c>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c r="CA188" s="59"/>
    </row>
    <row r="189" spans="1:80">
      <c r="B189" s="57" t="s">
        <v>113</v>
      </c>
      <c r="C189" s="64" t="s">
        <v>114</v>
      </c>
      <c r="D189" s="64" t="s">
        <v>115</v>
      </c>
      <c r="E189" s="61">
        <f>DSUM($B$135:$Y$175,E$135,$C$184:$D189)</f>
        <v>0.85300405238949217</v>
      </c>
      <c r="F189" s="61">
        <f>DSUM($B$135:$Y$175,F$135,$C$184:$D189)</f>
        <v>0.97265164509265789</v>
      </c>
      <c r="G189" s="61">
        <f>DSUM($B$135:$Y$175,G$135,$C$184:$D189)</f>
        <v>1.0614180217650524</v>
      </c>
      <c r="H189" s="61">
        <f>DSUM($B$135:$Y$175,H$135,$C$184:$D189)</f>
        <v>1.1076656806329919</v>
      </c>
      <c r="I189" s="61">
        <f>DSUM($B$135:$Y$175,I$135,$C$184:$D189)</f>
        <v>1.0613198985172885</v>
      </c>
      <c r="J189" s="61">
        <f>DSUM($B$135:$Y$175,J$135,$C$184:$D189)</f>
        <v>0.88242486199065584</v>
      </c>
      <c r="K189" s="61">
        <f>DSUM($B$135:$Y$175,K$135,$C$184:$D189)</f>
        <v>0.66031577692302168</v>
      </c>
      <c r="L189" s="61">
        <f>DSUM($B$135:$Y$175,L$135,$C$184:$D189)</f>
        <v>0.44919294552002476</v>
      </c>
      <c r="M189" s="61">
        <f>DSUM($B$135:$Y$175,M$135,$C$184:$D189)</f>
        <v>0.28010806886178569</v>
      </c>
      <c r="N189" s="61">
        <f>DSUM($B$135:$Y$175,N$135,$C$184:$D189)</f>
        <v>0.16123384296349974</v>
      </c>
      <c r="O189" s="61">
        <f>DSUM($B$135:$Y$175,O$135,$C$184:$D189)</f>
        <v>8.6179130507784252E-2</v>
      </c>
      <c r="P189" s="61">
        <f>DSUM($B$135:$Y$175,P$135,$C$184:$D189)</f>
        <v>4.2991716701654727E-2</v>
      </c>
      <c r="Q189" s="61">
        <f>DSUM($B$135:$Y$175,Q$135,$C$184:$D189)</f>
        <v>2.0106604849523257E-2</v>
      </c>
      <c r="R189" s="61">
        <f>DSUM($B$135:$Y$175,R$135,$C$184:$D189)</f>
        <v>8.8504175351990788E-3</v>
      </c>
      <c r="S189" s="61">
        <f>DSUM($B$135:$Y$175,S$135,$C$184:$D189)</f>
        <v>3.6792999372611255E-3</v>
      </c>
      <c r="T189" s="61">
        <f>DSUM($B$135:$Y$175,T$135,$C$184:$D189)</f>
        <v>1.4490572042499853E-3</v>
      </c>
      <c r="U189" s="61">
        <f>DSUM($B$135:$Y$175,U$135,$C$184:$D189)</f>
        <v>5.4216249725293534E-4</v>
      </c>
      <c r="V189" s="61">
        <f>DSUM($B$135:$Y$175,V$135,$C$184:$D189)</f>
        <v>1.9318976607071307E-4</v>
      </c>
      <c r="W189" s="61">
        <f>DSUM($B$135:$Y$175,W$135,$C$184:$D189)</f>
        <v>6.571059112846537E-5</v>
      </c>
      <c r="X189" s="61">
        <f>DSUM($B$135:$Y$175,X$135,$C$184:$D189)</f>
        <v>2.1378709026610022E-5</v>
      </c>
      <c r="Y189" s="60">
        <f>DSUM($B$135:$Y$175,Y$135,$C$184:$D189)</f>
        <v>7.4692236059519592</v>
      </c>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c r="CA189" s="59"/>
    </row>
    <row r="190" spans="1:80">
      <c r="B190" s="57" t="s">
        <v>116</v>
      </c>
      <c r="C190" s="64" t="s">
        <v>117</v>
      </c>
      <c r="D190" s="64" t="s">
        <v>118</v>
      </c>
      <c r="E190" s="61">
        <f>DSUM($B$135:$Y$175,E$135,$C$184:$D190)</f>
        <v>1.1212443803206216</v>
      </c>
      <c r="F190" s="61">
        <f>DSUM($B$135:$Y$175,F$135,$C$184:$D190)</f>
        <v>1.2785170105754409</v>
      </c>
      <c r="G190" s="61">
        <f>DSUM($B$135:$Y$175,G$135,$C$184:$D190)</f>
        <v>1.3951973484079976</v>
      </c>
      <c r="H190" s="61">
        <f>DSUM($B$135:$Y$175,H$135,$C$184:$D190)</f>
        <v>1.4559882994748805</v>
      </c>
      <c r="I190" s="61">
        <f>DSUM($B$135:$Y$175,I$135,$C$184:$D190)</f>
        <v>1.3950683687861236</v>
      </c>
      <c r="J190" s="61">
        <f>DSUM($B$135:$Y$175,J$135,$C$184:$D190)</f>
        <v>1.1599170189058428</v>
      </c>
      <c r="K190" s="61">
        <f>DSUM($B$135:$Y$175,K$135,$C$184:$D190)</f>
        <v>0.86796229401020319</v>
      </c>
      <c r="L190" s="61">
        <f>DSUM($B$135:$Y$175,L$135,$C$184:$D190)</f>
        <v>0.59044862030036371</v>
      </c>
      <c r="M190" s="61">
        <f>DSUM($B$135:$Y$175,M$135,$C$184:$D190)</f>
        <v>0.36819238691064365</v>
      </c>
      <c r="N190" s="61">
        <f>DSUM($B$135:$Y$175,N$135,$C$184:$D190)</f>
        <v>0.21193632062345014</v>
      </c>
      <c r="O190" s="61">
        <f>DSUM($B$135:$Y$175,O$135,$C$184:$D190)</f>
        <v>0.11327949206347857</v>
      </c>
      <c r="P190" s="61">
        <f>DSUM($B$135:$Y$175,P$135,$C$184:$D190)</f>
        <v>5.6511127487652225E-2</v>
      </c>
      <c r="Q190" s="61">
        <f>DSUM($B$135:$Y$175,Q$135,$C$184:$D190)</f>
        <v>2.6429437974769723E-2</v>
      </c>
      <c r="R190" s="61">
        <f>DSUM($B$135:$Y$175,R$135,$C$184:$D190)</f>
        <v>1.1633568324833549E-2</v>
      </c>
      <c r="S190" s="61">
        <f>DSUM($B$135:$Y$175,S$135,$C$184:$D190)</f>
        <v>4.8363127544490802E-3</v>
      </c>
      <c r="T190" s="61">
        <f>DSUM($B$135:$Y$175,T$135,$C$184:$D190)</f>
        <v>1.9047356720956437E-3</v>
      </c>
      <c r="U190" s="61">
        <f>DSUM($B$135:$Y$175,U$135,$C$184:$D190)</f>
        <v>7.1265388665219974E-4</v>
      </c>
      <c r="V190" s="61">
        <f>DSUM($B$135:$Y$175,V$135,$C$184:$D190)</f>
        <v>2.5394127839774245E-4</v>
      </c>
      <c r="W190" s="61">
        <f>DSUM($B$135:$Y$175,W$135,$C$184:$D190)</f>
        <v>8.6374303643631204E-5</v>
      </c>
      <c r="X190" s="61">
        <f>DSUM($B$135:$Y$175,X$135,$C$184:$D190)</f>
        <v>2.8101575001253203E-5</v>
      </c>
      <c r="Y190" s="60">
        <f>DSUM($B$135:$Y$175,Y$135,$C$184:$D190)</f>
        <v>9.8180365850216553</v>
      </c>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c r="CA190" s="59"/>
    </row>
    <row r="191" spans="1:80">
      <c r="B191" s="57" t="s">
        <v>119</v>
      </c>
      <c r="C191" s="64" t="s">
        <v>120</v>
      </c>
      <c r="D191" s="64" t="s">
        <v>121</v>
      </c>
      <c r="E191" s="61">
        <f>DSUM($B$135:$Y$175,E$135,$C$184:$D191)</f>
        <v>5.7051636007318827</v>
      </c>
      <c r="F191" s="61">
        <f>DSUM($B$135:$Y$175,F$135,$C$184:$D191)</f>
        <v>6.5054049230246953</v>
      </c>
      <c r="G191" s="61">
        <f>DSUM($B$135:$Y$175,G$135,$C$184:$D191)</f>
        <v>7.0991028072745586</v>
      </c>
      <c r="H191" s="61">
        <f>DSUM($B$135:$Y$175,H$135,$C$184:$D191)</f>
        <v>7.4084219239344593</v>
      </c>
      <c r="I191" s="61">
        <f>DSUM($B$135:$Y$175,I$135,$C$184:$D191)</f>
        <v>7.0984465276473276</v>
      </c>
      <c r="J191" s="61">
        <f>DSUM($B$135:$Y$175,J$135,$C$184:$D191)</f>
        <v>5.901939374036159</v>
      </c>
      <c r="K191" s="61">
        <f>DSUM($B$135:$Y$175,K$135,$C$184:$D191)</f>
        <v>4.4164028587405397</v>
      </c>
      <c r="L191" s="61">
        <f>DSUM($B$135:$Y$175,L$135,$C$184:$D191)</f>
        <v>3.0043459175926817</v>
      </c>
      <c r="M191" s="61">
        <f>DSUM($B$135:$Y$175,M$135,$C$184:$D191)</f>
        <v>1.8734522471082755</v>
      </c>
      <c r="N191" s="61">
        <f>DSUM($B$135:$Y$175,N$135,$C$184:$D191)</f>
        <v>1.0783834490641522</v>
      </c>
      <c r="O191" s="61">
        <f>DSUM($B$135:$Y$175,O$135,$C$184:$D191)</f>
        <v>0.57639355538633796</v>
      </c>
      <c r="P191" s="61">
        <f>DSUM($B$135:$Y$175,P$135,$C$184:$D191)</f>
        <v>0.28754233531737317</v>
      </c>
      <c r="Q191" s="61">
        <f>DSUM($B$135:$Y$175,Q$135,$C$184:$D191)</f>
        <v>0.13447939643482559</v>
      </c>
      <c r="R191" s="61">
        <f>DSUM($B$135:$Y$175,R$135,$C$184:$D191)</f>
        <v>5.9194419805688361E-2</v>
      </c>
      <c r="S191" s="61">
        <f>DSUM($B$135:$Y$175,S$135,$C$184:$D191)</f>
        <v>2.4608333359537809E-2</v>
      </c>
      <c r="T191" s="61">
        <f>DSUM($B$135:$Y$175,T$135,$C$184:$D191)</f>
        <v>9.6917574938910796E-3</v>
      </c>
      <c r="U191" s="61">
        <f>DSUM($B$135:$Y$175,U$135,$C$184:$D191)</f>
        <v>3.6261559793821316E-3</v>
      </c>
      <c r="V191" s="61">
        <f>DSUM($B$135:$Y$175,V$135,$C$184:$D191)</f>
        <v>1.2921148713573413E-3</v>
      </c>
      <c r="W191" s="61">
        <f>DSUM($B$135:$Y$175,W$135,$C$184:$D191)</f>
        <v>4.3949342519362011E-4</v>
      </c>
      <c r="X191" s="61">
        <f>DSUM($B$135:$Y$175,X$135,$C$184:$D191)</f>
        <v>1.42987635554117E-4</v>
      </c>
      <c r="Y191" s="60">
        <f>DSUM($B$135:$Y$175,Y$135,$C$184:$D191)</f>
        <v>49.956553574433393</v>
      </c>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row>
    <row r="192" spans="1:80">
      <c r="B192" s="57" t="s">
        <v>122</v>
      </c>
      <c r="C192" s="64" t="s">
        <v>123</v>
      </c>
      <c r="D192" s="64" t="s">
        <v>124</v>
      </c>
      <c r="E192" s="61">
        <f>DSUM($B$135:$Y$175,E$135,$C$184:$D192)</f>
        <v>6.032761169065016</v>
      </c>
      <c r="F192" s="61">
        <f>DSUM($B$135:$Y$175,F$135,$C$184:$D192)</f>
        <v>6.8789533403797893</v>
      </c>
      <c r="G192" s="61">
        <f>DSUM($B$135:$Y$175,G$135,$C$184:$D192)</f>
        <v>7.506742093326185</v>
      </c>
      <c r="H192" s="61">
        <f>DSUM($B$135:$Y$175,H$135,$C$184:$D192)</f>
        <v>7.8338226972191132</v>
      </c>
      <c r="I192" s="61">
        <f>DSUM($B$135:$Y$175,I$135,$C$184:$D192)</f>
        <v>7.506048129308974</v>
      </c>
      <c r="J192" s="61">
        <f>DSUM($B$135:$Y$175,J$135,$C$184:$D192)</f>
        <v>6.240836051273563</v>
      </c>
      <c r="K192" s="61">
        <f>DSUM($B$135:$Y$175,K$135,$C$184:$D192)</f>
        <v>4.6699981872105756</v>
      </c>
      <c r="L192" s="61">
        <f>DSUM($B$135:$Y$175,L$135,$C$184:$D192)</f>
        <v>3.176859185557281</v>
      </c>
      <c r="M192" s="61">
        <f>DSUM($B$135:$Y$175,M$135,$C$184:$D192)</f>
        <v>1.981028198210218</v>
      </c>
      <c r="N192" s="61">
        <f>DSUM($B$135:$Y$175,N$135,$C$184:$D192)</f>
        <v>1.1403055639004021</v>
      </c>
      <c r="O192" s="61">
        <f>DSUM($B$135:$Y$175,O$135,$C$184:$D192)</f>
        <v>0.60949078806223</v>
      </c>
      <c r="P192" s="61">
        <f>DSUM($B$135:$Y$175,P$135,$C$184:$D192)</f>
        <v>0.30405337276259525</v>
      </c>
      <c r="Q192" s="61">
        <f>DSUM($B$135:$Y$175,Q$135,$C$184:$D192)</f>
        <v>0.14220137013200485</v>
      </c>
      <c r="R192" s="61">
        <f>DSUM($B$135:$Y$175,R$135,$C$184:$D192)</f>
        <v>6.2593436791765059E-2</v>
      </c>
      <c r="S192" s="61">
        <f>DSUM($B$135:$Y$175,S$135,$C$184:$D192)</f>
        <v>2.6021374375273364E-2</v>
      </c>
      <c r="T192" s="61">
        <f>DSUM($B$135:$Y$175,T$135,$C$184:$D192)</f>
        <v>1.0248270226929241E-2</v>
      </c>
      <c r="U192" s="61">
        <f>DSUM($B$135:$Y$175,U$135,$C$184:$D192)</f>
        <v>3.8343743521365688E-3</v>
      </c>
      <c r="V192" s="61">
        <f>DSUM($B$135:$Y$175,V$135,$C$184:$D192)</f>
        <v>1.3663097094877398E-3</v>
      </c>
      <c r="W192" s="61">
        <f>DSUM($B$135:$Y$175,W$135,$C$184:$D192)</f>
        <v>4.6472968263825494E-4</v>
      </c>
      <c r="X192" s="61">
        <f>DSUM($B$135:$Y$175,X$135,$C$184:$D192)</f>
        <v>1.5119816289170708E-4</v>
      </c>
      <c r="Y192" s="60">
        <f>DSUM($B$135:$Y$175,Y$135,$C$184:$D192)</f>
        <v>52.825120826595764</v>
      </c>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c r="CA192" s="59"/>
    </row>
    <row r="193" spans="2:79">
      <c r="B193" s="57" t="s">
        <v>125</v>
      </c>
      <c r="C193" s="64" t="s">
        <v>126</v>
      </c>
      <c r="D193" s="64" t="s">
        <v>127</v>
      </c>
      <c r="E193" s="61">
        <f>DSUM($B$135:$Y$175,E$135,$C$184:$D193)</f>
        <v>6.0336050284928913</v>
      </c>
      <c r="F193" s="61">
        <f>DSUM($B$135:$Y$175,F$135,$C$184:$D193)</f>
        <v>6.8799155647191119</v>
      </c>
      <c r="G193" s="61">
        <f>DSUM($B$135:$Y$175,G$135,$C$184:$D193)</f>
        <v>7.5077921324228036</v>
      </c>
      <c r="H193" s="61">
        <f>DSUM($B$135:$Y$175,H$135,$C$184:$D193)</f>
        <v>7.834918488176867</v>
      </c>
      <c r="I193" s="61">
        <f>DSUM($B$135:$Y$175,I$135,$C$184:$D193)</f>
        <v>7.5070980713342745</v>
      </c>
      <c r="J193" s="61">
        <f>DSUM($B$135:$Y$175,J$135,$C$184:$D193)</f>
        <v>6.2417090161054372</v>
      </c>
      <c r="K193" s="61">
        <f>DSUM($B$135:$Y$175,K$135,$C$184:$D193)</f>
        <v>4.6706514240764161</v>
      </c>
      <c r="L193" s="61">
        <f>DSUM($B$135:$Y$175,L$135,$C$184:$D193)</f>
        <v>3.1773035629326882</v>
      </c>
      <c r="M193" s="61">
        <f>DSUM($B$135:$Y$175,M$135,$C$184:$D193)</f>
        <v>1.9813053033823105</v>
      </c>
      <c r="N193" s="61">
        <f>DSUM($B$135:$Y$175,N$135,$C$184:$D193)</f>
        <v>1.1404650692369782</v>
      </c>
      <c r="O193" s="61">
        <f>DSUM($B$135:$Y$175,O$135,$C$184:$D193)</f>
        <v>0.60957604330991766</v>
      </c>
      <c r="P193" s="61">
        <f>DSUM($B$135:$Y$175,P$135,$C$184:$D193)</f>
        <v>0.30409590358687166</v>
      </c>
      <c r="Q193" s="61">
        <f>DSUM($B$135:$Y$175,Q$135,$C$184:$D193)</f>
        <v>0.14222126118412509</v>
      </c>
      <c r="R193" s="61">
        <f>DSUM($B$135:$Y$175,R$135,$C$184:$D193)</f>
        <v>6.2602192328455403E-2</v>
      </c>
      <c r="S193" s="61">
        <f>DSUM($B$135:$Y$175,S$135,$C$184:$D193)</f>
        <v>2.6025014231299069E-2</v>
      </c>
      <c r="T193" s="61">
        <f>DSUM($B$135:$Y$175,T$135,$C$184:$D193)</f>
        <v>1.0249703749524957E-2</v>
      </c>
      <c r="U193" s="61">
        <f>DSUM($B$135:$Y$175,U$135,$C$184:$D193)</f>
        <v>3.8349107023842215E-3</v>
      </c>
      <c r="V193" s="61">
        <f>DSUM($B$135:$Y$175,V$135,$C$184:$D193)</f>
        <v>1.3665008281641532E-3</v>
      </c>
      <c r="W193" s="61">
        <f>DSUM($B$135:$Y$175,W$135,$C$184:$D193)</f>
        <v>4.6479468877940952E-4</v>
      </c>
      <c r="X193" s="61">
        <f>DSUM($B$135:$Y$175,X$135,$C$184:$D193)</f>
        <v>1.5121931241041965E-4</v>
      </c>
      <c r="Y193" s="60">
        <f>DSUM($B$135:$Y$175,Y$135,$C$184:$D193)</f>
        <v>52.832509976437592</v>
      </c>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c r="CA193" s="59"/>
    </row>
    <row r="194" spans="2:79">
      <c r="B194" s="57" t="s">
        <v>128</v>
      </c>
      <c r="C194" s="64" t="s">
        <v>129</v>
      </c>
      <c r="D194" s="64" t="s">
        <v>130</v>
      </c>
      <c r="E194" s="61">
        <f>DSUM($B$135:$Y$175,E$135,$C$184:$D194)</f>
        <v>6.0810651669651188</v>
      </c>
      <c r="F194" s="61">
        <f>DSUM($B$135:$Y$175,F$135,$C$184:$D194)</f>
        <v>6.9340327540009508</v>
      </c>
      <c r="G194" s="61">
        <f>DSUM($B$135:$Y$175,G$135,$C$184:$D194)</f>
        <v>7.566848178110714</v>
      </c>
      <c r="H194" s="61">
        <f>DSUM($B$135:$Y$175,H$135,$C$184:$D194)</f>
        <v>7.8965476990071251</v>
      </c>
      <c r="I194" s="61">
        <f>DSUM($B$135:$Y$175,I$135,$C$184:$D194)</f>
        <v>7.5661486575605181</v>
      </c>
      <c r="J194" s="61">
        <f>DSUM($B$135:$Y$175,J$135,$C$184:$D194)</f>
        <v>6.2908060936915238</v>
      </c>
      <c r="K194" s="61">
        <f>DSUM($B$135:$Y$175,K$135,$C$184:$D194)</f>
        <v>4.7073906143773003</v>
      </c>
      <c r="L194" s="61">
        <f>DSUM($B$135:$Y$175,L$135,$C$184:$D194)</f>
        <v>3.2022961281325939</v>
      </c>
      <c r="M194" s="61">
        <f>DSUM($B$135:$Y$175,M$135,$C$184:$D194)</f>
        <v>1.9968901856558812</v>
      </c>
      <c r="N194" s="61">
        <f>DSUM($B$135:$Y$175,N$135,$C$184:$D194)</f>
        <v>1.1494359299169732</v>
      </c>
      <c r="O194" s="61">
        <f>DSUM($B$135:$Y$175,O$135,$C$184:$D194)</f>
        <v>0.61437094839373096</v>
      </c>
      <c r="P194" s="61">
        <f>DSUM($B$135:$Y$175,P$135,$C$184:$D194)</f>
        <v>0.30648791195084557</v>
      </c>
      <c r="Q194" s="61">
        <f>DSUM($B$135:$Y$175,Q$135,$C$184:$D194)</f>
        <v>0.14333996894136447</v>
      </c>
      <c r="R194" s="61">
        <f>DSUM($B$135:$Y$175,R$135,$C$184:$D194)</f>
        <v>6.3094619111869768E-2</v>
      </c>
      <c r="S194" s="61">
        <f>DSUM($B$135:$Y$175,S$135,$C$184:$D194)</f>
        <v>2.6229726136259089E-2</v>
      </c>
      <c r="T194" s="61">
        <f>DSUM($B$135:$Y$175,T$135,$C$184:$D194)</f>
        <v>1.0330327581703987E-2</v>
      </c>
      <c r="U194" s="61">
        <f>DSUM($B$135:$Y$175,U$135,$C$184:$D194)</f>
        <v>3.8650759836885637E-3</v>
      </c>
      <c r="V194" s="61">
        <f>DSUM($B$135:$Y$175,V$135,$C$184:$D194)</f>
        <v>1.3772496786806881E-3</v>
      </c>
      <c r="W194" s="61">
        <f>DSUM($B$135:$Y$175,W$135,$C$184:$D194)</f>
        <v>4.6845074849602257E-4</v>
      </c>
      <c r="X194" s="61">
        <f>DSUM($B$135:$Y$175,X$135,$C$184:$D194)</f>
        <v>1.5240879854230626E-4</v>
      </c>
      <c r="Y194" s="60">
        <f>DSUM($B$135:$Y$175,Y$135,$C$184:$D194)</f>
        <v>53.248088760179002</v>
      </c>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c r="CA194" s="59"/>
    </row>
    <row r="195" spans="2:79">
      <c r="B195" s="57" t="s">
        <v>131</v>
      </c>
      <c r="C195" s="64" t="s">
        <v>132</v>
      </c>
      <c r="D195" s="64" t="s">
        <v>133</v>
      </c>
      <c r="E195" s="61">
        <f>DSUM($B$135:$Y$175,E$135,$C$184:$D195)</f>
        <v>8.7584413920147419</v>
      </c>
      <c r="F195" s="61">
        <f>DSUM($B$135:$Y$175,F$135,$C$184:$D195)</f>
        <v>9.9869542290297666</v>
      </c>
      <c r="G195" s="61">
        <f>DSUM($B$135:$Y$175,G$135,$C$184:$D195)</f>
        <v>10.898386133120741</v>
      </c>
      <c r="H195" s="61">
        <f>DSUM($B$135:$Y$175,H$135,$C$184:$D195)</f>
        <v>11.373246022212786</v>
      </c>
      <c r="I195" s="61">
        <f>DSUM($B$135:$Y$175,I$135,$C$184:$D195)</f>
        <v>10.897378627104414</v>
      </c>
      <c r="J195" s="61">
        <f>DSUM($B$135:$Y$175,J$135,$C$184:$D195)</f>
        <v>9.0605272213558656</v>
      </c>
      <c r="K195" s="61">
        <f>DSUM($B$135:$Y$175,K$135,$C$184:$D195)</f>
        <v>6.7799643110748367</v>
      </c>
      <c r="L195" s="61">
        <f>DSUM($B$135:$Y$175,L$135,$C$184:$D195)</f>
        <v>4.6122056232004738</v>
      </c>
      <c r="M195" s="61">
        <f>DSUM($B$135:$Y$175,M$135,$C$184:$D195)</f>
        <v>2.8760825903276812</v>
      </c>
      <c r="N195" s="61">
        <f>DSUM($B$135:$Y$175,N$135,$C$184:$D195)</f>
        <v>1.6555104985132152</v>
      </c>
      <c r="O195" s="61">
        <f>DSUM($B$135:$Y$175,O$135,$C$184:$D195)</f>
        <v>0.88486667988602918</v>
      </c>
      <c r="P195" s="61">
        <f>DSUM($B$135:$Y$175,P$135,$C$184:$D195)</f>
        <v>0.44142865443458801</v>
      </c>
      <c r="Q195" s="61">
        <f>DSUM($B$135:$Y$175,Q$135,$C$184:$D195)</f>
        <v>0.20644980486744308</v>
      </c>
      <c r="R195" s="61">
        <f>DSUM($B$135:$Y$175,R$135,$C$184:$D195)</f>
        <v>9.0873968370675476E-2</v>
      </c>
      <c r="S195" s="61">
        <f>DSUM($B$135:$Y$175,S$135,$C$184:$D195)</f>
        <v>3.7778170893648683E-2</v>
      </c>
      <c r="T195" s="61">
        <f>DSUM($B$135:$Y$175,T$135,$C$184:$D195)</f>
        <v>1.4878572454079203E-2</v>
      </c>
      <c r="U195" s="61">
        <f>DSUM($B$135:$Y$175,U$135,$C$184:$D195)</f>
        <v>5.5667947225296012E-3</v>
      </c>
      <c r="V195" s="61">
        <f>DSUM($B$135:$Y$175,V$135,$C$184:$D195)</f>
        <v>1.9836262664022744E-3</v>
      </c>
      <c r="W195" s="61">
        <f>DSUM($B$135:$Y$175,W$135,$C$184:$D195)</f>
        <v>6.7470061791748365E-4</v>
      </c>
      <c r="X195" s="61">
        <f>DSUM($B$135:$Y$175,X$135,$C$184:$D195)</f>
        <v>2.1951146600298027E-4</v>
      </c>
      <c r="Y195" s="60">
        <f>DSUM($B$135:$Y$175,Y$135,$C$184:$D195)</f>
        <v>76.692199777161477</v>
      </c>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c r="CA195" s="59"/>
    </row>
    <row r="196" spans="2:79">
      <c r="B196" s="57" t="s">
        <v>134</v>
      </c>
      <c r="C196" s="64" t="s">
        <v>135</v>
      </c>
      <c r="D196" s="64" t="s">
        <v>136</v>
      </c>
      <c r="E196" s="61">
        <f>DSUM($B$135:$Y$175,E$135,$C$184:$D196)</f>
        <v>18.04268351073145</v>
      </c>
      <c r="F196" s="61">
        <f>DSUM($B$135:$Y$175,F$135,$C$184:$D196)</f>
        <v>20.573461227340005</v>
      </c>
      <c r="G196" s="61">
        <f>DSUM($B$135:$Y$175,G$135,$C$184:$D196)</f>
        <v>22.45104156967006</v>
      </c>
      <c r="H196" s="61">
        <f>DSUM($B$135:$Y$175,H$135,$C$184:$D196)</f>
        <v>23.429268894298872</v>
      </c>
      <c r="I196" s="61">
        <f>DSUM($B$135:$Y$175,I$135,$C$184:$D196)</f>
        <v>22.448966073428878</v>
      </c>
      <c r="J196" s="61">
        <f>DSUM($B$135:$Y$175,J$135,$C$184:$D196)</f>
        <v>18.664990467862886</v>
      </c>
      <c r="K196" s="61">
        <f>DSUM($B$135:$Y$175,K$135,$C$184:$D196)</f>
        <v>13.966954256302657</v>
      </c>
      <c r="L196" s="61">
        <f>DSUM($B$135:$Y$175,L$135,$C$184:$D196)</f>
        <v>9.5012985326010622</v>
      </c>
      <c r="M196" s="61">
        <f>DSUM($B$135:$Y$175,M$135,$C$184:$D196)</f>
        <v>5.9248267591672565</v>
      </c>
      <c r="N196" s="61">
        <f>DSUM($B$135:$Y$175,N$135,$C$184:$D196)</f>
        <v>3.4104072444442197</v>
      </c>
      <c r="O196" s="61">
        <f>DSUM($B$135:$Y$175,O$135,$C$184:$D196)</f>
        <v>1.8228550879990255</v>
      </c>
      <c r="P196" s="61">
        <f>DSUM($B$135:$Y$175,P$135,$C$184:$D196)</f>
        <v>0.90935785809936109</v>
      </c>
      <c r="Q196" s="61">
        <f>DSUM($B$135:$Y$175,Q$135,$C$184:$D196)</f>
        <v>0.42529353378691542</v>
      </c>
      <c r="R196" s="61">
        <f>DSUM($B$135:$Y$175,R$135,$C$184:$D196)</f>
        <v>0.18720342778923948</v>
      </c>
      <c r="S196" s="61">
        <f>DSUM($B$135:$Y$175,S$135,$C$184:$D196)</f>
        <v>7.7824301212984892E-2</v>
      </c>
      <c r="T196" s="61">
        <f>DSUM($B$135:$Y$175,T$135,$C$184:$D196)</f>
        <v>3.0650359106722917E-2</v>
      </c>
      <c r="U196" s="61">
        <f>DSUM($B$135:$Y$175,U$135,$C$184:$D196)</f>
        <v>1.1467784147004157E-2</v>
      </c>
      <c r="V196" s="61">
        <f>DSUM($B$135:$Y$175,V$135,$C$184:$D196)</f>
        <v>4.0863367494701243E-3</v>
      </c>
      <c r="W196" s="61">
        <f>DSUM($B$135:$Y$175,W$135,$C$184:$D196)</f>
        <v>1.3899059397347634E-3</v>
      </c>
      <c r="X196" s="61">
        <f>DSUM($B$135:$Y$175,X$135,$C$184:$D196)</f>
        <v>4.5220099453761273E-4</v>
      </c>
      <c r="Y196" s="60">
        <f>DSUM($B$135:$Y$175,Y$135,$C$184:$D196)</f>
        <v>157.98850804467247</v>
      </c>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c r="CA196" s="59"/>
    </row>
    <row r="197" spans="2:79">
      <c r="B197" s="57" t="s">
        <v>137</v>
      </c>
      <c r="C197" s="64" t="s">
        <v>138</v>
      </c>
      <c r="D197" s="64" t="s">
        <v>139</v>
      </c>
      <c r="E197" s="61">
        <f>DSUM($B$135:$Y$175,E$135,$C$184:$D197)</f>
        <v>18.04268351073145</v>
      </c>
      <c r="F197" s="61">
        <f>DSUM($B$135:$Y$175,F$135,$C$184:$D197)</f>
        <v>20.573461227340005</v>
      </c>
      <c r="G197" s="61">
        <f>DSUM($B$135:$Y$175,G$135,$C$184:$D197)</f>
        <v>22.45104156967006</v>
      </c>
      <c r="H197" s="61">
        <f>DSUM($B$135:$Y$175,H$135,$C$184:$D197)</f>
        <v>23.429268894298872</v>
      </c>
      <c r="I197" s="61">
        <f>DSUM($B$135:$Y$175,I$135,$C$184:$D197)</f>
        <v>22.448966073428878</v>
      </c>
      <c r="J197" s="61">
        <f>DSUM($B$135:$Y$175,J$135,$C$184:$D197)</f>
        <v>18.664990467862886</v>
      </c>
      <c r="K197" s="61">
        <f>DSUM($B$135:$Y$175,K$135,$C$184:$D197)</f>
        <v>13.966954256302657</v>
      </c>
      <c r="L197" s="61">
        <f>DSUM($B$135:$Y$175,L$135,$C$184:$D197)</f>
        <v>9.5012985326010622</v>
      </c>
      <c r="M197" s="61">
        <f>DSUM($B$135:$Y$175,M$135,$C$184:$D197)</f>
        <v>5.9248267591672565</v>
      </c>
      <c r="N197" s="61">
        <f>DSUM($B$135:$Y$175,N$135,$C$184:$D197)</f>
        <v>3.4104072444442197</v>
      </c>
      <c r="O197" s="61">
        <f>DSUM($B$135:$Y$175,O$135,$C$184:$D197)</f>
        <v>1.8228550879990255</v>
      </c>
      <c r="P197" s="61">
        <f>DSUM($B$135:$Y$175,P$135,$C$184:$D197)</f>
        <v>0.90935785809936109</v>
      </c>
      <c r="Q197" s="61">
        <f>DSUM($B$135:$Y$175,Q$135,$C$184:$D197)</f>
        <v>0.42529353378691542</v>
      </c>
      <c r="R197" s="61">
        <f>DSUM($B$135:$Y$175,R$135,$C$184:$D197)</f>
        <v>0.18720342778923948</v>
      </c>
      <c r="S197" s="61">
        <f>DSUM($B$135:$Y$175,S$135,$C$184:$D197)</f>
        <v>7.7824301212984892E-2</v>
      </c>
      <c r="T197" s="61">
        <f>DSUM($B$135:$Y$175,T$135,$C$184:$D197)</f>
        <v>3.0650359106722917E-2</v>
      </c>
      <c r="U197" s="61">
        <f>DSUM($B$135:$Y$175,U$135,$C$184:$D197)</f>
        <v>1.1467784147004157E-2</v>
      </c>
      <c r="V197" s="61">
        <f>DSUM($B$135:$Y$175,V$135,$C$184:$D197)</f>
        <v>4.0863367494701243E-3</v>
      </c>
      <c r="W197" s="61">
        <f>DSUM($B$135:$Y$175,W$135,$C$184:$D197)</f>
        <v>1.3899059397347634E-3</v>
      </c>
      <c r="X197" s="61">
        <f>DSUM($B$135:$Y$175,X$135,$C$184:$D197)</f>
        <v>4.5220099453761273E-4</v>
      </c>
      <c r="Y197" s="60">
        <f>DSUM($B$135:$Y$175,Y$135,$C$184:$D197)</f>
        <v>157.98850804467247</v>
      </c>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c r="CA197" s="59"/>
    </row>
    <row r="198" spans="2:79">
      <c r="B198" s="57" t="s">
        <v>140</v>
      </c>
      <c r="C198" s="64" t="s">
        <v>141</v>
      </c>
      <c r="D198" s="64" t="s">
        <v>142</v>
      </c>
      <c r="E198" s="61">
        <f>DSUM($B$135:$Y$175,E$135,$C$184:$D198)</f>
        <v>18.044105467983602</v>
      </c>
      <c r="F198" s="61">
        <f>DSUM($B$135:$Y$175,F$135,$C$184:$D198)</f>
        <v>20.57508263705861</v>
      </c>
      <c r="G198" s="61">
        <f>DSUM($B$135:$Y$175,G$135,$C$184:$D198)</f>
        <v>22.452810952886217</v>
      </c>
      <c r="H198" s="61">
        <f>DSUM($B$135:$Y$175,H$135,$C$184:$D198)</f>
        <v>23.431115372335078</v>
      </c>
      <c r="I198" s="61">
        <f>DSUM($B$135:$Y$175,I$135,$C$184:$D198)</f>
        <v>22.450735293073642</v>
      </c>
      <c r="J198" s="61">
        <f>DSUM($B$135:$Y$175,J$135,$C$184:$D198)</f>
        <v>18.66646146958729</v>
      </c>
      <c r="K198" s="61">
        <f>DSUM($B$135:$Y$175,K$135,$C$184:$D198)</f>
        <v>13.968055002313271</v>
      </c>
      <c r="L198" s="61">
        <f>DSUM($B$135:$Y$175,L$135,$C$184:$D198)</f>
        <v>9.5020473369762684</v>
      </c>
      <c r="M198" s="61">
        <f>DSUM($B$135:$Y$175,M$135,$C$184:$D198)</f>
        <v>5.9252936991528138</v>
      </c>
      <c r="N198" s="61">
        <f>DSUM($B$135:$Y$175,N$135,$C$184:$D198)</f>
        <v>3.4106760211653295</v>
      </c>
      <c r="O198" s="61">
        <f>DSUM($B$135:$Y$175,O$135,$C$184:$D198)</f>
        <v>1.8229987485587456</v>
      </c>
      <c r="P198" s="61">
        <f>DSUM($B$135:$Y$175,P$135,$C$184:$D198)</f>
        <v>0.90942952526574228</v>
      </c>
      <c r="Q198" s="61">
        <f>DSUM($B$135:$Y$175,Q$135,$C$184:$D198)</f>
        <v>0.42532705148533884</v>
      </c>
      <c r="R198" s="61">
        <f>DSUM($B$135:$Y$175,R$135,$C$184:$D198)</f>
        <v>0.18721818143004987</v>
      </c>
      <c r="S198" s="61">
        <f>DSUM($B$135:$Y$175,S$135,$C$184:$D198)</f>
        <v>7.7830434603809895E-2</v>
      </c>
      <c r="T198" s="61">
        <f>DSUM($B$135:$Y$175,T$135,$C$184:$D198)</f>
        <v>3.0652774684227613E-2</v>
      </c>
      <c r="U198" s="61">
        <f>DSUM($B$135:$Y$175,U$135,$C$184:$D198)</f>
        <v>1.1468687931567261E-2</v>
      </c>
      <c r="V198" s="61">
        <f>DSUM($B$135:$Y$175,V$135,$C$184:$D198)</f>
        <v>4.086658796696202E-3</v>
      </c>
      <c r="W198" s="61">
        <f>DSUM($B$135:$Y$175,W$135,$C$184:$D198)</f>
        <v>1.3900154792514125E-3</v>
      </c>
      <c r="X198" s="61">
        <f>DSUM($B$135:$Y$175,X$135,$C$184:$D198)</f>
        <v>4.5223663283294892E-4</v>
      </c>
      <c r="Y198" s="60">
        <f>DSUM($B$135:$Y$175,Y$135,$C$184:$D198)</f>
        <v>158.00095923601754</v>
      </c>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c r="CA198" s="59"/>
    </row>
    <row r="199" spans="2:79">
      <c r="B199" s="57" t="s">
        <v>143</v>
      </c>
      <c r="C199" s="64" t="s">
        <v>144</v>
      </c>
      <c r="D199" s="64" t="s">
        <v>145</v>
      </c>
      <c r="E199" s="61">
        <f>DSUM($B$135:$Y$175,E$135,$C$184:$D199)</f>
        <v>18.044105467983602</v>
      </c>
      <c r="F199" s="61">
        <f>DSUM($B$135:$Y$175,F$135,$C$184:$D199)</f>
        <v>20.57508263705861</v>
      </c>
      <c r="G199" s="61">
        <f>DSUM($B$135:$Y$175,G$135,$C$184:$D199)</f>
        <v>22.452810952886217</v>
      </c>
      <c r="H199" s="61">
        <f>DSUM($B$135:$Y$175,H$135,$C$184:$D199)</f>
        <v>23.431115372335078</v>
      </c>
      <c r="I199" s="61">
        <f>DSUM($B$135:$Y$175,I$135,$C$184:$D199)</f>
        <v>22.450735293073642</v>
      </c>
      <c r="J199" s="61">
        <f>DSUM($B$135:$Y$175,J$135,$C$184:$D199)</f>
        <v>18.66646146958729</v>
      </c>
      <c r="K199" s="61">
        <f>DSUM($B$135:$Y$175,K$135,$C$184:$D199)</f>
        <v>13.968055002313271</v>
      </c>
      <c r="L199" s="61">
        <f>DSUM($B$135:$Y$175,L$135,$C$184:$D199)</f>
        <v>9.5020473369762684</v>
      </c>
      <c r="M199" s="61">
        <f>DSUM($B$135:$Y$175,M$135,$C$184:$D199)</f>
        <v>5.9252936991528138</v>
      </c>
      <c r="N199" s="61">
        <f>DSUM($B$135:$Y$175,N$135,$C$184:$D199)</f>
        <v>3.4106760211653295</v>
      </c>
      <c r="O199" s="61">
        <f>DSUM($B$135:$Y$175,O$135,$C$184:$D199)</f>
        <v>1.8229987485587456</v>
      </c>
      <c r="P199" s="61">
        <f>DSUM($B$135:$Y$175,P$135,$C$184:$D199)</f>
        <v>0.90942952526574228</v>
      </c>
      <c r="Q199" s="61">
        <f>DSUM($B$135:$Y$175,Q$135,$C$184:$D199)</f>
        <v>0.42532705148533884</v>
      </c>
      <c r="R199" s="61">
        <f>DSUM($B$135:$Y$175,R$135,$C$184:$D199)</f>
        <v>0.18721818143004987</v>
      </c>
      <c r="S199" s="61">
        <f>DSUM($B$135:$Y$175,S$135,$C$184:$D199)</f>
        <v>7.7830434603809895E-2</v>
      </c>
      <c r="T199" s="61">
        <f>DSUM($B$135:$Y$175,T$135,$C$184:$D199)</f>
        <v>3.0652774684227613E-2</v>
      </c>
      <c r="U199" s="61">
        <f>DSUM($B$135:$Y$175,U$135,$C$184:$D199)</f>
        <v>1.1468687931567261E-2</v>
      </c>
      <c r="V199" s="61">
        <f>DSUM($B$135:$Y$175,V$135,$C$184:$D199)</f>
        <v>4.086658796696202E-3</v>
      </c>
      <c r="W199" s="61">
        <f>DSUM($B$135:$Y$175,W$135,$C$184:$D199)</f>
        <v>1.3900154792514125E-3</v>
      </c>
      <c r="X199" s="61">
        <f>DSUM($B$135:$Y$175,X$135,$C$184:$D199)</f>
        <v>4.5223663283294892E-4</v>
      </c>
      <c r="Y199" s="60">
        <f>DSUM($B$135:$Y$175,Y$135,$C$184:$D199)</f>
        <v>158.00095923601754</v>
      </c>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c r="CA199" s="59"/>
    </row>
    <row r="200" spans="2:79">
      <c r="B200" s="57" t="s">
        <v>146</v>
      </c>
      <c r="C200" s="64" t="s">
        <v>147</v>
      </c>
      <c r="D200" s="64" t="s">
        <v>148</v>
      </c>
      <c r="E200" s="61">
        <f>DSUM($B$135:$Y$175,E$135,$C$184:$D200)</f>
        <v>18.044105467983602</v>
      </c>
      <c r="F200" s="61">
        <f>DSUM($B$135:$Y$175,F$135,$C$184:$D200)</f>
        <v>20.57508263705861</v>
      </c>
      <c r="G200" s="61">
        <f>DSUM($B$135:$Y$175,G$135,$C$184:$D200)</f>
        <v>22.452810952886217</v>
      </c>
      <c r="H200" s="61">
        <f>DSUM($B$135:$Y$175,H$135,$C$184:$D200)</f>
        <v>23.431115372335078</v>
      </c>
      <c r="I200" s="61">
        <f>DSUM($B$135:$Y$175,I$135,$C$184:$D200)</f>
        <v>22.450735293073642</v>
      </c>
      <c r="J200" s="61">
        <f>DSUM($B$135:$Y$175,J$135,$C$184:$D200)</f>
        <v>18.66646146958729</v>
      </c>
      <c r="K200" s="61">
        <f>DSUM($B$135:$Y$175,K$135,$C$184:$D200)</f>
        <v>13.968055002313271</v>
      </c>
      <c r="L200" s="61">
        <f>DSUM($B$135:$Y$175,L$135,$C$184:$D200)</f>
        <v>9.5020473369762684</v>
      </c>
      <c r="M200" s="61">
        <f>DSUM($B$135:$Y$175,M$135,$C$184:$D200)</f>
        <v>5.9252936991528138</v>
      </c>
      <c r="N200" s="61">
        <f>DSUM($B$135:$Y$175,N$135,$C$184:$D200)</f>
        <v>3.4106760211653295</v>
      </c>
      <c r="O200" s="61">
        <f>DSUM($B$135:$Y$175,O$135,$C$184:$D200)</f>
        <v>1.8229987485587456</v>
      </c>
      <c r="P200" s="61">
        <f>DSUM($B$135:$Y$175,P$135,$C$184:$D200)</f>
        <v>0.90942952526574228</v>
      </c>
      <c r="Q200" s="61">
        <f>DSUM($B$135:$Y$175,Q$135,$C$184:$D200)</f>
        <v>0.42532705148533884</v>
      </c>
      <c r="R200" s="61">
        <f>DSUM($B$135:$Y$175,R$135,$C$184:$D200)</f>
        <v>0.18721818143004987</v>
      </c>
      <c r="S200" s="61">
        <f>DSUM($B$135:$Y$175,S$135,$C$184:$D200)</f>
        <v>7.7830434603809895E-2</v>
      </c>
      <c r="T200" s="61">
        <f>DSUM($B$135:$Y$175,T$135,$C$184:$D200)</f>
        <v>3.0652774684227613E-2</v>
      </c>
      <c r="U200" s="61">
        <f>DSUM($B$135:$Y$175,U$135,$C$184:$D200)</f>
        <v>1.1468687931567261E-2</v>
      </c>
      <c r="V200" s="61">
        <f>DSUM($B$135:$Y$175,V$135,$C$184:$D200)</f>
        <v>4.086658796696202E-3</v>
      </c>
      <c r="W200" s="61">
        <f>DSUM($B$135:$Y$175,W$135,$C$184:$D200)</f>
        <v>1.3900154792514125E-3</v>
      </c>
      <c r="X200" s="61">
        <f>DSUM($B$135:$Y$175,X$135,$C$184:$D200)</f>
        <v>4.5223663283294892E-4</v>
      </c>
      <c r="Y200" s="60">
        <f>DSUM($B$135:$Y$175,Y$135,$C$184:$D200)</f>
        <v>158.00095923601754</v>
      </c>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row>
    <row r="201" spans="2:79">
      <c r="B201" s="57" t="s">
        <v>149</v>
      </c>
      <c r="C201" s="64" t="s">
        <v>150</v>
      </c>
      <c r="D201" s="64" t="s">
        <v>151</v>
      </c>
      <c r="E201" s="61">
        <f>DSUM($B$135:$Y$175,E$135,$C$184:$D201)</f>
        <v>18.058262110672896</v>
      </c>
      <c r="F201" s="61">
        <f>DSUM($B$135:$Y$175,F$135,$C$184:$D201)</f>
        <v>20.591224977487311</v>
      </c>
      <c r="G201" s="61">
        <f>DSUM($B$135:$Y$175,G$135,$C$184:$D201)</f>
        <v>22.470426479607355</v>
      </c>
      <c r="H201" s="61">
        <f>DSUM($B$135:$Y$175,H$135,$C$184:$D201)</f>
        <v>23.449498435365072</v>
      </c>
      <c r="I201" s="61">
        <f>DSUM($B$135:$Y$175,I$135,$C$184:$D201)</f>
        <v>22.468349191319799</v>
      </c>
      <c r="J201" s="61">
        <f>DSUM($B$135:$Y$175,J$135,$C$184:$D201)</f>
        <v>18.68110638649754</v>
      </c>
      <c r="K201" s="61">
        <f>DSUM($B$135:$Y$175,K$135,$C$184:$D201)</f>
        <v>13.979013748042343</v>
      </c>
      <c r="L201" s="61">
        <f>DSUM($B$135:$Y$175,L$135,$C$184:$D201)</f>
        <v>9.5095022418040536</v>
      </c>
      <c r="M201" s="61">
        <f>DSUM($B$135:$Y$175,M$135,$C$184:$D201)</f>
        <v>5.9299424342135172</v>
      </c>
      <c r="N201" s="61">
        <f>DSUM($B$135:$Y$175,N$135,$C$184:$D201)</f>
        <v>3.4133518934520577</v>
      </c>
      <c r="O201" s="61">
        <f>DSUM($B$135:$Y$175,O$135,$C$184:$D201)</f>
        <v>1.8244289963453244</v>
      </c>
      <c r="P201" s="61">
        <f>DSUM($B$135:$Y$175,P$135,$C$184:$D201)</f>
        <v>0.91014302524295787</v>
      </c>
      <c r="Q201" s="61">
        <f>DSUM($B$135:$Y$175,Q$135,$C$184:$D201)</f>
        <v>0.42566074511756974</v>
      </c>
      <c r="R201" s="61">
        <f>DSUM($B$135:$Y$175,R$135,$C$184:$D201)</f>
        <v>0.18736506490422083</v>
      </c>
      <c r="S201" s="61">
        <f>DSUM($B$135:$Y$175,S$135,$C$184:$D201)</f>
        <v>7.7891497074043942E-2</v>
      </c>
      <c r="T201" s="61">
        <f>DSUM($B$135:$Y$175,T$135,$C$184:$D201)</f>
        <v>3.0676823555999617E-2</v>
      </c>
      <c r="U201" s="61">
        <f>DSUM($B$135:$Y$175,U$135,$C$184:$D201)</f>
        <v>1.1477685779504377E-2</v>
      </c>
      <c r="V201" s="61">
        <f>DSUM($B$135:$Y$175,V$135,$C$184:$D201)</f>
        <v>4.0898650165046898E-3</v>
      </c>
      <c r="W201" s="61">
        <f>DSUM($B$135:$Y$175,W$135,$C$184:$D201)</f>
        <v>1.3911060266607737E-3</v>
      </c>
      <c r="X201" s="61">
        <f>DSUM($B$135:$Y$175,X$135,$C$184:$D201)</f>
        <v>4.5259143858563007E-4</v>
      </c>
      <c r="Y201" s="60">
        <f>DSUM($B$135:$Y$175,Y$135,$C$184:$D201)</f>
        <v>158.12492011224049</v>
      </c>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c r="CA201" s="59"/>
    </row>
    <row r="202" spans="2:79">
      <c r="B202" s="57" t="s">
        <v>152</v>
      </c>
      <c r="C202" s="64" t="s">
        <v>153</v>
      </c>
      <c r="D202" s="64" t="s">
        <v>154</v>
      </c>
      <c r="E202" s="61">
        <f>DSUM($B$135:$Y$175,E$135,$C$184:$D202)</f>
        <v>18.058667797146619</v>
      </c>
      <c r="F202" s="61">
        <f>DSUM($B$135:$Y$175,F$135,$C$184:$D202)</f>
        <v>20.591687568040022</v>
      </c>
      <c r="G202" s="61">
        <f>DSUM($B$135:$Y$175,G$135,$C$184:$D202)</f>
        <v>22.470931287214299</v>
      </c>
      <c r="H202" s="61">
        <f>DSUM($B$135:$Y$175,H$135,$C$184:$D202)</f>
        <v>23.450025238236385</v>
      </c>
      <c r="I202" s="61">
        <f>DSUM($B$135:$Y$175,I$135,$C$184:$D202)</f>
        <v>22.468853952259579</v>
      </c>
      <c r="J202" s="61">
        <f>DSUM($B$135:$Y$175,J$135,$C$184:$D202)</f>
        <v>18.681526065430582</v>
      </c>
      <c r="K202" s="61">
        <f>DSUM($B$135:$Y$175,K$135,$C$184:$D202)</f>
        <v>13.979327792481326</v>
      </c>
      <c r="L202" s="61">
        <f>DSUM($B$135:$Y$175,L$135,$C$184:$D202)</f>
        <v>9.509715876782197</v>
      </c>
      <c r="M202" s="61">
        <f>DSUM($B$135:$Y$175,M$135,$C$184:$D202)</f>
        <v>5.9300756528710377</v>
      </c>
      <c r="N202" s="61">
        <f>DSUM($B$135:$Y$175,N$135,$C$184:$D202)</f>
        <v>3.4134285758417997</v>
      </c>
      <c r="O202" s="61">
        <f>DSUM($B$135:$Y$175,O$135,$C$184:$D202)</f>
        <v>1.8244699829121129</v>
      </c>
      <c r="P202" s="61">
        <f>DSUM($B$135:$Y$175,P$135,$C$184:$D202)</f>
        <v>0.91016347198983927</v>
      </c>
      <c r="Q202" s="61">
        <f>DSUM($B$135:$Y$175,Q$135,$C$184:$D202)</f>
        <v>0.42567030776571557</v>
      </c>
      <c r="R202" s="61">
        <f>DSUM($B$135:$Y$175,R$135,$C$184:$D202)</f>
        <v>0.1873692741394182</v>
      </c>
      <c r="S202" s="61">
        <f>DSUM($B$135:$Y$175,S$135,$C$184:$D202)</f>
        <v>7.7893246939373578E-2</v>
      </c>
      <c r="T202" s="61">
        <f>DSUM($B$135:$Y$175,T$135,$C$184:$D202)</f>
        <v>3.0677512723777622E-2</v>
      </c>
      <c r="U202" s="61">
        <f>DSUM($B$135:$Y$175,U$135,$C$184:$D202)</f>
        <v>1.1477943630555706E-2</v>
      </c>
      <c r="V202" s="61">
        <f>DSUM($B$135:$Y$175,V$135,$C$184:$D202)</f>
        <v>4.0899568970470361E-3</v>
      </c>
      <c r="W202" s="61">
        <f>DSUM($B$135:$Y$175,W$135,$C$184:$D202)</f>
        <v>1.3911372784443103E-3</v>
      </c>
      <c r="X202" s="61">
        <f>DSUM($B$135:$Y$175,X$135,$C$184:$D202)</f>
        <v>4.5260160624316164E-4</v>
      </c>
      <c r="Y202" s="60">
        <f>DSUM($B$135:$Y$175,Y$135,$C$184:$D202)</f>
        <v>158.12847245525415</v>
      </c>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c r="CA202" s="59"/>
    </row>
    <row r="203" spans="2:79">
      <c r="B203" s="57" t="s">
        <v>155</v>
      </c>
      <c r="C203" s="64" t="s">
        <v>156</v>
      </c>
      <c r="D203" s="64" t="s">
        <v>157</v>
      </c>
      <c r="E203" s="61">
        <f>DSUM($B$135:$Y$175,E$135,$C$184:$D203)</f>
        <v>18.058667797146619</v>
      </c>
      <c r="F203" s="61">
        <f>DSUM($B$135:$Y$175,F$135,$C$184:$D203)</f>
        <v>20.591687568040022</v>
      </c>
      <c r="G203" s="61">
        <f>DSUM($B$135:$Y$175,G$135,$C$184:$D203)</f>
        <v>22.470931287214299</v>
      </c>
      <c r="H203" s="61">
        <f>DSUM($B$135:$Y$175,H$135,$C$184:$D203)</f>
        <v>23.450025238236385</v>
      </c>
      <c r="I203" s="61">
        <f>DSUM($B$135:$Y$175,I$135,$C$184:$D203)</f>
        <v>22.468853952259579</v>
      </c>
      <c r="J203" s="61">
        <f>DSUM($B$135:$Y$175,J$135,$C$184:$D203)</f>
        <v>18.681526065430582</v>
      </c>
      <c r="K203" s="61">
        <f>DSUM($B$135:$Y$175,K$135,$C$184:$D203)</f>
        <v>13.979327792481326</v>
      </c>
      <c r="L203" s="61">
        <f>DSUM($B$135:$Y$175,L$135,$C$184:$D203)</f>
        <v>9.509715876782197</v>
      </c>
      <c r="M203" s="61">
        <f>DSUM($B$135:$Y$175,M$135,$C$184:$D203)</f>
        <v>5.9300756528710377</v>
      </c>
      <c r="N203" s="61">
        <f>DSUM($B$135:$Y$175,N$135,$C$184:$D203)</f>
        <v>3.4134285758417997</v>
      </c>
      <c r="O203" s="61">
        <f>DSUM($B$135:$Y$175,O$135,$C$184:$D203)</f>
        <v>1.8244699829121129</v>
      </c>
      <c r="P203" s="61">
        <f>DSUM($B$135:$Y$175,P$135,$C$184:$D203)</f>
        <v>0.91016347198983927</v>
      </c>
      <c r="Q203" s="61">
        <f>DSUM($B$135:$Y$175,Q$135,$C$184:$D203)</f>
        <v>0.42567030776571557</v>
      </c>
      <c r="R203" s="61">
        <f>DSUM($B$135:$Y$175,R$135,$C$184:$D203)</f>
        <v>0.1873692741394182</v>
      </c>
      <c r="S203" s="61">
        <f>DSUM($B$135:$Y$175,S$135,$C$184:$D203)</f>
        <v>7.7893246939373578E-2</v>
      </c>
      <c r="T203" s="61">
        <f>DSUM($B$135:$Y$175,T$135,$C$184:$D203)</f>
        <v>3.0677512723777622E-2</v>
      </c>
      <c r="U203" s="61">
        <f>DSUM($B$135:$Y$175,U$135,$C$184:$D203)</f>
        <v>1.1477943630555706E-2</v>
      </c>
      <c r="V203" s="61">
        <f>DSUM($B$135:$Y$175,V$135,$C$184:$D203)</f>
        <v>4.0899568970470361E-3</v>
      </c>
      <c r="W203" s="61">
        <f>DSUM($B$135:$Y$175,W$135,$C$184:$D203)</f>
        <v>1.3911372784443103E-3</v>
      </c>
      <c r="X203" s="61">
        <f>DSUM($B$135:$Y$175,X$135,$C$184:$D203)</f>
        <v>4.5260160624316164E-4</v>
      </c>
      <c r="Y203" s="60">
        <f>DSUM($B$135:$Y$175,Y$135,$C$184:$D203)</f>
        <v>158.12847245525415</v>
      </c>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c r="BH203" s="59"/>
      <c r="BI203" s="59"/>
      <c r="BJ203" s="59"/>
      <c r="BK203" s="59"/>
      <c r="BL203" s="59"/>
      <c r="BM203" s="59"/>
      <c r="BN203" s="59"/>
      <c r="BO203" s="59"/>
      <c r="BP203" s="59"/>
      <c r="BQ203" s="59"/>
      <c r="BR203" s="59"/>
      <c r="BS203" s="59"/>
      <c r="BT203" s="59"/>
      <c r="BU203" s="59"/>
      <c r="BV203" s="59"/>
      <c r="BW203" s="59"/>
      <c r="BX203" s="59"/>
      <c r="BY203" s="59"/>
      <c r="BZ203" s="59"/>
      <c r="CA203" s="59"/>
    </row>
    <row r="204" spans="2:79">
      <c r="B204" s="57" t="s">
        <v>158</v>
      </c>
      <c r="C204" s="64" t="s">
        <v>159</v>
      </c>
      <c r="D204" s="64" t="s">
        <v>160</v>
      </c>
      <c r="E204" s="61">
        <f>DSUM($B$135:$Y$175,E$135,$C$184:$D204)</f>
        <v>18.058667797146619</v>
      </c>
      <c r="F204" s="61">
        <f>DSUM($B$135:$Y$175,F$135,$C$184:$D204)</f>
        <v>20.591687568040022</v>
      </c>
      <c r="G204" s="61">
        <f>DSUM($B$135:$Y$175,G$135,$C$184:$D204)</f>
        <v>22.470931287214299</v>
      </c>
      <c r="H204" s="61">
        <f>DSUM($B$135:$Y$175,H$135,$C$184:$D204)</f>
        <v>23.450025238236385</v>
      </c>
      <c r="I204" s="61">
        <f>DSUM($B$135:$Y$175,I$135,$C$184:$D204)</f>
        <v>22.468853952259579</v>
      </c>
      <c r="J204" s="61">
        <f>DSUM($B$135:$Y$175,J$135,$C$184:$D204)</f>
        <v>18.681526065430582</v>
      </c>
      <c r="K204" s="61">
        <f>DSUM($B$135:$Y$175,K$135,$C$184:$D204)</f>
        <v>13.979327792481326</v>
      </c>
      <c r="L204" s="61">
        <f>DSUM($B$135:$Y$175,L$135,$C$184:$D204)</f>
        <v>9.509715876782197</v>
      </c>
      <c r="M204" s="61">
        <f>DSUM($B$135:$Y$175,M$135,$C$184:$D204)</f>
        <v>5.9300756528710377</v>
      </c>
      <c r="N204" s="61">
        <f>DSUM($B$135:$Y$175,N$135,$C$184:$D204)</f>
        <v>3.4134285758417997</v>
      </c>
      <c r="O204" s="61">
        <f>DSUM($B$135:$Y$175,O$135,$C$184:$D204)</f>
        <v>1.8244699829121129</v>
      </c>
      <c r="P204" s="61">
        <f>DSUM($B$135:$Y$175,P$135,$C$184:$D204)</f>
        <v>0.91016347198983927</v>
      </c>
      <c r="Q204" s="61">
        <f>DSUM($B$135:$Y$175,Q$135,$C$184:$D204)</f>
        <v>0.42567030776571557</v>
      </c>
      <c r="R204" s="61">
        <f>DSUM($B$135:$Y$175,R$135,$C$184:$D204)</f>
        <v>0.1873692741394182</v>
      </c>
      <c r="S204" s="61">
        <f>DSUM($B$135:$Y$175,S$135,$C$184:$D204)</f>
        <v>7.7893246939373578E-2</v>
      </c>
      <c r="T204" s="61">
        <f>DSUM($B$135:$Y$175,T$135,$C$184:$D204)</f>
        <v>3.0677512723777622E-2</v>
      </c>
      <c r="U204" s="61">
        <f>DSUM($B$135:$Y$175,U$135,$C$184:$D204)</f>
        <v>1.1477943630555706E-2</v>
      </c>
      <c r="V204" s="61">
        <f>DSUM($B$135:$Y$175,V$135,$C$184:$D204)</f>
        <v>4.0899568970470361E-3</v>
      </c>
      <c r="W204" s="61">
        <f>DSUM($B$135:$Y$175,W$135,$C$184:$D204)</f>
        <v>1.3911372784443103E-3</v>
      </c>
      <c r="X204" s="61">
        <f>DSUM($B$135:$Y$175,X$135,$C$184:$D204)</f>
        <v>4.5260160624316164E-4</v>
      </c>
      <c r="Y204" s="60">
        <f>DSUM($B$135:$Y$175,Y$135,$C$184:$D204)</f>
        <v>158.12847245525415</v>
      </c>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c r="CA204" s="59"/>
    </row>
    <row r="205" spans="2:79">
      <c r="B205" s="57" t="s">
        <v>161</v>
      </c>
      <c r="C205" s="64" t="s">
        <v>162</v>
      </c>
      <c r="D205" s="64" t="s">
        <v>163</v>
      </c>
      <c r="E205" s="61">
        <f>DSUM($B$135:$Y$175,E$135,$C$184:$D205)</f>
        <v>18.147520610767501</v>
      </c>
      <c r="F205" s="61">
        <f>DSUM($B$135:$Y$175,F$135,$C$184:$D205)</f>
        <v>20.69300342357127</v>
      </c>
      <c r="G205" s="61">
        <f>DSUM($B$135:$Y$175,G$135,$C$184:$D205)</f>
        <v>22.581493455585651</v>
      </c>
      <c r="H205" s="61">
        <f>DSUM($B$135:$Y$175,H$135,$C$184:$D205)</f>
        <v>23.565404774828075</v>
      </c>
      <c r="I205" s="61">
        <f>DSUM($B$135:$Y$175,I$135,$C$184:$D205)</f>
        <v>22.579405899663499</v>
      </c>
      <c r="J205" s="61">
        <f>DSUM($B$135:$Y$175,J$135,$C$184:$D205)</f>
        <v>18.773443485491192</v>
      </c>
      <c r="K205" s="61">
        <f>DSUM($B$135:$Y$175,K$135,$C$184:$D205)</f>
        <v>14.048109311740838</v>
      </c>
      <c r="L205" s="61">
        <f>DSUM($B$135:$Y$175,L$135,$C$184:$D205)</f>
        <v>9.5565058738007345</v>
      </c>
      <c r="M205" s="61">
        <f>DSUM($B$135:$Y$175,M$135,$C$184:$D205)</f>
        <v>5.959252993783501</v>
      </c>
      <c r="N205" s="61">
        <f>DSUM($B$135:$Y$175,N$135,$C$184:$D205)</f>
        <v>3.4302234322766356</v>
      </c>
      <c r="O205" s="61">
        <f>DSUM($B$135:$Y$175,O$135,$C$184:$D205)</f>
        <v>1.8334467963276739</v>
      </c>
      <c r="P205" s="61">
        <f>DSUM($B$135:$Y$175,P$135,$C$184:$D205)</f>
        <v>0.91464168634372567</v>
      </c>
      <c r="Q205" s="61">
        <f>DSUM($B$135:$Y$175,Q$135,$C$184:$D205)</f>
        <v>0.42776470392742061</v>
      </c>
      <c r="R205" s="61">
        <f>DSUM($B$135:$Y$175,R$135,$C$184:$D205)</f>
        <v>0.18829117421424102</v>
      </c>
      <c r="S205" s="61">
        <f>DSUM($B$135:$Y$175,S$135,$C$184:$D205)</f>
        <v>7.8276499692587376E-2</v>
      </c>
      <c r="T205" s="61">
        <f>DSUM($B$135:$Y$175,T$135,$C$184:$D205)</f>
        <v>3.0828453166949668E-2</v>
      </c>
      <c r="U205" s="61">
        <f>DSUM($B$135:$Y$175,U$135,$C$184:$D205)</f>
        <v>1.1534417762402679E-2</v>
      </c>
      <c r="V205" s="61">
        <f>DSUM($B$135:$Y$175,V$135,$C$184:$D205)</f>
        <v>4.1100804289693725E-3</v>
      </c>
      <c r="W205" s="61">
        <f>DSUM($B$135:$Y$175,W$135,$C$184:$D205)</f>
        <v>1.3979819949378606E-3</v>
      </c>
      <c r="X205" s="61">
        <f>DSUM($B$135:$Y$175,X$135,$C$184:$D205)</f>
        <v>4.54828510609296E-4</v>
      </c>
      <c r="Y205" s="60">
        <f>DSUM($B$135:$Y$175,Y$135,$C$184:$D205)</f>
        <v>158.90650103682214</v>
      </c>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59"/>
      <c r="BK205" s="59"/>
      <c r="BL205" s="59"/>
      <c r="BM205" s="59"/>
      <c r="BN205" s="59"/>
      <c r="BO205" s="59"/>
      <c r="BP205" s="59"/>
      <c r="BQ205" s="59"/>
      <c r="BR205" s="59"/>
      <c r="BS205" s="59"/>
      <c r="BT205" s="59"/>
      <c r="BU205" s="59"/>
      <c r="BV205" s="59"/>
      <c r="BW205" s="59"/>
      <c r="BX205" s="59"/>
      <c r="BY205" s="59"/>
      <c r="BZ205" s="59"/>
      <c r="CA205" s="59"/>
    </row>
    <row r="206" spans="2:79">
      <c r="B206" s="27" t="s">
        <v>2135</v>
      </c>
      <c r="C206" s="617" t="s">
        <v>165</v>
      </c>
      <c r="D206" s="617" t="s">
        <v>2136</v>
      </c>
      <c r="E206" s="61">
        <f>DSUM($B$135:$Y$175,E$135,$C$184:$D206)</f>
        <v>18.147520610767501</v>
      </c>
      <c r="F206" s="61">
        <f>DSUM($B$135:$Y$175,F$135,$C$184:$D206)</f>
        <v>20.69300342357127</v>
      </c>
      <c r="G206" s="61">
        <f>DSUM($B$135:$Y$175,G$135,$C$184:$D206)</f>
        <v>22.581493455585651</v>
      </c>
      <c r="H206" s="61">
        <f>DSUM($B$135:$Y$175,H$135,$C$184:$D206)</f>
        <v>23.565404774828075</v>
      </c>
      <c r="I206" s="61">
        <f>DSUM($B$135:$Y$175,I$135,$C$184:$D206)</f>
        <v>22.579405899663499</v>
      </c>
      <c r="J206" s="61">
        <f>DSUM($B$135:$Y$175,J$135,$C$184:$D206)</f>
        <v>18.773443485491192</v>
      </c>
      <c r="K206" s="61">
        <f>DSUM($B$135:$Y$175,K$135,$C$184:$D206)</f>
        <v>14.048109311740838</v>
      </c>
      <c r="L206" s="61">
        <f>DSUM($B$135:$Y$175,L$135,$C$184:$D206)</f>
        <v>9.5565058738007345</v>
      </c>
      <c r="M206" s="61">
        <f>DSUM($B$135:$Y$175,M$135,$C$184:$D206)</f>
        <v>5.959252993783501</v>
      </c>
      <c r="N206" s="61">
        <f>DSUM($B$135:$Y$175,N$135,$C$184:$D206)</f>
        <v>3.4302234322766356</v>
      </c>
      <c r="O206" s="61">
        <f>DSUM($B$135:$Y$175,O$135,$C$184:$D206)</f>
        <v>1.8334467963276739</v>
      </c>
      <c r="P206" s="61">
        <f>DSUM($B$135:$Y$175,P$135,$C$184:$D206)</f>
        <v>0.91464168634372567</v>
      </c>
      <c r="Q206" s="61">
        <f>DSUM($B$135:$Y$175,Q$135,$C$184:$D206)</f>
        <v>0.42776470392742061</v>
      </c>
      <c r="R206" s="61">
        <f>DSUM($B$135:$Y$175,R$135,$C$184:$D206)</f>
        <v>0.18829117421424102</v>
      </c>
      <c r="S206" s="61">
        <f>DSUM($B$135:$Y$175,S$135,$C$184:$D206)</f>
        <v>7.8276499692587376E-2</v>
      </c>
      <c r="T206" s="61">
        <f>DSUM($B$135:$Y$175,T$135,$C$184:$D206)</f>
        <v>3.0828453166949668E-2</v>
      </c>
      <c r="U206" s="61">
        <f>DSUM($B$135:$Y$175,U$135,$C$184:$D206)</f>
        <v>1.1534417762402679E-2</v>
      </c>
      <c r="V206" s="61">
        <f>DSUM($B$135:$Y$175,V$135,$C$184:$D206)</f>
        <v>4.1100804289693725E-3</v>
      </c>
      <c r="W206" s="61">
        <f>DSUM($B$135:$Y$175,W$135,$C$184:$D206)</f>
        <v>1.3979819949378606E-3</v>
      </c>
      <c r="X206" s="61">
        <f>DSUM($B$135:$Y$175,X$135,$C$184:$D206)</f>
        <v>4.54828510609296E-4</v>
      </c>
      <c r="Y206" s="60">
        <f>DSUM($B$135:$Y$175,Y$135,$C$184:$D206)</f>
        <v>158.90650103682214</v>
      </c>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row>
    <row r="207" spans="2:79">
      <c r="B207" s="27" t="s">
        <v>2137</v>
      </c>
      <c r="C207" s="617" t="s">
        <v>2138</v>
      </c>
      <c r="D207" s="617" t="s">
        <v>2139</v>
      </c>
      <c r="E207" s="61">
        <f>DSUM($B$135:$Y$175,E$135,$C$184:$D207)</f>
        <v>18.157140398714688</v>
      </c>
      <c r="F207" s="61">
        <f>DSUM($B$135:$Y$175,F$135,$C$184:$D207)</f>
        <v>20.703972542118901</v>
      </c>
      <c r="G207" s="61">
        <f>DSUM($B$135:$Y$175,G$135,$C$184:$D207)</f>
        <v>22.593463640562028</v>
      </c>
      <c r="H207" s="61">
        <f>DSUM($B$135:$Y$175,H$135,$C$184:$D207)</f>
        <v>23.577896519661188</v>
      </c>
      <c r="I207" s="61">
        <f>DSUM($B$135:$Y$175,I$135,$C$184:$D207)</f>
        <v>22.591374978050947</v>
      </c>
      <c r="J207" s="61">
        <f>DSUM($B$135:$Y$175,J$135,$C$184:$D207)</f>
        <v>18.783395067817082</v>
      </c>
      <c r="K207" s="61">
        <f>DSUM($B$135:$Y$175,K$135,$C$184:$D207)</f>
        <v>14.055556049812463</v>
      </c>
      <c r="L207" s="61">
        <f>DSUM($B$135:$Y$175,L$135,$C$184:$D207)</f>
        <v>9.5615716655413134</v>
      </c>
      <c r="M207" s="61">
        <f>DSUM($B$135:$Y$175,M$135,$C$184:$D207)</f>
        <v>5.9624119239400422</v>
      </c>
      <c r="N207" s="61">
        <f>DSUM($B$135:$Y$175,N$135,$C$184:$D207)</f>
        <v>3.4320417535083729</v>
      </c>
      <c r="O207" s="61">
        <f>DSUM($B$135:$Y$175,O$135,$C$184:$D207)</f>
        <v>1.8344186849824058</v>
      </c>
      <c r="P207" s="61">
        <f>DSUM($B$135:$Y$175,P$135,$C$184:$D207)</f>
        <v>0.91512652718005794</v>
      </c>
      <c r="Q207" s="61">
        <f>DSUM($B$135:$Y$175,Q$135,$C$184:$D207)</f>
        <v>0.4279914569826358</v>
      </c>
      <c r="R207" s="61">
        <f>DSUM($B$135:$Y$175,R$135,$C$184:$D207)</f>
        <v>0.18839098515850811</v>
      </c>
      <c r="S207" s="61">
        <f>DSUM($B$135:$Y$175,S$135,$C$184:$D207)</f>
        <v>7.8317993147502846E-2</v>
      </c>
      <c r="T207" s="61">
        <f>DSUM($B$135:$Y$175,T$135,$C$184:$D207)</f>
        <v>3.0844794968596656E-2</v>
      </c>
      <c r="U207" s="61">
        <f>DSUM($B$135:$Y$175,U$135,$C$184:$D207)</f>
        <v>1.1540532022049957E-2</v>
      </c>
      <c r="V207" s="61">
        <f>DSUM($B$135:$Y$175,V$135,$C$184:$D207)</f>
        <v>4.1122591344256486E-3</v>
      </c>
      <c r="W207" s="61">
        <f>DSUM($B$135:$Y$175,W$135,$C$184:$D207)</f>
        <v>1.3987230488059744E-3</v>
      </c>
      <c r="X207" s="61">
        <f>DSUM($B$135:$Y$175,X$135,$C$184:$D207)</f>
        <v>4.5506960987118632E-4</v>
      </c>
      <c r="Y207" s="60">
        <f>DSUM($B$135:$Y$175,Y$135,$C$184:$D207)</f>
        <v>158.99073551029045</v>
      </c>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row>
    <row r="208" spans="2:79">
      <c r="B208" s="27" t="s">
        <v>2140</v>
      </c>
      <c r="C208" s="617" t="s">
        <v>2141</v>
      </c>
      <c r="D208" s="617" t="s">
        <v>2142</v>
      </c>
      <c r="E208" s="61">
        <f>DSUM($B$135:$Y$175,E$135,$C$184:$D208)</f>
        <v>18.157140398714688</v>
      </c>
      <c r="F208" s="61">
        <f>DSUM($B$135:$Y$175,F$135,$C$184:$D208)</f>
        <v>20.703972542118901</v>
      </c>
      <c r="G208" s="61">
        <f>DSUM($B$135:$Y$175,G$135,$C$184:$D208)</f>
        <v>22.593463640562028</v>
      </c>
      <c r="H208" s="61">
        <f>DSUM($B$135:$Y$175,H$135,$C$184:$D208)</f>
        <v>23.577896519661188</v>
      </c>
      <c r="I208" s="61">
        <f>DSUM($B$135:$Y$175,I$135,$C$184:$D208)</f>
        <v>22.591374978050947</v>
      </c>
      <c r="J208" s="61">
        <f>DSUM($B$135:$Y$175,J$135,$C$184:$D208)</f>
        <v>18.783395067817082</v>
      </c>
      <c r="K208" s="61">
        <f>DSUM($B$135:$Y$175,K$135,$C$184:$D208)</f>
        <v>14.055556049812463</v>
      </c>
      <c r="L208" s="61">
        <f>DSUM($B$135:$Y$175,L$135,$C$184:$D208)</f>
        <v>9.5615716655413134</v>
      </c>
      <c r="M208" s="61">
        <f>DSUM($B$135:$Y$175,M$135,$C$184:$D208)</f>
        <v>5.9624119239400422</v>
      </c>
      <c r="N208" s="61">
        <f>DSUM($B$135:$Y$175,N$135,$C$184:$D208)</f>
        <v>3.4320417535083729</v>
      </c>
      <c r="O208" s="61">
        <f>DSUM($B$135:$Y$175,O$135,$C$184:$D208)</f>
        <v>1.8344186849824058</v>
      </c>
      <c r="P208" s="61">
        <f>DSUM($B$135:$Y$175,P$135,$C$184:$D208)</f>
        <v>0.91512652718005794</v>
      </c>
      <c r="Q208" s="61">
        <f>DSUM($B$135:$Y$175,Q$135,$C$184:$D208)</f>
        <v>0.4279914569826358</v>
      </c>
      <c r="R208" s="61">
        <f>DSUM($B$135:$Y$175,R$135,$C$184:$D208)</f>
        <v>0.18839098515850811</v>
      </c>
      <c r="S208" s="61">
        <f>DSUM($B$135:$Y$175,S$135,$C$184:$D208)</f>
        <v>7.8317993147502846E-2</v>
      </c>
      <c r="T208" s="61">
        <f>DSUM($B$135:$Y$175,T$135,$C$184:$D208)</f>
        <v>3.0844794968596656E-2</v>
      </c>
      <c r="U208" s="61">
        <f>DSUM($B$135:$Y$175,U$135,$C$184:$D208)</f>
        <v>1.1540532022049957E-2</v>
      </c>
      <c r="V208" s="61">
        <f>DSUM($B$135:$Y$175,V$135,$C$184:$D208)</f>
        <v>4.1122591344256486E-3</v>
      </c>
      <c r="W208" s="61">
        <f>DSUM($B$135:$Y$175,W$135,$C$184:$D208)</f>
        <v>1.3987230488059744E-3</v>
      </c>
      <c r="X208" s="61">
        <f>DSUM($B$135:$Y$175,X$135,$C$184:$D208)</f>
        <v>4.5506960987118632E-4</v>
      </c>
      <c r="Y208" s="60">
        <f>DSUM($B$135:$Y$175,Y$135,$C$184:$D208)</f>
        <v>158.99073551029045</v>
      </c>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c r="CA208" s="59"/>
    </row>
    <row r="209" spans="1:79">
      <c r="B209" s="27" t="s">
        <v>2143</v>
      </c>
      <c r="C209" s="617" t="s">
        <v>2144</v>
      </c>
      <c r="D209" s="617" t="s">
        <v>2145</v>
      </c>
      <c r="E209" s="61">
        <f>DSUM($B$135:$Y$175,E$135,$C$184:$D209)</f>
        <v>18.157140398714688</v>
      </c>
      <c r="F209" s="61">
        <f>DSUM($B$135:$Y$175,F$135,$C$184:$D209)</f>
        <v>20.703972542118901</v>
      </c>
      <c r="G209" s="61">
        <f>DSUM($B$135:$Y$175,G$135,$C$184:$D209)</f>
        <v>22.593463640562028</v>
      </c>
      <c r="H209" s="61">
        <f>DSUM($B$135:$Y$175,H$135,$C$184:$D209)</f>
        <v>23.577896519661188</v>
      </c>
      <c r="I209" s="61">
        <f>DSUM($B$135:$Y$175,I$135,$C$184:$D209)</f>
        <v>22.591374978050947</v>
      </c>
      <c r="J209" s="61">
        <f>DSUM($B$135:$Y$175,J$135,$C$184:$D209)</f>
        <v>18.783395067817082</v>
      </c>
      <c r="K209" s="61">
        <f>DSUM($B$135:$Y$175,K$135,$C$184:$D209)</f>
        <v>14.055556049812463</v>
      </c>
      <c r="L209" s="61">
        <f>DSUM($B$135:$Y$175,L$135,$C$184:$D209)</f>
        <v>9.5615716655413134</v>
      </c>
      <c r="M209" s="61">
        <f>DSUM($B$135:$Y$175,M$135,$C$184:$D209)</f>
        <v>5.9624119239400422</v>
      </c>
      <c r="N209" s="61">
        <f>DSUM($B$135:$Y$175,N$135,$C$184:$D209)</f>
        <v>3.4320417535083729</v>
      </c>
      <c r="O209" s="61">
        <f>DSUM($B$135:$Y$175,O$135,$C$184:$D209)</f>
        <v>1.8344186849824058</v>
      </c>
      <c r="P209" s="61">
        <f>DSUM($B$135:$Y$175,P$135,$C$184:$D209)</f>
        <v>0.91512652718005794</v>
      </c>
      <c r="Q209" s="61">
        <f>DSUM($B$135:$Y$175,Q$135,$C$184:$D209)</f>
        <v>0.4279914569826358</v>
      </c>
      <c r="R209" s="61">
        <f>DSUM($B$135:$Y$175,R$135,$C$184:$D209)</f>
        <v>0.18839098515850811</v>
      </c>
      <c r="S209" s="61">
        <f>DSUM($B$135:$Y$175,S$135,$C$184:$D209)</f>
        <v>7.8317993147502846E-2</v>
      </c>
      <c r="T209" s="61">
        <f>DSUM($B$135:$Y$175,T$135,$C$184:$D209)</f>
        <v>3.0844794968596656E-2</v>
      </c>
      <c r="U209" s="61">
        <f>DSUM($B$135:$Y$175,U$135,$C$184:$D209)</f>
        <v>1.1540532022049957E-2</v>
      </c>
      <c r="V209" s="61">
        <f>DSUM($B$135:$Y$175,V$135,$C$184:$D209)</f>
        <v>4.1122591344256486E-3</v>
      </c>
      <c r="W209" s="61">
        <f>DSUM($B$135:$Y$175,W$135,$C$184:$D209)</f>
        <v>1.3987230488059744E-3</v>
      </c>
      <c r="X209" s="61">
        <f>DSUM($B$135:$Y$175,X$135,$C$184:$D209)</f>
        <v>4.5506960987118632E-4</v>
      </c>
      <c r="Y209" s="60">
        <f>DSUM($B$135:$Y$175,Y$135,$C$184:$D209)</f>
        <v>158.99073551029045</v>
      </c>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row>
    <row r="210" spans="1:79">
      <c r="B210" s="27" t="s">
        <v>2146</v>
      </c>
      <c r="C210" s="617" t="s">
        <v>2147</v>
      </c>
      <c r="D210" s="617" t="s">
        <v>2148</v>
      </c>
      <c r="E210" s="61">
        <f>DSUM($B$135:$Y$175,E$135,$C$184:$D210)</f>
        <v>18.166485170574163</v>
      </c>
      <c r="F210" s="61">
        <f>DSUM($B$135:$Y$175,F$135,$C$184:$D210)</f>
        <v>20.71462806913155</v>
      </c>
      <c r="G210" s="61">
        <f>DSUM($B$135:$Y$175,G$135,$C$184:$D210)</f>
        <v>22.605091614934651</v>
      </c>
      <c r="H210" s="61">
        <f>DSUM($B$135:$Y$175,H$135,$C$184:$D210)</f>
        <v>23.590031143234302</v>
      </c>
      <c r="I210" s="61">
        <f>DSUM($B$135:$Y$175,I$135,$C$184:$D210)</f>
        <v>22.603001877470454</v>
      </c>
      <c r="J210" s="61">
        <f>DSUM($B$135:$Y$175,J$135,$C$184:$D210)</f>
        <v>18.793062148524768</v>
      </c>
      <c r="K210" s="61">
        <f>DSUM($B$135:$Y$175,K$135,$C$184:$D210)</f>
        <v>14.06278989620894</v>
      </c>
      <c r="L210" s="61">
        <f>DSUM($B$135:$Y$175,L$135,$C$184:$D210)</f>
        <v>9.5664926334839784</v>
      </c>
      <c r="M210" s="61">
        <f>DSUM($B$135:$Y$175,M$135,$C$184:$D210)</f>
        <v>5.9654805447656756</v>
      </c>
      <c r="N210" s="61">
        <f>DSUM($B$135:$Y$175,N$135,$C$184:$D210)</f>
        <v>3.4338080915161466</v>
      </c>
      <c r="O210" s="61">
        <f>DSUM($B$135:$Y$175,O$135,$C$184:$D210)</f>
        <v>1.8353627887195303</v>
      </c>
      <c r="P210" s="61">
        <f>DSUM($B$135:$Y$175,P$135,$C$184:$D210)</f>
        <v>0.91559750710482946</v>
      </c>
      <c r="Q210" s="61">
        <f>DSUM($B$135:$Y$175,Q$135,$C$184:$D210)</f>
        <v>0.42821172748974662</v>
      </c>
      <c r="R210" s="61">
        <f>DSUM($B$135:$Y$175,R$135,$C$184:$D210)</f>
        <v>0.1884879426495023</v>
      </c>
      <c r="S210" s="61">
        <f>DSUM($B$135:$Y$175,S$135,$C$184:$D210)</f>
        <v>7.8358300363418149E-2</v>
      </c>
      <c r="T210" s="61">
        <f>DSUM($B$135:$Y$175,T$135,$C$184:$D210)</f>
        <v>3.0860669581322248E-2</v>
      </c>
      <c r="U210" s="61">
        <f>DSUM($B$135:$Y$175,U$135,$C$184:$D210)</f>
        <v>1.154647148368956E-2</v>
      </c>
      <c r="V210" s="61">
        <f>DSUM($B$135:$Y$175,V$135,$C$184:$D210)</f>
        <v>4.1143755537843369E-3</v>
      </c>
      <c r="W210" s="61">
        <f>DSUM($B$135:$Y$175,W$135,$C$184:$D210)</f>
        <v>1.3994429169954944E-3</v>
      </c>
      <c r="X210" s="61">
        <f>DSUM($B$135:$Y$175,X$135,$C$184:$D210)</f>
        <v>4.5530381644727958E-4</v>
      </c>
      <c r="Y210" s="60">
        <f>DSUM($B$135:$Y$175,Y$135,$C$184:$D210)</f>
        <v>159.07256183968423</v>
      </c>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row>
    <row r="211" spans="1:79">
      <c r="B211" s="27" t="s">
        <v>2149</v>
      </c>
      <c r="C211" s="617" t="s">
        <v>2150</v>
      </c>
      <c r="D211" s="617" t="s">
        <v>2151</v>
      </c>
      <c r="E211" s="61">
        <f>DSUM($B$135:$Y$175,E$135,$C$184:$D211)</f>
        <v>18.166485170574163</v>
      </c>
      <c r="F211" s="61">
        <f>DSUM($B$135:$Y$175,F$135,$C$184:$D211)</f>
        <v>20.71462806913155</v>
      </c>
      <c r="G211" s="61">
        <f>DSUM($B$135:$Y$175,G$135,$C$184:$D211)</f>
        <v>22.605091614934651</v>
      </c>
      <c r="H211" s="61">
        <f>DSUM($B$135:$Y$175,H$135,$C$184:$D211)</f>
        <v>23.590031143234302</v>
      </c>
      <c r="I211" s="61">
        <f>DSUM($B$135:$Y$175,I$135,$C$184:$D211)</f>
        <v>22.603001877470454</v>
      </c>
      <c r="J211" s="61">
        <f>DSUM($B$135:$Y$175,J$135,$C$184:$D211)</f>
        <v>18.793062148524768</v>
      </c>
      <c r="K211" s="61">
        <f>DSUM($B$135:$Y$175,K$135,$C$184:$D211)</f>
        <v>14.06278989620894</v>
      </c>
      <c r="L211" s="61">
        <f>DSUM($B$135:$Y$175,L$135,$C$184:$D211)</f>
        <v>9.5664926334839784</v>
      </c>
      <c r="M211" s="61">
        <f>DSUM($B$135:$Y$175,M$135,$C$184:$D211)</f>
        <v>5.9654805447656756</v>
      </c>
      <c r="N211" s="61">
        <f>DSUM($B$135:$Y$175,N$135,$C$184:$D211)</f>
        <v>3.4338080915161466</v>
      </c>
      <c r="O211" s="61">
        <f>DSUM($B$135:$Y$175,O$135,$C$184:$D211)</f>
        <v>1.8353627887195303</v>
      </c>
      <c r="P211" s="61">
        <f>DSUM($B$135:$Y$175,P$135,$C$184:$D211)</f>
        <v>0.91559750710482946</v>
      </c>
      <c r="Q211" s="61">
        <f>DSUM($B$135:$Y$175,Q$135,$C$184:$D211)</f>
        <v>0.42821172748974662</v>
      </c>
      <c r="R211" s="61">
        <f>DSUM($B$135:$Y$175,R$135,$C$184:$D211)</f>
        <v>0.1884879426495023</v>
      </c>
      <c r="S211" s="61">
        <f>DSUM($B$135:$Y$175,S$135,$C$184:$D211)</f>
        <v>7.8358300363418149E-2</v>
      </c>
      <c r="T211" s="61">
        <f>DSUM($B$135:$Y$175,T$135,$C$184:$D211)</f>
        <v>3.0860669581322248E-2</v>
      </c>
      <c r="U211" s="61">
        <f>DSUM($B$135:$Y$175,U$135,$C$184:$D211)</f>
        <v>1.154647148368956E-2</v>
      </c>
      <c r="V211" s="61">
        <f>DSUM($B$135:$Y$175,V$135,$C$184:$D211)</f>
        <v>4.1143755537843369E-3</v>
      </c>
      <c r="W211" s="61">
        <f>DSUM($B$135:$Y$175,W$135,$C$184:$D211)</f>
        <v>1.3994429169954944E-3</v>
      </c>
      <c r="X211" s="61">
        <f>DSUM($B$135:$Y$175,X$135,$C$184:$D211)</f>
        <v>4.5530381644727958E-4</v>
      </c>
      <c r="Y211" s="60">
        <f>DSUM($B$135:$Y$175,Y$135,$C$184:$D211)</f>
        <v>159.07256183968423</v>
      </c>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row>
    <row r="212" spans="1:79">
      <c r="B212" s="27" t="s">
        <v>2152</v>
      </c>
      <c r="C212" s="617" t="s">
        <v>2153</v>
      </c>
      <c r="D212" s="617" t="s">
        <v>2154</v>
      </c>
      <c r="E212" s="61">
        <f>DSUM($B$135:$Y$175,E$135,$C$184:$D212)</f>
        <v>18.166485170574163</v>
      </c>
      <c r="F212" s="61">
        <f>DSUM($B$135:$Y$175,F$135,$C$184:$D212)</f>
        <v>20.71462806913155</v>
      </c>
      <c r="G212" s="61">
        <f>DSUM($B$135:$Y$175,G$135,$C$184:$D212)</f>
        <v>22.605091614934651</v>
      </c>
      <c r="H212" s="61">
        <f>DSUM($B$135:$Y$175,H$135,$C$184:$D212)</f>
        <v>23.590031143234302</v>
      </c>
      <c r="I212" s="61">
        <f>DSUM($B$135:$Y$175,I$135,$C$184:$D212)</f>
        <v>22.603001877470454</v>
      </c>
      <c r="J212" s="61">
        <f>DSUM($B$135:$Y$175,J$135,$C$184:$D212)</f>
        <v>18.793062148524768</v>
      </c>
      <c r="K212" s="61">
        <f>DSUM($B$135:$Y$175,K$135,$C$184:$D212)</f>
        <v>14.06278989620894</v>
      </c>
      <c r="L212" s="61">
        <f>DSUM($B$135:$Y$175,L$135,$C$184:$D212)</f>
        <v>9.5664926334839784</v>
      </c>
      <c r="M212" s="61">
        <f>DSUM($B$135:$Y$175,M$135,$C$184:$D212)</f>
        <v>5.9654805447656756</v>
      </c>
      <c r="N212" s="61">
        <f>DSUM($B$135:$Y$175,N$135,$C$184:$D212)</f>
        <v>3.4338080915161466</v>
      </c>
      <c r="O212" s="61">
        <f>DSUM($B$135:$Y$175,O$135,$C$184:$D212)</f>
        <v>1.8353627887195303</v>
      </c>
      <c r="P212" s="61">
        <f>DSUM($B$135:$Y$175,P$135,$C$184:$D212)</f>
        <v>0.91559750710482946</v>
      </c>
      <c r="Q212" s="61">
        <f>DSUM($B$135:$Y$175,Q$135,$C$184:$D212)</f>
        <v>0.42821172748974662</v>
      </c>
      <c r="R212" s="61">
        <f>DSUM($B$135:$Y$175,R$135,$C$184:$D212)</f>
        <v>0.1884879426495023</v>
      </c>
      <c r="S212" s="61">
        <f>DSUM($B$135:$Y$175,S$135,$C$184:$D212)</f>
        <v>7.8358300363418149E-2</v>
      </c>
      <c r="T212" s="61">
        <f>DSUM($B$135:$Y$175,T$135,$C$184:$D212)</f>
        <v>3.0860669581322248E-2</v>
      </c>
      <c r="U212" s="61">
        <f>DSUM($B$135:$Y$175,U$135,$C$184:$D212)</f>
        <v>1.154647148368956E-2</v>
      </c>
      <c r="V212" s="61">
        <f>DSUM($B$135:$Y$175,V$135,$C$184:$D212)</f>
        <v>4.1143755537843369E-3</v>
      </c>
      <c r="W212" s="61">
        <f>DSUM($B$135:$Y$175,W$135,$C$184:$D212)</f>
        <v>1.3994429169954944E-3</v>
      </c>
      <c r="X212" s="61">
        <f>DSUM($B$135:$Y$175,X$135,$C$184:$D212)</f>
        <v>4.5530381644727958E-4</v>
      </c>
      <c r="Y212" s="60">
        <f>DSUM($B$135:$Y$175,Y$135,$C$184:$D212)</f>
        <v>159.07256183968423</v>
      </c>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row>
    <row r="213" spans="1:79">
      <c r="B213" s="27" t="s">
        <v>2155</v>
      </c>
      <c r="C213" s="617" t="s">
        <v>2156</v>
      </c>
      <c r="D213" s="617" t="s">
        <v>2157</v>
      </c>
      <c r="E213" s="61">
        <f>DSUM($B$135:$Y$175,E$135,$C$184:$D213)</f>
        <v>18.166485170574163</v>
      </c>
      <c r="F213" s="61">
        <f>DSUM($B$135:$Y$175,F$135,$C$184:$D213)</f>
        <v>20.71462806913155</v>
      </c>
      <c r="G213" s="61">
        <f>DSUM($B$135:$Y$175,G$135,$C$184:$D213)</f>
        <v>22.605091614934651</v>
      </c>
      <c r="H213" s="61">
        <f>DSUM($B$135:$Y$175,H$135,$C$184:$D213)</f>
        <v>23.590031143234302</v>
      </c>
      <c r="I213" s="61">
        <f>DSUM($B$135:$Y$175,I$135,$C$184:$D213)</f>
        <v>22.603001877470454</v>
      </c>
      <c r="J213" s="61">
        <f>DSUM($B$135:$Y$175,J$135,$C$184:$D213)</f>
        <v>18.793062148524768</v>
      </c>
      <c r="K213" s="61">
        <f>DSUM($B$135:$Y$175,K$135,$C$184:$D213)</f>
        <v>14.06278989620894</v>
      </c>
      <c r="L213" s="61">
        <f>DSUM($B$135:$Y$175,L$135,$C$184:$D213)</f>
        <v>9.5664926334839784</v>
      </c>
      <c r="M213" s="61">
        <f>DSUM($B$135:$Y$175,M$135,$C$184:$D213)</f>
        <v>5.9654805447656756</v>
      </c>
      <c r="N213" s="61">
        <f>DSUM($B$135:$Y$175,N$135,$C$184:$D213)</f>
        <v>3.4338080915161466</v>
      </c>
      <c r="O213" s="61">
        <f>DSUM($B$135:$Y$175,O$135,$C$184:$D213)</f>
        <v>1.8353627887195303</v>
      </c>
      <c r="P213" s="61">
        <f>DSUM($B$135:$Y$175,P$135,$C$184:$D213)</f>
        <v>0.91559750710482946</v>
      </c>
      <c r="Q213" s="61">
        <f>DSUM($B$135:$Y$175,Q$135,$C$184:$D213)</f>
        <v>0.42821172748974662</v>
      </c>
      <c r="R213" s="61">
        <f>DSUM($B$135:$Y$175,R$135,$C$184:$D213)</f>
        <v>0.1884879426495023</v>
      </c>
      <c r="S213" s="61">
        <f>DSUM($B$135:$Y$175,S$135,$C$184:$D213)</f>
        <v>7.8358300363418149E-2</v>
      </c>
      <c r="T213" s="61">
        <f>DSUM($B$135:$Y$175,T$135,$C$184:$D213)</f>
        <v>3.0860669581322248E-2</v>
      </c>
      <c r="U213" s="61">
        <f>DSUM($B$135:$Y$175,U$135,$C$184:$D213)</f>
        <v>1.154647148368956E-2</v>
      </c>
      <c r="V213" s="61">
        <f>DSUM($B$135:$Y$175,V$135,$C$184:$D213)</f>
        <v>4.1143755537843369E-3</v>
      </c>
      <c r="W213" s="61">
        <f>DSUM($B$135:$Y$175,W$135,$C$184:$D213)</f>
        <v>1.3994429169954944E-3</v>
      </c>
      <c r="X213" s="61">
        <f>DSUM($B$135:$Y$175,X$135,$C$184:$D213)</f>
        <v>4.5530381644727958E-4</v>
      </c>
      <c r="Y213" s="60">
        <f>DSUM($B$135:$Y$175,Y$135,$C$184:$D213)</f>
        <v>159.07256183968423</v>
      </c>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c r="CA213" s="59"/>
    </row>
    <row r="214" spans="1:79">
      <c r="B214" s="27" t="s">
        <v>2158</v>
      </c>
      <c r="C214" s="617" t="s">
        <v>2159</v>
      </c>
      <c r="D214" s="617" t="s">
        <v>2160</v>
      </c>
      <c r="E214" s="61">
        <f>DSUM($B$135:$Y$175,E$135,$C$184:$D214)</f>
        <v>18.166485170574163</v>
      </c>
      <c r="F214" s="61">
        <f>DSUM($B$135:$Y$175,F$135,$C$184:$D214)</f>
        <v>20.71462806913155</v>
      </c>
      <c r="G214" s="61">
        <f>DSUM($B$135:$Y$175,G$135,$C$184:$D214)</f>
        <v>22.605091614934651</v>
      </c>
      <c r="H214" s="61">
        <f>DSUM($B$135:$Y$175,H$135,$C$184:$D214)</f>
        <v>23.590031143234302</v>
      </c>
      <c r="I214" s="61">
        <f>DSUM($B$135:$Y$175,I$135,$C$184:$D214)</f>
        <v>22.603001877470454</v>
      </c>
      <c r="J214" s="61">
        <f>DSUM($B$135:$Y$175,J$135,$C$184:$D214)</f>
        <v>18.793062148524768</v>
      </c>
      <c r="K214" s="61">
        <f>DSUM($B$135:$Y$175,K$135,$C$184:$D214)</f>
        <v>14.06278989620894</v>
      </c>
      <c r="L214" s="61">
        <f>DSUM($B$135:$Y$175,L$135,$C$184:$D214)</f>
        <v>9.5664926334839784</v>
      </c>
      <c r="M214" s="61">
        <f>DSUM($B$135:$Y$175,M$135,$C$184:$D214)</f>
        <v>5.9654805447656756</v>
      </c>
      <c r="N214" s="61">
        <f>DSUM($B$135:$Y$175,N$135,$C$184:$D214)</f>
        <v>3.4338080915161466</v>
      </c>
      <c r="O214" s="61">
        <f>DSUM($B$135:$Y$175,O$135,$C$184:$D214)</f>
        <v>1.8353627887195303</v>
      </c>
      <c r="P214" s="61">
        <f>DSUM($B$135:$Y$175,P$135,$C$184:$D214)</f>
        <v>0.91559750710482946</v>
      </c>
      <c r="Q214" s="61">
        <f>DSUM($B$135:$Y$175,Q$135,$C$184:$D214)</f>
        <v>0.42821172748974662</v>
      </c>
      <c r="R214" s="61">
        <f>DSUM($B$135:$Y$175,R$135,$C$184:$D214)</f>
        <v>0.1884879426495023</v>
      </c>
      <c r="S214" s="61">
        <f>DSUM($B$135:$Y$175,S$135,$C$184:$D214)</f>
        <v>7.8358300363418149E-2</v>
      </c>
      <c r="T214" s="61">
        <f>DSUM($B$135:$Y$175,T$135,$C$184:$D214)</f>
        <v>3.0860669581322248E-2</v>
      </c>
      <c r="U214" s="61">
        <f>DSUM($B$135:$Y$175,U$135,$C$184:$D214)</f>
        <v>1.154647148368956E-2</v>
      </c>
      <c r="V214" s="61">
        <f>DSUM($B$135:$Y$175,V$135,$C$184:$D214)</f>
        <v>4.1143755537843369E-3</v>
      </c>
      <c r="W214" s="61">
        <f>DSUM($B$135:$Y$175,W$135,$C$184:$D214)</f>
        <v>1.3994429169954944E-3</v>
      </c>
      <c r="X214" s="61">
        <f>DSUM($B$135:$Y$175,X$135,$C$184:$D214)</f>
        <v>4.5530381644727958E-4</v>
      </c>
      <c r="Y214" s="60">
        <f>DSUM($B$135:$Y$175,Y$135,$C$184:$D214)</f>
        <v>159.07256183968423</v>
      </c>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c r="BM214" s="59"/>
      <c r="BN214" s="59"/>
      <c r="BO214" s="59"/>
      <c r="BP214" s="59"/>
      <c r="BQ214" s="59"/>
      <c r="BR214" s="59"/>
      <c r="BS214" s="59"/>
      <c r="BT214" s="59"/>
      <c r="BU214" s="59"/>
      <c r="BV214" s="59"/>
      <c r="BW214" s="59"/>
      <c r="BX214" s="59"/>
      <c r="BY214" s="59"/>
      <c r="BZ214" s="59"/>
      <c r="CA214" s="59"/>
    </row>
    <row r="215" spans="1:79">
      <c r="B215" s="27" t="s">
        <v>2161</v>
      </c>
      <c r="C215" s="617" t="s">
        <v>2162</v>
      </c>
      <c r="D215" s="617" t="s">
        <v>2163</v>
      </c>
      <c r="E215" s="61">
        <f>DSUM($B$135:$Y$175,E$135,$C$184:$D215)</f>
        <v>18.166485170574163</v>
      </c>
      <c r="F215" s="61">
        <f>DSUM($B$135:$Y$175,F$135,$C$184:$D215)</f>
        <v>20.71462806913155</v>
      </c>
      <c r="G215" s="61">
        <f>DSUM($B$135:$Y$175,G$135,$C$184:$D215)</f>
        <v>22.605091614934651</v>
      </c>
      <c r="H215" s="61">
        <f>DSUM($B$135:$Y$175,H$135,$C$184:$D215)</f>
        <v>23.590031143234302</v>
      </c>
      <c r="I215" s="61">
        <f>DSUM($B$135:$Y$175,I$135,$C$184:$D215)</f>
        <v>22.603001877470454</v>
      </c>
      <c r="J215" s="61">
        <f>DSUM($B$135:$Y$175,J$135,$C$184:$D215)</f>
        <v>18.793062148524768</v>
      </c>
      <c r="K215" s="61">
        <f>DSUM($B$135:$Y$175,K$135,$C$184:$D215)</f>
        <v>14.06278989620894</v>
      </c>
      <c r="L215" s="61">
        <f>DSUM($B$135:$Y$175,L$135,$C$184:$D215)</f>
        <v>9.5664926334839784</v>
      </c>
      <c r="M215" s="61">
        <f>DSUM($B$135:$Y$175,M$135,$C$184:$D215)</f>
        <v>5.9654805447656756</v>
      </c>
      <c r="N215" s="61">
        <f>DSUM($B$135:$Y$175,N$135,$C$184:$D215)</f>
        <v>3.4338080915161466</v>
      </c>
      <c r="O215" s="61">
        <f>DSUM($B$135:$Y$175,O$135,$C$184:$D215)</f>
        <v>1.8353627887195303</v>
      </c>
      <c r="P215" s="61">
        <f>DSUM($B$135:$Y$175,P$135,$C$184:$D215)</f>
        <v>0.91559750710482946</v>
      </c>
      <c r="Q215" s="61">
        <f>DSUM($B$135:$Y$175,Q$135,$C$184:$D215)</f>
        <v>0.42821172748974662</v>
      </c>
      <c r="R215" s="61">
        <f>DSUM($B$135:$Y$175,R$135,$C$184:$D215)</f>
        <v>0.1884879426495023</v>
      </c>
      <c r="S215" s="61">
        <f>DSUM($B$135:$Y$175,S$135,$C$184:$D215)</f>
        <v>7.8358300363418149E-2</v>
      </c>
      <c r="T215" s="61">
        <f>DSUM($B$135:$Y$175,T$135,$C$184:$D215)</f>
        <v>3.0860669581322248E-2</v>
      </c>
      <c r="U215" s="61">
        <f>DSUM($B$135:$Y$175,U$135,$C$184:$D215)</f>
        <v>1.154647148368956E-2</v>
      </c>
      <c r="V215" s="61">
        <f>DSUM($B$135:$Y$175,V$135,$C$184:$D215)</f>
        <v>4.1143755537843369E-3</v>
      </c>
      <c r="W215" s="61">
        <f>DSUM($B$135:$Y$175,W$135,$C$184:$D215)</f>
        <v>1.3994429169954944E-3</v>
      </c>
      <c r="X215" s="61">
        <f>DSUM($B$135:$Y$175,X$135,$C$184:$D215)</f>
        <v>4.5530381644727958E-4</v>
      </c>
      <c r="Y215" s="60">
        <f>DSUM($B$135:$Y$175,Y$135,$C$184:$D215)</f>
        <v>159.07256183968423</v>
      </c>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row>
    <row r="216" spans="1:79">
      <c r="B216" s="27" t="s">
        <v>2164</v>
      </c>
      <c r="C216" s="617" t="s">
        <v>2165</v>
      </c>
      <c r="D216" s="617" t="s">
        <v>166</v>
      </c>
      <c r="E216" s="61">
        <f>DSUM($B$135:$Y$175,E$135,$C$184:$D216)</f>
        <v>18.445280761534757</v>
      </c>
      <c r="F216" s="61">
        <f>DSUM($B$135:$Y$175,F$135,$C$184:$D216)</f>
        <v>21.032529243730636</v>
      </c>
      <c r="G216" s="61">
        <f>DSUM($B$135:$Y$175,G$135,$C$184:$D216)</f>
        <v>22.952005165702985</v>
      </c>
      <c r="H216" s="61">
        <f>DSUM($B$135:$Y$175,H$135,$C$184:$D216)</f>
        <v>23.952060265081705</v>
      </c>
      <c r="I216" s="61">
        <f>DSUM($B$135:$Y$175,I$135,$C$184:$D216)</f>
        <v>22.949883357665648</v>
      </c>
      <c r="J216" s="61">
        <f>DSUM($B$135:$Y$175,J$135,$C$184:$D216)</f>
        <v>19.081473628151215</v>
      </c>
      <c r="K216" s="61">
        <f>DSUM($B$135:$Y$175,K$135,$C$184:$D216)</f>
        <v>14.278607308485194</v>
      </c>
      <c r="L216" s="61">
        <f>DSUM($B$135:$Y$175,L$135,$C$184:$D216)</f>
        <v>9.7133067222925504</v>
      </c>
      <c r="M216" s="61">
        <f>DSUM($B$135:$Y$175,M$135,$C$184:$D216)</f>
        <v>6.0570309827411961</v>
      </c>
      <c r="N216" s="61">
        <f>DSUM($B$135:$Y$175,N$135,$C$184:$D216)</f>
        <v>3.4865057128298274</v>
      </c>
      <c r="O216" s="61">
        <f>DSUM($B$135:$Y$175,O$135,$C$184:$D216)</f>
        <v>1.8635295501212887</v>
      </c>
      <c r="P216" s="61">
        <f>DSUM($B$135:$Y$175,P$135,$C$184:$D216)</f>
        <v>0.92964890701397707</v>
      </c>
      <c r="Q216" s="61">
        <f>DSUM($B$135:$Y$175,Q$135,$C$184:$D216)</f>
        <v>0.43478336424285596</v>
      </c>
      <c r="R216" s="61">
        <f>DSUM($B$135:$Y$175,R$135,$C$184:$D216)</f>
        <v>0.19138061048626323</v>
      </c>
      <c r="S216" s="61">
        <f>DSUM($B$135:$Y$175,S$135,$C$184:$D216)</f>
        <v>7.9560841661383302E-2</v>
      </c>
      <c r="T216" s="61">
        <f>DSUM($B$135:$Y$175,T$135,$C$184:$D216)</f>
        <v>3.1334279007283236E-2</v>
      </c>
      <c r="U216" s="61">
        <f>DSUM($B$135:$Y$175,U$135,$C$184:$D216)</f>
        <v>1.1723671713154922E-2</v>
      </c>
      <c r="V216" s="61">
        <f>DSUM($B$135:$Y$175,V$135,$C$184:$D216)</f>
        <v>4.1775176395087198E-3</v>
      </c>
      <c r="W216" s="61">
        <f>DSUM($B$135:$Y$175,W$135,$C$184:$D216)</f>
        <v>1.420919747069996E-3</v>
      </c>
      <c r="X216" s="61">
        <f>DSUM($B$135:$Y$175,X$135,$C$184:$D216)</f>
        <v>4.6229122735154426E-4</v>
      </c>
      <c r="Y216" s="60">
        <f>DSUM($B$135:$Y$175,Y$135,$C$184:$D216)</f>
        <v>161.5138006631164</v>
      </c>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A216" s="59"/>
    </row>
    <row r="217" spans="1:7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row>
    <row r="218" spans="1:7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A218" s="59"/>
    </row>
    <row r="219" spans="1:79" ht="15">
      <c r="A219" s="79" t="s">
        <v>167</v>
      </c>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59"/>
      <c r="BK219" s="59"/>
      <c r="BL219" s="59"/>
      <c r="BM219" s="59"/>
      <c r="BN219" s="59"/>
      <c r="BO219" s="59"/>
      <c r="BP219" s="59"/>
      <c r="BQ219" s="59"/>
      <c r="BR219" s="59"/>
      <c r="BS219" s="59"/>
      <c r="BT219" s="59"/>
      <c r="BU219" s="59"/>
      <c r="BV219" s="59"/>
      <c r="BW219" s="59"/>
      <c r="BX219" s="59"/>
      <c r="BY219" s="59"/>
      <c r="BZ219" s="59"/>
      <c r="CA219" s="59"/>
    </row>
    <row r="220" spans="1:79" ht="15">
      <c r="D220" s="86" t="str">
        <f>C22</f>
        <v>ResWx - Retro</v>
      </c>
      <c r="E220" s="80">
        <f t="shared" ref="E220:X220" si="90">E11</f>
        <v>2016</v>
      </c>
      <c r="F220" s="81">
        <f t="shared" si="90"/>
        <v>2017</v>
      </c>
      <c r="G220" s="81">
        <f t="shared" si="90"/>
        <v>2018</v>
      </c>
      <c r="H220" s="81">
        <f t="shared" si="90"/>
        <v>2019</v>
      </c>
      <c r="I220" s="81">
        <f t="shared" si="90"/>
        <v>2020</v>
      </c>
      <c r="J220" s="81">
        <f t="shared" si="90"/>
        <v>2021</v>
      </c>
      <c r="K220" s="81">
        <f t="shared" si="90"/>
        <v>2022</v>
      </c>
      <c r="L220" s="81">
        <f t="shared" si="90"/>
        <v>2023</v>
      </c>
      <c r="M220" s="81">
        <f t="shared" si="90"/>
        <v>2024</v>
      </c>
      <c r="N220" s="81">
        <f t="shared" si="90"/>
        <v>2025</v>
      </c>
      <c r="O220" s="81">
        <f t="shared" si="90"/>
        <v>2026</v>
      </c>
      <c r="P220" s="81">
        <f t="shared" si="90"/>
        <v>2027</v>
      </c>
      <c r="Q220" s="81">
        <f t="shared" si="90"/>
        <v>2028</v>
      </c>
      <c r="R220" s="81">
        <f t="shared" si="90"/>
        <v>2029</v>
      </c>
      <c r="S220" s="81">
        <f t="shared" si="90"/>
        <v>2030</v>
      </c>
      <c r="T220" s="81">
        <f t="shared" si="90"/>
        <v>2031</v>
      </c>
      <c r="U220" s="81">
        <f t="shared" si="90"/>
        <v>2032</v>
      </c>
      <c r="V220" s="81">
        <f t="shared" si="90"/>
        <v>2033</v>
      </c>
      <c r="W220" s="81">
        <f t="shared" si="90"/>
        <v>2034</v>
      </c>
      <c r="X220" s="81">
        <f t="shared" si="90"/>
        <v>2035</v>
      </c>
      <c r="Y220" s="82" t="s">
        <v>2132</v>
      </c>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c r="CA220" s="59"/>
    </row>
    <row r="221" spans="1:79" ht="15">
      <c r="E221" s="83" t="str">
        <f t="shared" ref="E221:X221" si="91">CONCATENATE("aMW_",E220)</f>
        <v>aMW_2016</v>
      </c>
      <c r="F221" s="84" t="str">
        <f t="shared" si="91"/>
        <v>aMW_2017</v>
      </c>
      <c r="G221" s="84" t="str">
        <f t="shared" si="91"/>
        <v>aMW_2018</v>
      </c>
      <c r="H221" s="84" t="str">
        <f t="shared" si="91"/>
        <v>aMW_2019</v>
      </c>
      <c r="I221" s="84" t="str">
        <f t="shared" si="91"/>
        <v>aMW_2020</v>
      </c>
      <c r="J221" s="84" t="str">
        <f t="shared" si="91"/>
        <v>aMW_2021</v>
      </c>
      <c r="K221" s="84" t="str">
        <f t="shared" si="91"/>
        <v>aMW_2022</v>
      </c>
      <c r="L221" s="84" t="str">
        <f t="shared" si="91"/>
        <v>aMW_2023</v>
      </c>
      <c r="M221" s="84" t="str">
        <f t="shared" si="91"/>
        <v>aMW_2024</v>
      </c>
      <c r="N221" s="84" t="str">
        <f t="shared" si="91"/>
        <v>aMW_2025</v>
      </c>
      <c r="O221" s="84" t="str">
        <f t="shared" si="91"/>
        <v>aMW_2026</v>
      </c>
      <c r="P221" s="84" t="str">
        <f t="shared" si="91"/>
        <v>aMW_2027</v>
      </c>
      <c r="Q221" s="84" t="str">
        <f t="shared" si="91"/>
        <v>aMW_2028</v>
      </c>
      <c r="R221" s="84" t="str">
        <f t="shared" si="91"/>
        <v>aMW_2029</v>
      </c>
      <c r="S221" s="84" t="str">
        <f t="shared" si="91"/>
        <v>aMW_2030</v>
      </c>
      <c r="T221" s="84" t="str">
        <f t="shared" si="91"/>
        <v>aMW_2031</v>
      </c>
      <c r="U221" s="84" t="str">
        <f t="shared" si="91"/>
        <v>aMW_2032</v>
      </c>
      <c r="V221" s="84" t="str">
        <f t="shared" si="91"/>
        <v>aMW_2033</v>
      </c>
      <c r="W221" s="84" t="str">
        <f t="shared" si="91"/>
        <v>aMW_2034</v>
      </c>
      <c r="X221" s="84" t="str">
        <f t="shared" si="91"/>
        <v>aMW_2035</v>
      </c>
      <c r="Y221" s="85" t="s">
        <v>2132</v>
      </c>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c r="BV221" s="59"/>
      <c r="BW221" s="59"/>
      <c r="BX221" s="59"/>
      <c r="BY221" s="59"/>
      <c r="BZ221" s="59"/>
      <c r="CA221" s="59"/>
    </row>
    <row r="222" spans="1:79">
      <c r="D222" s="57" t="s">
        <v>101</v>
      </c>
      <c r="E222" s="65">
        <f t="shared" ref="E222:Y222" si="92">E185</f>
        <v>3.6548770970360765E-2</v>
      </c>
      <c r="F222" s="65">
        <f t="shared" si="92"/>
        <v>4.167532629048281E-2</v>
      </c>
      <c r="G222" s="65">
        <f t="shared" si="92"/>
        <v>4.5478710297604426E-2</v>
      </c>
      <c r="H222" s="65">
        <f t="shared" si="92"/>
        <v>4.7460289502468375E-2</v>
      </c>
      <c r="I222" s="65">
        <f t="shared" si="92"/>
        <v>4.5474505998575179E-2</v>
      </c>
      <c r="J222" s="65">
        <f t="shared" si="92"/>
        <v>3.780936806701387E-2</v>
      </c>
      <c r="K222" s="65">
        <f t="shared" si="92"/>
        <v>2.8292632410444399E-2</v>
      </c>
      <c r="L222" s="65">
        <f t="shared" si="92"/>
        <v>1.9246626134217612E-2</v>
      </c>
      <c r="M222" s="65">
        <f t="shared" si="92"/>
        <v>1.2001825345496517E-2</v>
      </c>
      <c r="N222" s="65">
        <f t="shared" si="92"/>
        <v>6.9084065692730096E-3</v>
      </c>
      <c r="O222" s="65">
        <f t="shared" si="92"/>
        <v>3.6925279481739518E-3</v>
      </c>
      <c r="P222" s="65">
        <f t="shared" si="92"/>
        <v>1.8420714449712138E-3</v>
      </c>
      <c r="Q222" s="65">
        <f t="shared" si="92"/>
        <v>8.6151020452739774E-4</v>
      </c>
      <c r="R222" s="65">
        <f t="shared" si="92"/>
        <v>3.7921494344596014E-4</v>
      </c>
      <c r="S222" s="65">
        <f t="shared" si="92"/>
        <v>1.5764742308260125E-4</v>
      </c>
      <c r="T222" s="65">
        <f t="shared" si="92"/>
        <v>6.2087934673610702E-5</v>
      </c>
      <c r="U222" s="65">
        <f t="shared" si="92"/>
        <v>2.3230104107135513E-5</v>
      </c>
      <c r="V222" s="65">
        <f t="shared" si="92"/>
        <v>8.2776259903534361E-6</v>
      </c>
      <c r="W222" s="65">
        <f t="shared" si="92"/>
        <v>2.8155098897287327E-6</v>
      </c>
      <c r="X222" s="65">
        <f t="shared" si="92"/>
        <v>9.1601621078673705E-7</v>
      </c>
      <c r="Y222" s="65">
        <f t="shared" si="92"/>
        <v>0.32003475497640338</v>
      </c>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c r="BV222" s="59"/>
      <c r="BW222" s="59"/>
      <c r="BX222" s="59"/>
      <c r="BY222" s="59"/>
      <c r="BZ222" s="59"/>
      <c r="CA222" s="59"/>
    </row>
    <row r="223" spans="1:79">
      <c r="D223" s="57" t="s">
        <v>2182</v>
      </c>
      <c r="E223" s="65">
        <f>E186-E185</f>
        <v>9.9419547547861878E-3</v>
      </c>
      <c r="F223" s="65">
        <f t="shared" ref="E223:X235" si="93">F186-F185</f>
        <v>1.1336474452367649E-2</v>
      </c>
      <c r="G223" s="65">
        <f t="shared" si="93"/>
        <v>1.2371066607177593E-2</v>
      </c>
      <c r="H223" s="65">
        <f t="shared" si="93"/>
        <v>1.2910093509443575E-2</v>
      </c>
      <c r="I223" s="65">
        <f t="shared" si="93"/>
        <v>1.2369922958578347E-2</v>
      </c>
      <c r="J223" s="65">
        <f t="shared" si="93"/>
        <v>1.0284860931004898E-2</v>
      </c>
      <c r="K223" s="65">
        <f t="shared" si="93"/>
        <v>7.6961294142159492E-3</v>
      </c>
      <c r="L223" s="65">
        <f t="shared" si="93"/>
        <v>5.2354451635008847E-3</v>
      </c>
      <c r="M223" s="65">
        <f t="shared" si="93"/>
        <v>3.2647227633601228E-3</v>
      </c>
      <c r="N223" s="65">
        <f t="shared" si="93"/>
        <v>1.8792168304394823E-3</v>
      </c>
      <c r="O223" s="65">
        <f t="shared" si="93"/>
        <v>1.0044372168163916E-3</v>
      </c>
      <c r="P223" s="65">
        <f t="shared" si="93"/>
        <v>5.0107816144731631E-4</v>
      </c>
      <c r="Q223" s="65">
        <f t="shared" si="93"/>
        <v>2.3434701760953458E-4</v>
      </c>
      <c r="R223" s="65">
        <f t="shared" si="93"/>
        <v>1.0315361392414349E-4</v>
      </c>
      <c r="S223" s="65">
        <f t="shared" si="93"/>
        <v>4.2883071191829629E-5</v>
      </c>
      <c r="T223" s="65">
        <f t="shared" si="93"/>
        <v>1.6889088769735588E-5</v>
      </c>
      <c r="U223" s="65">
        <f t="shared" si="93"/>
        <v>6.3190262723035245E-6</v>
      </c>
      <c r="V223" s="65">
        <f t="shared" si="93"/>
        <v>2.2516703267498055E-6</v>
      </c>
      <c r="W223" s="65">
        <f t="shared" si="93"/>
        <v>7.6587177057296784E-7</v>
      </c>
      <c r="X223" s="65">
        <f t="shared" si="93"/>
        <v>2.4917367890914153E-7</v>
      </c>
      <c r="Y223" s="65">
        <f t="shared" ref="Y223" si="94">Y186-Y185</f>
        <v>8.7055486941400695E-2</v>
      </c>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row>
    <row r="224" spans="1:79">
      <c r="D224" s="57" t="s">
        <v>107</v>
      </c>
      <c r="E224" s="65">
        <f t="shared" si="93"/>
        <v>0.40935739901597962</v>
      </c>
      <c r="F224" s="65">
        <f t="shared" si="93"/>
        <v>0.46677638455337428</v>
      </c>
      <c r="G224" s="65">
        <f t="shared" si="93"/>
        <v>0.50937544721068995</v>
      </c>
      <c r="H224" s="65">
        <f t="shared" si="93"/>
        <v>0.5315697395962008</v>
      </c>
      <c r="I224" s="65">
        <f t="shared" si="93"/>
        <v>0.50932835777732177</v>
      </c>
      <c r="J224" s="65">
        <f t="shared" si="93"/>
        <v>0.42347647155911639</v>
      </c>
      <c r="K224" s="65">
        <f t="shared" si="93"/>
        <v>0.31688612523378645</v>
      </c>
      <c r="L224" s="65">
        <f t="shared" si="93"/>
        <v>0.21556809175678088</v>
      </c>
      <c r="M224" s="65">
        <f t="shared" si="93"/>
        <v>0.13442410993411361</v>
      </c>
      <c r="N224" s="65">
        <f t="shared" si="93"/>
        <v>7.7376263810235338E-2</v>
      </c>
      <c r="O224" s="65">
        <f t="shared" si="93"/>
        <v>4.1357440935130316E-2</v>
      </c>
      <c r="P224" s="65">
        <f t="shared" si="93"/>
        <v>2.063176286082322E-2</v>
      </c>
      <c r="Q224" s="65">
        <f t="shared" si="93"/>
        <v>9.6491774466795181E-3</v>
      </c>
      <c r="R224" s="65">
        <f t="shared" si="93"/>
        <v>4.2473232011800734E-3</v>
      </c>
      <c r="S224" s="65">
        <f t="shared" si="93"/>
        <v>1.7656992933360008E-3</v>
      </c>
      <c r="T224" s="65">
        <f t="shared" si="93"/>
        <v>6.9540383365762355E-4</v>
      </c>
      <c r="U224" s="65">
        <f t="shared" si="93"/>
        <v>2.6018426184232251E-4</v>
      </c>
      <c r="V224" s="65">
        <f t="shared" si="93"/>
        <v>9.2711939566615428E-5</v>
      </c>
      <c r="W224" s="65">
        <f t="shared" si="93"/>
        <v>3.1534570787558962E-5</v>
      </c>
      <c r="X224" s="65">
        <f t="shared" si="93"/>
        <v>1.0259661366129672E-5</v>
      </c>
      <c r="Y224" s="65">
        <f t="shared" ref="Y224" si="95">Y187-Y186</f>
        <v>3.5844870132048574</v>
      </c>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A224" s="59"/>
    </row>
    <row r="225" spans="4:79">
      <c r="D225" s="57" t="s">
        <v>110</v>
      </c>
      <c r="E225" s="65">
        <f t="shared" si="93"/>
        <v>0.11137278358546832</v>
      </c>
      <c r="F225" s="65">
        <f t="shared" si="93"/>
        <v>0.12699461493705877</v>
      </c>
      <c r="G225" s="65">
        <f t="shared" si="93"/>
        <v>0.13858442911333024</v>
      </c>
      <c r="H225" s="65">
        <f t="shared" si="93"/>
        <v>0.14462277147290636</v>
      </c>
      <c r="I225" s="65">
        <f t="shared" si="93"/>
        <v>0.1385716176158851</v>
      </c>
      <c r="J225" s="65">
        <f t="shared" si="93"/>
        <v>0.11521412226544381</v>
      </c>
      <c r="K225" s="65">
        <f t="shared" si="93"/>
        <v>8.621436898841156E-2</v>
      </c>
      <c r="L225" s="65">
        <f t="shared" si="93"/>
        <v>5.8649039907113371E-2</v>
      </c>
      <c r="M225" s="65">
        <f t="shared" si="93"/>
        <v>3.6572411639191643E-2</v>
      </c>
      <c r="N225" s="65">
        <f t="shared" si="93"/>
        <v>2.1051555205071668E-2</v>
      </c>
      <c r="O225" s="65">
        <f t="shared" si="93"/>
        <v>1.1252009442089629E-2</v>
      </c>
      <c r="P225" s="65">
        <f t="shared" si="93"/>
        <v>5.6132290893207253E-3</v>
      </c>
      <c r="Q225" s="65">
        <f t="shared" si="93"/>
        <v>2.6252261572163975E-3</v>
      </c>
      <c r="R225" s="65">
        <f t="shared" si="93"/>
        <v>1.1555579765741598E-3</v>
      </c>
      <c r="S225" s="65">
        <f t="shared" si="93"/>
        <v>4.8038913122478615E-4</v>
      </c>
      <c r="T225" s="65">
        <f t="shared" si="93"/>
        <v>1.8919667961695297E-4</v>
      </c>
      <c r="U225" s="65">
        <f t="shared" si="93"/>
        <v>7.0787643160148727E-5</v>
      </c>
      <c r="V225" s="65">
        <f t="shared" si="93"/>
        <v>2.5223891899749462E-5</v>
      </c>
      <c r="W225" s="65">
        <f t="shared" si="93"/>
        <v>8.5795271716740986E-6</v>
      </c>
      <c r="X225" s="65">
        <f t="shared" si="93"/>
        <v>2.791318900640037E-6</v>
      </c>
      <c r="Y225" s="65">
        <f t="shared" ref="Y225" si="96">Y188-Y187</f>
        <v>0.97522189007997406</v>
      </c>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c r="BV225" s="59"/>
      <c r="BW225" s="59"/>
      <c r="BX225" s="59"/>
      <c r="BY225" s="59"/>
      <c r="BZ225" s="59"/>
      <c r="CA225" s="59"/>
    </row>
    <row r="226" spans="4:79">
      <c r="D226" s="57" t="s">
        <v>113</v>
      </c>
      <c r="E226" s="65">
        <f t="shared" si="93"/>
        <v>0.28578314406289729</v>
      </c>
      <c r="F226" s="65">
        <f t="shared" si="93"/>
        <v>0.3258688448593744</v>
      </c>
      <c r="G226" s="65">
        <f t="shared" si="93"/>
        <v>0.35560836853625022</v>
      </c>
      <c r="H226" s="65">
        <f t="shared" si="93"/>
        <v>0.37110278655197271</v>
      </c>
      <c r="I226" s="65">
        <f t="shared" si="93"/>
        <v>0.35557549416692802</v>
      </c>
      <c r="J226" s="65">
        <f t="shared" si="93"/>
        <v>0.29564003916807691</v>
      </c>
      <c r="K226" s="65">
        <f t="shared" si="93"/>
        <v>0.22122652087616329</v>
      </c>
      <c r="L226" s="65">
        <f t="shared" si="93"/>
        <v>0.15049374255841202</v>
      </c>
      <c r="M226" s="65">
        <f t="shared" si="93"/>
        <v>9.38449991796238E-2</v>
      </c>
      <c r="N226" s="65">
        <f t="shared" si="93"/>
        <v>5.4018400548480242E-2</v>
      </c>
      <c r="O226" s="65">
        <f t="shared" si="93"/>
        <v>2.8872714965573962E-2</v>
      </c>
      <c r="P226" s="65">
        <f t="shared" si="93"/>
        <v>1.4403575145092253E-2</v>
      </c>
      <c r="Q226" s="65">
        <f t="shared" si="93"/>
        <v>6.7363440234904093E-3</v>
      </c>
      <c r="R226" s="65">
        <f t="shared" si="93"/>
        <v>2.965167800074742E-3</v>
      </c>
      <c r="S226" s="65">
        <f t="shared" si="93"/>
        <v>1.2326810184259077E-3</v>
      </c>
      <c r="T226" s="65">
        <f t="shared" si="93"/>
        <v>4.8547966753206254E-4</v>
      </c>
      <c r="U226" s="65">
        <f t="shared" si="93"/>
        <v>1.8164146187102506E-4</v>
      </c>
      <c r="V226" s="65">
        <f t="shared" si="93"/>
        <v>6.4724638287244943E-5</v>
      </c>
      <c r="W226" s="65">
        <f t="shared" si="93"/>
        <v>2.2015111508930607E-5</v>
      </c>
      <c r="X226" s="65">
        <f t="shared" si="93"/>
        <v>7.1625388701444329E-6</v>
      </c>
      <c r="Y226" s="65">
        <f t="shared" ref="Y226" si="97">Y189-Y188</f>
        <v>2.5024244607493236</v>
      </c>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A226" s="59"/>
    </row>
    <row r="227" spans="4:79">
      <c r="D227" s="57" t="s">
        <v>116</v>
      </c>
      <c r="E227" s="65">
        <f t="shared" si="93"/>
        <v>0.2682403279311294</v>
      </c>
      <c r="F227" s="65">
        <f t="shared" si="93"/>
        <v>0.30586536548278298</v>
      </c>
      <c r="G227" s="65">
        <f t="shared" si="93"/>
        <v>0.33377932664294518</v>
      </c>
      <c r="H227" s="65">
        <f t="shared" si="93"/>
        <v>0.34832261884188864</v>
      </c>
      <c r="I227" s="65">
        <f t="shared" si="93"/>
        <v>0.33374847026883514</v>
      </c>
      <c r="J227" s="65">
        <f t="shared" si="93"/>
        <v>0.27749215691518692</v>
      </c>
      <c r="K227" s="65">
        <f t="shared" si="93"/>
        <v>0.20764651708718151</v>
      </c>
      <c r="L227" s="65">
        <f t="shared" si="93"/>
        <v>0.14125567478033896</v>
      </c>
      <c r="M227" s="65">
        <f t="shared" si="93"/>
        <v>8.8084318048857968E-2</v>
      </c>
      <c r="N227" s="65">
        <f t="shared" si="93"/>
        <v>5.0702477659950396E-2</v>
      </c>
      <c r="O227" s="65">
        <f t="shared" si="93"/>
        <v>2.7100361555694313E-2</v>
      </c>
      <c r="P227" s="65">
        <f t="shared" si="93"/>
        <v>1.3519410785997499E-2</v>
      </c>
      <c r="Q227" s="65">
        <f t="shared" si="93"/>
        <v>6.3228331252464659E-3</v>
      </c>
      <c r="R227" s="65">
        <f t="shared" si="93"/>
        <v>2.7831507896344705E-3</v>
      </c>
      <c r="S227" s="65">
        <f t="shared" si="93"/>
        <v>1.1570128171879547E-3</v>
      </c>
      <c r="T227" s="65">
        <f t="shared" si="93"/>
        <v>4.5567846784565842E-4</v>
      </c>
      <c r="U227" s="65">
        <f t="shared" si="93"/>
        <v>1.704913893992644E-4</v>
      </c>
      <c r="V227" s="65">
        <f t="shared" si="93"/>
        <v>6.0751512327029381E-5</v>
      </c>
      <c r="W227" s="65">
        <f t="shared" si="93"/>
        <v>2.0663712515165834E-5</v>
      </c>
      <c r="X227" s="65">
        <f t="shared" si="93"/>
        <v>6.722865974643181E-6</v>
      </c>
      <c r="Y227" s="65">
        <f t="shared" ref="Y227" si="98">Y190-Y189</f>
        <v>2.3488129790696961</v>
      </c>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A227" s="59"/>
    </row>
    <row r="228" spans="4:79">
      <c r="D228" s="57" t="s">
        <v>119</v>
      </c>
      <c r="E228" s="65">
        <f t="shared" si="93"/>
        <v>4.5839192204112607</v>
      </c>
      <c r="F228" s="65">
        <f t="shared" si="93"/>
        <v>5.2268879124492544</v>
      </c>
      <c r="G228" s="65">
        <f t="shared" si="93"/>
        <v>5.7039054588665614</v>
      </c>
      <c r="H228" s="65">
        <f t="shared" si="93"/>
        <v>5.9524336244595784</v>
      </c>
      <c r="I228" s="65">
        <f t="shared" si="93"/>
        <v>5.703378158861204</v>
      </c>
      <c r="J228" s="65">
        <f t="shared" si="93"/>
        <v>4.7420223551303167</v>
      </c>
      <c r="K228" s="65">
        <f t="shared" si="93"/>
        <v>3.5484405647303365</v>
      </c>
      <c r="L228" s="65">
        <f t="shared" si="93"/>
        <v>2.4138972972923178</v>
      </c>
      <c r="M228" s="65">
        <f t="shared" si="93"/>
        <v>1.5052598601976319</v>
      </c>
      <c r="N228" s="65">
        <f t="shared" si="93"/>
        <v>0.86644712844070204</v>
      </c>
      <c r="O228" s="65">
        <f t="shared" si="93"/>
        <v>0.46311406332285943</v>
      </c>
      <c r="P228" s="65">
        <f t="shared" si="93"/>
        <v>0.23103120782972095</v>
      </c>
      <c r="Q228" s="65">
        <f t="shared" si="93"/>
        <v>0.10804995846005587</v>
      </c>
      <c r="R228" s="65">
        <f t="shared" si="93"/>
        <v>4.7560851480854816E-2</v>
      </c>
      <c r="S228" s="65">
        <f t="shared" si="93"/>
        <v>1.977202060508873E-2</v>
      </c>
      <c r="T228" s="65">
        <f t="shared" si="93"/>
        <v>7.7870218217954354E-3</v>
      </c>
      <c r="U228" s="65">
        <f t="shared" si="93"/>
        <v>2.9135020927299319E-3</v>
      </c>
      <c r="V228" s="65">
        <f t="shared" si="93"/>
        <v>1.0381735929595988E-3</v>
      </c>
      <c r="W228" s="65">
        <f t="shared" si="93"/>
        <v>3.5311912154998892E-4</v>
      </c>
      <c r="X228" s="65">
        <f t="shared" si="93"/>
        <v>1.148860605528638E-4</v>
      </c>
      <c r="Y228" s="65">
        <f t="shared" ref="Y228" si="99">Y191-Y190</f>
        <v>40.138516989411741</v>
      </c>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c r="BV228" s="59"/>
      <c r="BW228" s="59"/>
      <c r="BX228" s="59"/>
      <c r="BY228" s="59"/>
      <c r="BZ228" s="59"/>
      <c r="CA228" s="59"/>
    </row>
    <row r="229" spans="4:79">
      <c r="D229" s="57" t="s">
        <v>122</v>
      </c>
      <c r="E229" s="65">
        <f t="shared" si="93"/>
        <v>0.32759756833313336</v>
      </c>
      <c r="F229" s="65">
        <f t="shared" si="93"/>
        <v>0.37354841735509403</v>
      </c>
      <c r="G229" s="65">
        <f t="shared" si="93"/>
        <v>0.40763928605162647</v>
      </c>
      <c r="H229" s="65">
        <f t="shared" si="93"/>
        <v>0.42540077328465387</v>
      </c>
      <c r="I229" s="65">
        <f t="shared" si="93"/>
        <v>0.40760160166164638</v>
      </c>
      <c r="J229" s="65">
        <f t="shared" si="93"/>
        <v>0.33889667723740402</v>
      </c>
      <c r="K229" s="65">
        <f t="shared" si="93"/>
        <v>0.25359532847003585</v>
      </c>
      <c r="L229" s="65">
        <f t="shared" si="93"/>
        <v>0.17251326796459932</v>
      </c>
      <c r="M229" s="65">
        <f t="shared" si="93"/>
        <v>0.10757595110194251</v>
      </c>
      <c r="N229" s="65">
        <f t="shared" si="93"/>
        <v>6.1922114836249875E-2</v>
      </c>
      <c r="O229" s="65">
        <f t="shared" si="93"/>
        <v>3.3097232675892041E-2</v>
      </c>
      <c r="P229" s="65">
        <f t="shared" si="93"/>
        <v>1.6511037445222088E-2</v>
      </c>
      <c r="Q229" s="65">
        <f t="shared" si="93"/>
        <v>7.7219736971792519E-3</v>
      </c>
      <c r="R229" s="65">
        <f t="shared" si="93"/>
        <v>3.3990169860766972E-3</v>
      </c>
      <c r="S229" s="65">
        <f t="shared" si="93"/>
        <v>1.4130410157355555E-3</v>
      </c>
      <c r="T229" s="65">
        <f t="shared" si="93"/>
        <v>5.5651273303816175E-4</v>
      </c>
      <c r="U229" s="65">
        <f t="shared" si="93"/>
        <v>2.0821837275443716E-4</v>
      </c>
      <c r="V229" s="65">
        <f t="shared" si="93"/>
        <v>7.41948381303985E-5</v>
      </c>
      <c r="W229" s="65">
        <f t="shared" si="93"/>
        <v>2.5236257444634824E-5</v>
      </c>
      <c r="X229" s="65">
        <f t="shared" si="93"/>
        <v>8.2105273375900761E-6</v>
      </c>
      <c r="Y229" s="65">
        <f t="shared" ref="Y229" si="100">Y192-Y191</f>
        <v>2.8685672521623715</v>
      </c>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row>
    <row r="230" spans="4:79">
      <c r="D230" s="57" t="s">
        <v>125</v>
      </c>
      <c r="E230" s="65">
        <f t="shared" si="93"/>
        <v>8.438594278752376E-4</v>
      </c>
      <c r="F230" s="65">
        <f t="shared" si="93"/>
        <v>9.6222433932258156E-4</v>
      </c>
      <c r="G230" s="65">
        <f t="shared" si="93"/>
        <v>1.0500390966186046E-3</v>
      </c>
      <c r="H230" s="65">
        <f t="shared" si="93"/>
        <v>1.0957909577538061E-3</v>
      </c>
      <c r="I230" s="65">
        <f t="shared" si="93"/>
        <v>1.0499420253005098E-3</v>
      </c>
      <c r="J230" s="65">
        <f t="shared" si="93"/>
        <v>8.7296483187415674E-4</v>
      </c>
      <c r="K230" s="65">
        <f t="shared" si="93"/>
        <v>6.5323686584051188E-4</v>
      </c>
      <c r="L230" s="65">
        <f t="shared" si="93"/>
        <v>4.4437737540725664E-4</v>
      </c>
      <c r="M230" s="65">
        <f t="shared" si="93"/>
        <v>2.7710517209245111E-4</v>
      </c>
      <c r="N230" s="65">
        <f t="shared" si="93"/>
        <v>1.5950533657616006E-4</v>
      </c>
      <c r="O230" s="65">
        <f t="shared" si="93"/>
        <v>8.5255247687654467E-5</v>
      </c>
      <c r="P230" s="65">
        <f t="shared" si="93"/>
        <v>4.2530824276409973E-5</v>
      </c>
      <c r="Q230" s="65">
        <f t="shared" si="93"/>
        <v>1.9891052120246666E-5</v>
      </c>
      <c r="R230" s="65">
        <f t="shared" si="93"/>
        <v>8.7555366903441234E-6</v>
      </c>
      <c r="S230" s="65">
        <f t="shared" si="93"/>
        <v>3.6398560257049073E-6</v>
      </c>
      <c r="T230" s="65">
        <f t="shared" si="93"/>
        <v>1.433522595715303E-6</v>
      </c>
      <c r="U230" s="65">
        <f t="shared" si="93"/>
        <v>5.363502476526949E-7</v>
      </c>
      <c r="V230" s="65">
        <f t="shared" si="93"/>
        <v>1.9111867641339458E-7</v>
      </c>
      <c r="W230" s="65">
        <f t="shared" si="93"/>
        <v>6.5006141154581344E-8</v>
      </c>
      <c r="X230" s="65">
        <f t="shared" si="93"/>
        <v>2.1149518712574884E-8</v>
      </c>
      <c r="Y230" s="65">
        <f t="shared" ref="Y230" si="101">Y193-Y192</f>
        <v>7.3891498418277024E-3</v>
      </c>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c r="CA230" s="59"/>
    </row>
    <row r="231" spans="4:79">
      <c r="D231" s="57" t="s">
        <v>128</v>
      </c>
      <c r="E231" s="65">
        <f t="shared" si="93"/>
        <v>4.746013847222752E-2</v>
      </c>
      <c r="F231" s="65">
        <f t="shared" si="93"/>
        <v>5.411718928183884E-2</v>
      </c>
      <c r="G231" s="65">
        <f t="shared" si="93"/>
        <v>5.9056045687910341E-2</v>
      </c>
      <c r="H231" s="65">
        <f t="shared" si="93"/>
        <v>6.1629210830258074E-2</v>
      </c>
      <c r="I231" s="65">
        <f t="shared" si="93"/>
        <v>5.9050586226243595E-2</v>
      </c>
      <c r="J231" s="65">
        <f t="shared" si="93"/>
        <v>4.9097077586086613E-2</v>
      </c>
      <c r="K231" s="65">
        <f t="shared" si="93"/>
        <v>3.6739190300884239E-2</v>
      </c>
      <c r="L231" s="65">
        <f t="shared" si="93"/>
        <v>2.499256519990567E-2</v>
      </c>
      <c r="M231" s="65">
        <f t="shared" si="93"/>
        <v>1.5584882273570688E-2</v>
      </c>
      <c r="N231" s="65">
        <f t="shared" si="93"/>
        <v>8.9708606799949742E-3</v>
      </c>
      <c r="O231" s="65">
        <f t="shared" si="93"/>
        <v>4.7949050838133056E-3</v>
      </c>
      <c r="P231" s="65">
        <f t="shared" si="93"/>
        <v>2.3920083639739076E-3</v>
      </c>
      <c r="Q231" s="65">
        <f t="shared" si="93"/>
        <v>1.1187077572393789E-3</v>
      </c>
      <c r="R231" s="65">
        <f t="shared" si="93"/>
        <v>4.924267834143653E-4</v>
      </c>
      <c r="S231" s="65">
        <f t="shared" si="93"/>
        <v>2.047119049600199E-4</v>
      </c>
      <c r="T231" s="65">
        <f t="shared" si="93"/>
        <v>8.0623832179030699E-5</v>
      </c>
      <c r="U231" s="65">
        <f t="shared" si="93"/>
        <v>3.0165281304342199E-5</v>
      </c>
      <c r="V231" s="65">
        <f t="shared" si="93"/>
        <v>1.0748850516534899E-5</v>
      </c>
      <c r="W231" s="65">
        <f t="shared" si="93"/>
        <v>3.6560597166130498E-6</v>
      </c>
      <c r="X231" s="65">
        <f t="shared" si="93"/>
        <v>1.1894861318866089E-6</v>
      </c>
      <c r="Y231" s="65">
        <f t="shared" ref="Y231" si="102">Y194-Y193</f>
        <v>0.41557878374140955</v>
      </c>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A231" s="59"/>
    </row>
    <row r="232" spans="4:79">
      <c r="D232" s="57" t="s">
        <v>131</v>
      </c>
      <c r="E232" s="65">
        <f t="shared" si="93"/>
        <v>2.6773762250496231</v>
      </c>
      <c r="F232" s="65">
        <f t="shared" si="93"/>
        <v>3.0529214750288158</v>
      </c>
      <c r="G232" s="65">
        <f t="shared" si="93"/>
        <v>3.3315379550100275</v>
      </c>
      <c r="H232" s="65">
        <f t="shared" si="93"/>
        <v>3.4766983232056612</v>
      </c>
      <c r="I232" s="65">
        <f t="shared" si="93"/>
        <v>3.3312299695438963</v>
      </c>
      <c r="J232" s="65">
        <f t="shared" si="93"/>
        <v>2.7697211276643419</v>
      </c>
      <c r="K232" s="65">
        <f t="shared" si="93"/>
        <v>2.0725736966975363</v>
      </c>
      <c r="L232" s="65">
        <f t="shared" si="93"/>
        <v>1.4099094950678799</v>
      </c>
      <c r="M232" s="65">
        <f t="shared" si="93"/>
        <v>0.87919240467180004</v>
      </c>
      <c r="N232" s="65">
        <f t="shared" si="93"/>
        <v>0.506074568596242</v>
      </c>
      <c r="O232" s="65">
        <f t="shared" si="93"/>
        <v>0.27049573149229822</v>
      </c>
      <c r="P232" s="65">
        <f t="shared" si="93"/>
        <v>0.13494074248374244</v>
      </c>
      <c r="Q232" s="65">
        <f t="shared" si="93"/>
        <v>6.3109835926078606E-2</v>
      </c>
      <c r="R232" s="65">
        <f t="shared" si="93"/>
        <v>2.7779349258805708E-2</v>
      </c>
      <c r="S232" s="65">
        <f t="shared" si="93"/>
        <v>1.1548444757389593E-2</v>
      </c>
      <c r="T232" s="65">
        <f t="shared" si="93"/>
        <v>4.5482448723752154E-3</v>
      </c>
      <c r="U232" s="65">
        <f t="shared" si="93"/>
        <v>1.7017187388410375E-3</v>
      </c>
      <c r="V232" s="65">
        <f t="shared" si="93"/>
        <v>6.0637658772158629E-4</v>
      </c>
      <c r="W232" s="65">
        <f t="shared" si="93"/>
        <v>2.0624986942146108E-4</v>
      </c>
      <c r="X232" s="65">
        <f t="shared" si="93"/>
        <v>6.7102667460674007E-5</v>
      </c>
      <c r="Y232" s="65">
        <f t="shared" ref="Y232" si="103">Y195-Y194</f>
        <v>23.444111016982475</v>
      </c>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c r="BV232" s="59"/>
      <c r="BW232" s="59"/>
      <c r="BX232" s="59"/>
      <c r="BY232" s="59"/>
      <c r="BZ232" s="59"/>
      <c r="CA232" s="59"/>
    </row>
    <row r="233" spans="4:79">
      <c r="D233" s="57" t="s">
        <v>134</v>
      </c>
      <c r="E233" s="65">
        <f t="shared" si="93"/>
        <v>9.2842421187167083</v>
      </c>
      <c r="F233" s="65">
        <f t="shared" si="93"/>
        <v>10.586506998310238</v>
      </c>
      <c r="G233" s="65">
        <f t="shared" si="93"/>
        <v>11.552655436549319</v>
      </c>
      <c r="H233" s="65">
        <f t="shared" si="93"/>
        <v>12.056022872086086</v>
      </c>
      <c r="I233" s="65">
        <f t="shared" si="93"/>
        <v>11.551587446324463</v>
      </c>
      <c r="J233" s="65">
        <f t="shared" si="93"/>
        <v>9.6044632465070201</v>
      </c>
      <c r="K233" s="65">
        <f t="shared" si="93"/>
        <v>7.1869899452278201</v>
      </c>
      <c r="L233" s="65">
        <f t="shared" si="93"/>
        <v>4.8890929094005884</v>
      </c>
      <c r="M233" s="65">
        <f t="shared" si="93"/>
        <v>3.0487441688395753</v>
      </c>
      <c r="N233" s="65">
        <f t="shared" si="93"/>
        <v>1.7548967459310045</v>
      </c>
      <c r="O233" s="65">
        <f t="shared" si="93"/>
        <v>0.93798840811299633</v>
      </c>
      <c r="P233" s="65">
        <f t="shared" si="93"/>
        <v>0.46792920366477309</v>
      </c>
      <c r="Q233" s="65">
        <f t="shared" si="93"/>
        <v>0.21884372891947235</v>
      </c>
      <c r="R233" s="65">
        <f t="shared" si="93"/>
        <v>9.6329459418564009E-2</v>
      </c>
      <c r="S233" s="65">
        <f t="shared" si="93"/>
        <v>4.0046130319336209E-2</v>
      </c>
      <c r="T233" s="65">
        <f t="shared" si="93"/>
        <v>1.5771786652643713E-2</v>
      </c>
      <c r="U233" s="65">
        <f t="shared" si="93"/>
        <v>5.9009894244745559E-3</v>
      </c>
      <c r="V233" s="65">
        <f t="shared" si="93"/>
        <v>2.1027104830678499E-3</v>
      </c>
      <c r="W233" s="65">
        <f t="shared" si="93"/>
        <v>7.1520532181727975E-4</v>
      </c>
      <c r="X233" s="65">
        <f t="shared" si="93"/>
        <v>2.3268952853463246E-4</v>
      </c>
      <c r="Y233" s="65">
        <f t="shared" ref="Y233" si="104">Y196-Y195</f>
        <v>81.296308267510994</v>
      </c>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c r="BV233" s="59"/>
      <c r="BW233" s="59"/>
      <c r="BX233" s="59"/>
      <c r="BY233" s="59"/>
      <c r="BZ233" s="59"/>
      <c r="CA233" s="59"/>
    </row>
    <row r="234" spans="4:79">
      <c r="D234" s="57" t="s">
        <v>137</v>
      </c>
      <c r="E234" s="65">
        <f t="shared" si="93"/>
        <v>0</v>
      </c>
      <c r="F234" s="65">
        <f t="shared" si="93"/>
        <v>0</v>
      </c>
      <c r="G234" s="65">
        <f t="shared" si="93"/>
        <v>0</v>
      </c>
      <c r="H234" s="65">
        <f t="shared" si="93"/>
        <v>0</v>
      </c>
      <c r="I234" s="65">
        <f t="shared" si="93"/>
        <v>0</v>
      </c>
      <c r="J234" s="65">
        <f t="shared" si="93"/>
        <v>0</v>
      </c>
      <c r="K234" s="65">
        <f t="shared" si="93"/>
        <v>0</v>
      </c>
      <c r="L234" s="65">
        <f t="shared" si="93"/>
        <v>0</v>
      </c>
      <c r="M234" s="65">
        <f t="shared" si="93"/>
        <v>0</v>
      </c>
      <c r="N234" s="65">
        <f t="shared" si="93"/>
        <v>0</v>
      </c>
      <c r="O234" s="65">
        <f t="shared" si="93"/>
        <v>0</v>
      </c>
      <c r="P234" s="65">
        <f t="shared" si="93"/>
        <v>0</v>
      </c>
      <c r="Q234" s="65">
        <f t="shared" si="93"/>
        <v>0</v>
      </c>
      <c r="R234" s="65">
        <f t="shared" si="93"/>
        <v>0</v>
      </c>
      <c r="S234" s="65">
        <f t="shared" si="93"/>
        <v>0</v>
      </c>
      <c r="T234" s="65">
        <f t="shared" si="93"/>
        <v>0</v>
      </c>
      <c r="U234" s="65">
        <f t="shared" si="93"/>
        <v>0</v>
      </c>
      <c r="V234" s="65">
        <f t="shared" si="93"/>
        <v>0</v>
      </c>
      <c r="W234" s="65">
        <f t="shared" si="93"/>
        <v>0</v>
      </c>
      <c r="X234" s="65">
        <f t="shared" si="93"/>
        <v>0</v>
      </c>
      <c r="Y234" s="65">
        <f t="shared" ref="Y234" si="105">Y197-Y196</f>
        <v>0</v>
      </c>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c r="CA234" s="59"/>
    </row>
    <row r="235" spans="4:79">
      <c r="D235" s="57" t="s">
        <v>140</v>
      </c>
      <c r="E235" s="65">
        <f t="shared" si="93"/>
        <v>1.4219572521518842E-3</v>
      </c>
      <c r="F235" s="65">
        <f t="shared" si="93"/>
        <v>1.6214097186058041E-3</v>
      </c>
      <c r="G235" s="65">
        <f t="shared" si="93"/>
        <v>1.7693832161569389E-3</v>
      </c>
      <c r="H235" s="65">
        <f t="shared" ref="H235:X235" si="106">H198-H197</f>
        <v>1.8464780362066335E-3</v>
      </c>
      <c r="I235" s="65">
        <f t="shared" si="106"/>
        <v>1.769219644764064E-3</v>
      </c>
      <c r="J235" s="65">
        <f t="shared" si="106"/>
        <v>1.4710017244041751E-3</v>
      </c>
      <c r="K235" s="65">
        <f t="shared" si="106"/>
        <v>1.100746010614273E-3</v>
      </c>
      <c r="L235" s="65">
        <f t="shared" si="106"/>
        <v>7.4880437520619125E-4</v>
      </c>
      <c r="M235" s="65">
        <f t="shared" si="106"/>
        <v>4.6693998555724647E-4</v>
      </c>
      <c r="N235" s="65">
        <f t="shared" si="106"/>
        <v>2.687767211098091E-4</v>
      </c>
      <c r="O235" s="65">
        <f t="shared" si="106"/>
        <v>1.4366055972003799E-4</v>
      </c>
      <c r="P235" s="65">
        <f t="shared" si="106"/>
        <v>7.1667166381184089E-5</v>
      </c>
      <c r="Q235" s="65">
        <f t="shared" si="106"/>
        <v>3.3517698423413123E-5</v>
      </c>
      <c r="R235" s="65">
        <f t="shared" si="106"/>
        <v>1.4753640810383217E-5</v>
      </c>
      <c r="S235" s="65">
        <f t="shared" si="106"/>
        <v>6.1333908250027491E-6</v>
      </c>
      <c r="T235" s="65">
        <f t="shared" si="106"/>
        <v>2.4155775046955097E-6</v>
      </c>
      <c r="U235" s="65">
        <f t="shared" si="106"/>
        <v>9.0378456310373501E-7</v>
      </c>
      <c r="V235" s="65">
        <f t="shared" si="106"/>
        <v>3.2204722607773184E-7</v>
      </c>
      <c r="W235" s="65">
        <f t="shared" si="106"/>
        <v>1.0953951664911116E-7</v>
      </c>
      <c r="X235" s="65">
        <f t="shared" si="106"/>
        <v>3.5638295336191429E-8</v>
      </c>
      <c r="Y235" s="65">
        <f t="shared" ref="Y235" si="107">Y198-Y197</f>
        <v>1.2451191345064672E-2</v>
      </c>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c r="CA235" s="59"/>
    </row>
    <row r="236" spans="4:79">
      <c r="D236" s="57" t="s">
        <v>143</v>
      </c>
      <c r="E236" s="65">
        <f t="shared" ref="E236:Y236" si="108">E199-E198</f>
        <v>0</v>
      </c>
      <c r="F236" s="65">
        <f t="shared" si="108"/>
        <v>0</v>
      </c>
      <c r="G236" s="65">
        <f t="shared" si="108"/>
        <v>0</v>
      </c>
      <c r="H236" s="65">
        <f t="shared" si="108"/>
        <v>0</v>
      </c>
      <c r="I236" s="65">
        <f t="shared" si="108"/>
        <v>0</v>
      </c>
      <c r="J236" s="65">
        <f t="shared" si="108"/>
        <v>0</v>
      </c>
      <c r="K236" s="65">
        <f t="shared" si="108"/>
        <v>0</v>
      </c>
      <c r="L236" s="65">
        <f t="shared" si="108"/>
        <v>0</v>
      </c>
      <c r="M236" s="65">
        <f t="shared" si="108"/>
        <v>0</v>
      </c>
      <c r="N236" s="65">
        <f t="shared" si="108"/>
        <v>0</v>
      </c>
      <c r="O236" s="65">
        <f t="shared" si="108"/>
        <v>0</v>
      </c>
      <c r="P236" s="65">
        <f t="shared" si="108"/>
        <v>0</v>
      </c>
      <c r="Q236" s="65">
        <f t="shared" si="108"/>
        <v>0</v>
      </c>
      <c r="R236" s="65">
        <f t="shared" si="108"/>
        <v>0</v>
      </c>
      <c r="S236" s="65">
        <f t="shared" si="108"/>
        <v>0</v>
      </c>
      <c r="T236" s="65">
        <f t="shared" si="108"/>
        <v>0</v>
      </c>
      <c r="U236" s="65">
        <f t="shared" si="108"/>
        <v>0</v>
      </c>
      <c r="V236" s="65">
        <f t="shared" si="108"/>
        <v>0</v>
      </c>
      <c r="W236" s="65">
        <f t="shared" si="108"/>
        <v>0</v>
      </c>
      <c r="X236" s="65">
        <f t="shared" si="108"/>
        <v>0</v>
      </c>
      <c r="Y236" s="65">
        <f t="shared" si="108"/>
        <v>0</v>
      </c>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c r="BV236" s="59"/>
      <c r="BW236" s="59"/>
      <c r="BX236" s="59"/>
      <c r="BY236" s="59"/>
      <c r="BZ236" s="59"/>
      <c r="CA236" s="59"/>
    </row>
    <row r="237" spans="4:79">
      <c r="D237" s="57" t="s">
        <v>146</v>
      </c>
      <c r="E237" s="65">
        <f t="shared" ref="E237:Y237" si="109">E200-E199</f>
        <v>0</v>
      </c>
      <c r="F237" s="65">
        <f t="shared" si="109"/>
        <v>0</v>
      </c>
      <c r="G237" s="65">
        <f t="shared" si="109"/>
        <v>0</v>
      </c>
      <c r="H237" s="65">
        <f t="shared" si="109"/>
        <v>0</v>
      </c>
      <c r="I237" s="65">
        <f t="shared" si="109"/>
        <v>0</v>
      </c>
      <c r="J237" s="65">
        <f t="shared" si="109"/>
        <v>0</v>
      </c>
      <c r="K237" s="65">
        <f t="shared" si="109"/>
        <v>0</v>
      </c>
      <c r="L237" s="65">
        <f t="shared" si="109"/>
        <v>0</v>
      </c>
      <c r="M237" s="65">
        <f t="shared" si="109"/>
        <v>0</v>
      </c>
      <c r="N237" s="65">
        <f t="shared" si="109"/>
        <v>0</v>
      </c>
      <c r="O237" s="65">
        <f t="shared" si="109"/>
        <v>0</v>
      </c>
      <c r="P237" s="65">
        <f t="shared" si="109"/>
        <v>0</v>
      </c>
      <c r="Q237" s="65">
        <f t="shared" si="109"/>
        <v>0</v>
      </c>
      <c r="R237" s="65">
        <f t="shared" si="109"/>
        <v>0</v>
      </c>
      <c r="S237" s="65">
        <f t="shared" si="109"/>
        <v>0</v>
      </c>
      <c r="T237" s="65">
        <f t="shared" si="109"/>
        <v>0</v>
      </c>
      <c r="U237" s="65">
        <f t="shared" si="109"/>
        <v>0</v>
      </c>
      <c r="V237" s="65">
        <f t="shared" si="109"/>
        <v>0</v>
      </c>
      <c r="W237" s="65">
        <f t="shared" si="109"/>
        <v>0</v>
      </c>
      <c r="X237" s="65">
        <f t="shared" si="109"/>
        <v>0</v>
      </c>
      <c r="Y237" s="65">
        <f t="shared" si="109"/>
        <v>0</v>
      </c>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A237" s="59"/>
    </row>
    <row r="238" spans="4:79">
      <c r="D238" s="57" t="s">
        <v>149</v>
      </c>
      <c r="E238" s="65">
        <f t="shared" ref="E238:Y238" si="110">E201-E200</f>
        <v>1.4156642689293619E-2</v>
      </c>
      <c r="F238" s="65">
        <f t="shared" si="110"/>
        <v>1.6142340428700663E-2</v>
      </c>
      <c r="G238" s="65">
        <f t="shared" si="110"/>
        <v>1.7615526721137087E-2</v>
      </c>
      <c r="H238" s="65">
        <f t="shared" si="110"/>
        <v>1.8383063029993707E-2</v>
      </c>
      <c r="I238" s="65">
        <f t="shared" si="110"/>
        <v>1.7613898246157333E-2</v>
      </c>
      <c r="J238" s="65">
        <f t="shared" si="110"/>
        <v>1.4644916910249606E-2</v>
      </c>
      <c r="K238" s="65">
        <f t="shared" si="110"/>
        <v>1.095874572907185E-2</v>
      </c>
      <c r="L238" s="65">
        <f t="shared" si="110"/>
        <v>7.4549048277852137E-3</v>
      </c>
      <c r="M238" s="65">
        <f t="shared" si="110"/>
        <v>4.6487350607034017E-3</v>
      </c>
      <c r="N238" s="65">
        <f t="shared" si="110"/>
        <v>2.6758722867281648E-3</v>
      </c>
      <c r="O238" s="65">
        <f t="shared" si="110"/>
        <v>1.4302477865788532E-3</v>
      </c>
      <c r="P238" s="65">
        <f t="shared" si="110"/>
        <v>7.1349997721559255E-4</v>
      </c>
      <c r="Q238" s="65">
        <f t="shared" si="110"/>
        <v>3.3369363223090254E-4</v>
      </c>
      <c r="R238" s="65">
        <f t="shared" si="110"/>
        <v>1.4688347417096681E-4</v>
      </c>
      <c r="S238" s="65">
        <f t="shared" si="110"/>
        <v>6.1062470234046762E-5</v>
      </c>
      <c r="T238" s="65">
        <f t="shared" si="110"/>
        <v>2.4048871772004016E-5</v>
      </c>
      <c r="U238" s="65">
        <f t="shared" si="110"/>
        <v>8.9978479371165265E-6</v>
      </c>
      <c r="V238" s="65">
        <f t="shared" si="110"/>
        <v>3.206219808487773E-6</v>
      </c>
      <c r="W238" s="65">
        <f t="shared" si="110"/>
        <v>1.0905474093611447E-6</v>
      </c>
      <c r="X238" s="65">
        <f t="shared" si="110"/>
        <v>3.5480575268114671E-7</v>
      </c>
      <c r="Y238" s="65">
        <f t="shared" si="110"/>
        <v>0.12396087622295227</v>
      </c>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c r="BV238" s="59"/>
      <c r="BW238" s="59"/>
      <c r="BX238" s="59"/>
      <c r="BY238" s="59"/>
      <c r="BZ238" s="59"/>
      <c r="CA238" s="59"/>
    </row>
    <row r="239" spans="4:79">
      <c r="D239" s="57" t="s">
        <v>152</v>
      </c>
      <c r="E239" s="65">
        <f t="shared" ref="E239:Y239" si="111">E202-E201</f>
        <v>4.0568647372296596E-4</v>
      </c>
      <c r="F239" s="65">
        <f t="shared" si="111"/>
        <v>4.6259055271136162E-4</v>
      </c>
      <c r="G239" s="65">
        <f t="shared" si="111"/>
        <v>5.0480760694426863E-4</v>
      </c>
      <c r="H239" s="65">
        <f t="shared" si="111"/>
        <v>5.2680287131323666E-4</v>
      </c>
      <c r="I239" s="65">
        <f t="shared" si="111"/>
        <v>5.0476093977991354E-4</v>
      </c>
      <c r="J239" s="65">
        <f t="shared" si="111"/>
        <v>4.1967893304217796E-4</v>
      </c>
      <c r="K239" s="65">
        <f t="shared" si="111"/>
        <v>3.1404443898352952E-4</v>
      </c>
      <c r="L239" s="65">
        <f t="shared" si="111"/>
        <v>2.136349781434177E-4</v>
      </c>
      <c r="M239" s="65">
        <f t="shared" si="111"/>
        <v>1.3321865752047302E-4</v>
      </c>
      <c r="N239" s="65">
        <f t="shared" si="111"/>
        <v>7.6682389742011026E-5</v>
      </c>
      <c r="O239" s="65">
        <f t="shared" si="111"/>
        <v>4.0986566788525636E-5</v>
      </c>
      <c r="P239" s="65">
        <f t="shared" si="111"/>
        <v>2.044674688139736E-5</v>
      </c>
      <c r="Q239" s="65">
        <f t="shared" si="111"/>
        <v>9.5626481458332968E-6</v>
      </c>
      <c r="R239" s="65">
        <f t="shared" si="111"/>
        <v>4.2092351973666009E-6</v>
      </c>
      <c r="S239" s="65">
        <f t="shared" si="111"/>
        <v>1.7498653296366129E-6</v>
      </c>
      <c r="T239" s="65">
        <f t="shared" si="111"/>
        <v>6.8916777800492879E-7</v>
      </c>
      <c r="U239" s="65">
        <f t="shared" si="111"/>
        <v>2.5785105132840325E-7</v>
      </c>
      <c r="V239" s="65">
        <f t="shared" si="111"/>
        <v>9.1880542346309269E-8</v>
      </c>
      <c r="W239" s="65">
        <f t="shared" si="111"/>
        <v>3.125178353667428E-8</v>
      </c>
      <c r="X239" s="65">
        <f t="shared" si="111"/>
        <v>1.0167657531570153E-8</v>
      </c>
      <c r="Y239" s="65">
        <f t="shared" si="111"/>
        <v>3.5523430136663592E-3</v>
      </c>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c r="BV239" s="59"/>
      <c r="BW239" s="59"/>
      <c r="BX239" s="59"/>
      <c r="BY239" s="59"/>
      <c r="BZ239" s="59"/>
      <c r="CA239" s="59"/>
    </row>
    <row r="240" spans="4:79">
      <c r="D240" s="57" t="s">
        <v>155</v>
      </c>
      <c r="E240" s="65">
        <f t="shared" ref="E240:Y240" si="112">E203-E202</f>
        <v>0</v>
      </c>
      <c r="F240" s="65">
        <f t="shared" si="112"/>
        <v>0</v>
      </c>
      <c r="G240" s="65">
        <f t="shared" si="112"/>
        <v>0</v>
      </c>
      <c r="H240" s="65">
        <f t="shared" si="112"/>
        <v>0</v>
      </c>
      <c r="I240" s="65">
        <f t="shared" si="112"/>
        <v>0</v>
      </c>
      <c r="J240" s="65">
        <f t="shared" si="112"/>
        <v>0</v>
      </c>
      <c r="K240" s="65">
        <f t="shared" si="112"/>
        <v>0</v>
      </c>
      <c r="L240" s="65">
        <f t="shared" si="112"/>
        <v>0</v>
      </c>
      <c r="M240" s="65">
        <f t="shared" si="112"/>
        <v>0</v>
      </c>
      <c r="N240" s="65">
        <f t="shared" si="112"/>
        <v>0</v>
      </c>
      <c r="O240" s="65">
        <f t="shared" si="112"/>
        <v>0</v>
      </c>
      <c r="P240" s="65">
        <f t="shared" si="112"/>
        <v>0</v>
      </c>
      <c r="Q240" s="65">
        <f t="shared" si="112"/>
        <v>0</v>
      </c>
      <c r="R240" s="65">
        <f t="shared" si="112"/>
        <v>0</v>
      </c>
      <c r="S240" s="65">
        <f t="shared" si="112"/>
        <v>0</v>
      </c>
      <c r="T240" s="65">
        <f t="shared" si="112"/>
        <v>0</v>
      </c>
      <c r="U240" s="65">
        <f t="shared" si="112"/>
        <v>0</v>
      </c>
      <c r="V240" s="65">
        <f t="shared" si="112"/>
        <v>0</v>
      </c>
      <c r="W240" s="65">
        <f t="shared" si="112"/>
        <v>0</v>
      </c>
      <c r="X240" s="65">
        <f t="shared" si="112"/>
        <v>0</v>
      </c>
      <c r="Y240" s="65">
        <f t="shared" si="112"/>
        <v>0</v>
      </c>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c r="BV240" s="59"/>
      <c r="BW240" s="59"/>
      <c r="BX240" s="59"/>
      <c r="BY240" s="59"/>
      <c r="BZ240" s="59"/>
      <c r="CA240" s="59"/>
    </row>
    <row r="241" spans="4:79">
      <c r="D241" s="57" t="s">
        <v>158</v>
      </c>
      <c r="E241" s="65">
        <f t="shared" ref="E241:Y241" si="113">E204-E203</f>
        <v>0</v>
      </c>
      <c r="F241" s="65">
        <f t="shared" si="113"/>
        <v>0</v>
      </c>
      <c r="G241" s="65">
        <f t="shared" si="113"/>
        <v>0</v>
      </c>
      <c r="H241" s="65">
        <f t="shared" si="113"/>
        <v>0</v>
      </c>
      <c r="I241" s="65">
        <f t="shared" si="113"/>
        <v>0</v>
      </c>
      <c r="J241" s="65">
        <f t="shared" si="113"/>
        <v>0</v>
      </c>
      <c r="K241" s="65">
        <f t="shared" si="113"/>
        <v>0</v>
      </c>
      <c r="L241" s="65">
        <f t="shared" si="113"/>
        <v>0</v>
      </c>
      <c r="M241" s="65">
        <f t="shared" si="113"/>
        <v>0</v>
      </c>
      <c r="N241" s="65">
        <f t="shared" si="113"/>
        <v>0</v>
      </c>
      <c r="O241" s="65">
        <f t="shared" si="113"/>
        <v>0</v>
      </c>
      <c r="P241" s="65">
        <f t="shared" si="113"/>
        <v>0</v>
      </c>
      <c r="Q241" s="65">
        <f t="shared" si="113"/>
        <v>0</v>
      </c>
      <c r="R241" s="65">
        <f t="shared" si="113"/>
        <v>0</v>
      </c>
      <c r="S241" s="65">
        <f t="shared" si="113"/>
        <v>0</v>
      </c>
      <c r="T241" s="65">
        <f t="shared" si="113"/>
        <v>0</v>
      </c>
      <c r="U241" s="65">
        <f t="shared" si="113"/>
        <v>0</v>
      </c>
      <c r="V241" s="65">
        <f t="shared" si="113"/>
        <v>0</v>
      </c>
      <c r="W241" s="65">
        <f t="shared" si="113"/>
        <v>0</v>
      </c>
      <c r="X241" s="65">
        <f t="shared" si="113"/>
        <v>0</v>
      </c>
      <c r="Y241" s="65">
        <f t="shared" si="113"/>
        <v>0</v>
      </c>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A241" s="59"/>
    </row>
    <row r="242" spans="4:79">
      <c r="D242" s="57" t="s">
        <v>161</v>
      </c>
      <c r="E242" s="65">
        <f t="shared" ref="E242:Y242" si="114">E205-E204</f>
        <v>8.8852813620881932E-2</v>
      </c>
      <c r="F242" s="65">
        <f t="shared" si="114"/>
        <v>0.10131585553124722</v>
      </c>
      <c r="G242" s="65">
        <f t="shared" si="114"/>
        <v>0.11056216837135224</v>
      </c>
      <c r="H242" s="65">
        <f t="shared" si="114"/>
        <v>0.1153795365916892</v>
      </c>
      <c r="I242" s="65">
        <f t="shared" si="114"/>
        <v>0.11055194740391983</v>
      </c>
      <c r="J242" s="65">
        <f t="shared" si="114"/>
        <v>9.1917420060610766E-2</v>
      </c>
      <c r="K242" s="65">
        <f t="shared" si="114"/>
        <v>6.878151925951137E-2</v>
      </c>
      <c r="L242" s="65">
        <f t="shared" si="114"/>
        <v>4.6789997018537477E-2</v>
      </c>
      <c r="M242" s="65">
        <f t="shared" si="114"/>
        <v>2.9177340912463379E-2</v>
      </c>
      <c r="N242" s="65">
        <f t="shared" si="114"/>
        <v>1.6794856434835914E-2</v>
      </c>
      <c r="O242" s="65">
        <f t="shared" si="114"/>
        <v>8.9768134155610024E-3</v>
      </c>
      <c r="P242" s="65">
        <f t="shared" si="114"/>
        <v>4.4782143538864005E-3</v>
      </c>
      <c r="Q242" s="65">
        <f t="shared" si="114"/>
        <v>2.0943961617050366E-3</v>
      </c>
      <c r="R242" s="65">
        <f t="shared" si="114"/>
        <v>9.2190007482281788E-4</v>
      </c>
      <c r="S242" s="65">
        <f t="shared" si="114"/>
        <v>3.8325275321379748E-4</v>
      </c>
      <c r="T242" s="65">
        <f t="shared" si="114"/>
        <v>1.5094044317204638E-4</v>
      </c>
      <c r="U242" s="65">
        <f t="shared" si="114"/>
        <v>5.6474131846973377E-5</v>
      </c>
      <c r="V242" s="65">
        <f t="shared" si="114"/>
        <v>2.0123531922336402E-5</v>
      </c>
      <c r="W242" s="65">
        <f t="shared" si="114"/>
        <v>6.8447164935502448E-6</v>
      </c>
      <c r="X242" s="65">
        <f t="shared" si="114"/>
        <v>2.2269043661343637E-6</v>
      </c>
      <c r="Y242" s="65">
        <f t="shared" si="114"/>
        <v>0.77802858156798038</v>
      </c>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A242" s="59"/>
    </row>
    <row r="243" spans="4:79">
      <c r="D243" s="27" t="s">
        <v>2135</v>
      </c>
      <c r="E243" s="65">
        <f t="shared" ref="E243:X243" si="115">E206-E205</f>
        <v>0</v>
      </c>
      <c r="F243" s="65">
        <f t="shared" si="115"/>
        <v>0</v>
      </c>
      <c r="G243" s="65">
        <f t="shared" si="115"/>
        <v>0</v>
      </c>
      <c r="H243" s="65">
        <f t="shared" si="115"/>
        <v>0</v>
      </c>
      <c r="I243" s="65">
        <f t="shared" si="115"/>
        <v>0</v>
      </c>
      <c r="J243" s="65">
        <f t="shared" si="115"/>
        <v>0</v>
      </c>
      <c r="K243" s="65">
        <f t="shared" si="115"/>
        <v>0</v>
      </c>
      <c r="L243" s="65">
        <f t="shared" si="115"/>
        <v>0</v>
      </c>
      <c r="M243" s="65">
        <f t="shared" si="115"/>
        <v>0</v>
      </c>
      <c r="N243" s="65">
        <f t="shared" si="115"/>
        <v>0</v>
      </c>
      <c r="O243" s="65">
        <f t="shared" si="115"/>
        <v>0</v>
      </c>
      <c r="P243" s="65">
        <f t="shared" si="115"/>
        <v>0</v>
      </c>
      <c r="Q243" s="65">
        <f t="shared" si="115"/>
        <v>0</v>
      </c>
      <c r="R243" s="65">
        <f t="shared" si="115"/>
        <v>0</v>
      </c>
      <c r="S243" s="65">
        <f t="shared" si="115"/>
        <v>0</v>
      </c>
      <c r="T243" s="65">
        <f t="shared" si="115"/>
        <v>0</v>
      </c>
      <c r="U243" s="65">
        <f t="shared" si="115"/>
        <v>0</v>
      </c>
      <c r="V243" s="65">
        <f t="shared" si="115"/>
        <v>0</v>
      </c>
      <c r="W243" s="65">
        <f t="shared" si="115"/>
        <v>0</v>
      </c>
      <c r="X243" s="65">
        <f t="shared" si="115"/>
        <v>0</v>
      </c>
      <c r="Y243" s="65">
        <f t="shared" ref="Y243" si="116">Y206-Y205</f>
        <v>0</v>
      </c>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59"/>
      <c r="BX243" s="59"/>
      <c r="BY243" s="59"/>
      <c r="BZ243" s="59"/>
      <c r="CA243" s="59"/>
    </row>
    <row r="244" spans="4:79">
      <c r="D244" s="27" t="s">
        <v>2137</v>
      </c>
      <c r="E244" s="65">
        <f t="shared" ref="E244:X244" si="117">E207-E206</f>
        <v>9.6197879471873193E-3</v>
      </c>
      <c r="F244" s="65">
        <f t="shared" si="117"/>
        <v>1.0969118547631496E-2</v>
      </c>
      <c r="G244" s="65">
        <f t="shared" si="117"/>
        <v>1.1970184976377141E-2</v>
      </c>
      <c r="H244" s="65">
        <f t="shared" si="117"/>
        <v>1.2491744833113216E-2</v>
      </c>
      <c r="I244" s="65">
        <f t="shared" si="117"/>
        <v>1.1969078387448207E-2</v>
      </c>
      <c r="J244" s="65">
        <f t="shared" si="117"/>
        <v>9.951582325889774E-3</v>
      </c>
      <c r="K244" s="65">
        <f t="shared" si="117"/>
        <v>7.446738071624992E-3</v>
      </c>
      <c r="L244" s="65">
        <f t="shared" si="117"/>
        <v>5.0657917405789732E-3</v>
      </c>
      <c r="M244" s="65">
        <f t="shared" si="117"/>
        <v>3.1589301565411176E-3</v>
      </c>
      <c r="N244" s="65">
        <f t="shared" si="117"/>
        <v>1.8183212317373076E-3</v>
      </c>
      <c r="O244" s="65">
        <f t="shared" si="117"/>
        <v>9.7188865473185615E-4</v>
      </c>
      <c r="P244" s="65">
        <f t="shared" si="117"/>
        <v>4.848408363322676E-4</v>
      </c>
      <c r="Q244" s="65">
        <f t="shared" si="117"/>
        <v>2.2675305521518974E-4</v>
      </c>
      <c r="R244" s="65">
        <f t="shared" si="117"/>
        <v>9.9810944267086921E-5</v>
      </c>
      <c r="S244" s="65">
        <f t="shared" si="117"/>
        <v>4.1493454915469963E-5</v>
      </c>
      <c r="T244" s="65">
        <f t="shared" si="117"/>
        <v>1.6341801646987952E-5</v>
      </c>
      <c r="U244" s="65">
        <f t="shared" si="117"/>
        <v>6.1142596472774091E-6</v>
      </c>
      <c r="V244" s="65">
        <f t="shared" si="117"/>
        <v>2.1787054562761102E-6</v>
      </c>
      <c r="W244" s="65">
        <f t="shared" si="117"/>
        <v>7.4105386811381194E-7</v>
      </c>
      <c r="X244" s="65">
        <f t="shared" si="117"/>
        <v>2.4109926189031959E-7</v>
      </c>
      <c r="Y244" s="65">
        <f t="shared" ref="Y244" si="118">Y207-Y206</f>
        <v>8.4234473468313809E-2</v>
      </c>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c r="BV244" s="59"/>
      <c r="BW244" s="59"/>
      <c r="BX244" s="59"/>
      <c r="BY244" s="59"/>
      <c r="BZ244" s="59"/>
      <c r="CA244" s="59"/>
    </row>
    <row r="245" spans="4:79">
      <c r="D245" s="27" t="s">
        <v>2140</v>
      </c>
      <c r="E245" s="65">
        <f t="shared" ref="E245:X245" si="119">E208-E207</f>
        <v>0</v>
      </c>
      <c r="F245" s="65">
        <f t="shared" si="119"/>
        <v>0</v>
      </c>
      <c r="G245" s="65">
        <f t="shared" si="119"/>
        <v>0</v>
      </c>
      <c r="H245" s="65">
        <f t="shared" si="119"/>
        <v>0</v>
      </c>
      <c r="I245" s="65">
        <f t="shared" si="119"/>
        <v>0</v>
      </c>
      <c r="J245" s="65">
        <f t="shared" si="119"/>
        <v>0</v>
      </c>
      <c r="K245" s="65">
        <f t="shared" si="119"/>
        <v>0</v>
      </c>
      <c r="L245" s="65">
        <f t="shared" si="119"/>
        <v>0</v>
      </c>
      <c r="M245" s="65">
        <f t="shared" si="119"/>
        <v>0</v>
      </c>
      <c r="N245" s="65">
        <f t="shared" si="119"/>
        <v>0</v>
      </c>
      <c r="O245" s="65">
        <f t="shared" si="119"/>
        <v>0</v>
      </c>
      <c r="P245" s="65">
        <f t="shared" si="119"/>
        <v>0</v>
      </c>
      <c r="Q245" s="65">
        <f t="shared" si="119"/>
        <v>0</v>
      </c>
      <c r="R245" s="65">
        <f t="shared" si="119"/>
        <v>0</v>
      </c>
      <c r="S245" s="65">
        <f t="shared" si="119"/>
        <v>0</v>
      </c>
      <c r="T245" s="65">
        <f t="shared" si="119"/>
        <v>0</v>
      </c>
      <c r="U245" s="65">
        <f t="shared" si="119"/>
        <v>0</v>
      </c>
      <c r="V245" s="65">
        <f t="shared" si="119"/>
        <v>0</v>
      </c>
      <c r="W245" s="65">
        <f t="shared" si="119"/>
        <v>0</v>
      </c>
      <c r="X245" s="65">
        <f t="shared" si="119"/>
        <v>0</v>
      </c>
      <c r="Y245" s="65">
        <f t="shared" ref="Y245" si="120">Y208-Y207</f>
        <v>0</v>
      </c>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A245" s="59"/>
    </row>
    <row r="246" spans="4:79">
      <c r="D246" s="27" t="s">
        <v>2143</v>
      </c>
      <c r="E246" s="65">
        <f t="shared" ref="E246:X246" si="121">E209-E208</f>
        <v>0</v>
      </c>
      <c r="F246" s="65">
        <f t="shared" si="121"/>
        <v>0</v>
      </c>
      <c r="G246" s="65">
        <f t="shared" si="121"/>
        <v>0</v>
      </c>
      <c r="H246" s="65">
        <f t="shared" si="121"/>
        <v>0</v>
      </c>
      <c r="I246" s="65">
        <f t="shared" si="121"/>
        <v>0</v>
      </c>
      <c r="J246" s="65">
        <f t="shared" si="121"/>
        <v>0</v>
      </c>
      <c r="K246" s="65">
        <f t="shared" si="121"/>
        <v>0</v>
      </c>
      <c r="L246" s="65">
        <f t="shared" si="121"/>
        <v>0</v>
      </c>
      <c r="M246" s="65">
        <f t="shared" si="121"/>
        <v>0</v>
      </c>
      <c r="N246" s="65">
        <f t="shared" si="121"/>
        <v>0</v>
      </c>
      <c r="O246" s="65">
        <f t="shared" si="121"/>
        <v>0</v>
      </c>
      <c r="P246" s="65">
        <f t="shared" si="121"/>
        <v>0</v>
      </c>
      <c r="Q246" s="65">
        <f t="shared" si="121"/>
        <v>0</v>
      </c>
      <c r="R246" s="65">
        <f t="shared" si="121"/>
        <v>0</v>
      </c>
      <c r="S246" s="65">
        <f t="shared" si="121"/>
        <v>0</v>
      </c>
      <c r="T246" s="65">
        <f t="shared" si="121"/>
        <v>0</v>
      </c>
      <c r="U246" s="65">
        <f t="shared" si="121"/>
        <v>0</v>
      </c>
      <c r="V246" s="65">
        <f t="shared" si="121"/>
        <v>0</v>
      </c>
      <c r="W246" s="65">
        <f t="shared" si="121"/>
        <v>0</v>
      </c>
      <c r="X246" s="65">
        <f t="shared" si="121"/>
        <v>0</v>
      </c>
      <c r="Y246" s="65">
        <f t="shared" ref="Y246" si="122">Y209-Y208</f>
        <v>0</v>
      </c>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c r="BV246" s="59"/>
      <c r="BW246" s="59"/>
      <c r="BX246" s="59"/>
      <c r="BY246" s="59"/>
      <c r="BZ246" s="59"/>
      <c r="CA246" s="59"/>
    </row>
    <row r="247" spans="4:79">
      <c r="D247" s="27" t="s">
        <v>2146</v>
      </c>
      <c r="E247" s="65">
        <f t="shared" ref="E247:X247" si="123">E210-E209</f>
        <v>9.3447718594745766E-3</v>
      </c>
      <c r="F247" s="65">
        <f t="shared" si="123"/>
        <v>1.0655527012648491E-2</v>
      </c>
      <c r="G247" s="65">
        <f t="shared" si="123"/>
        <v>1.1627974372622418E-2</v>
      </c>
      <c r="H247" s="65">
        <f t="shared" si="123"/>
        <v>1.2134623573114567E-2</v>
      </c>
      <c r="I247" s="65">
        <f t="shared" si="123"/>
        <v>1.1626899419507453E-2</v>
      </c>
      <c r="J247" s="65">
        <f t="shared" si="123"/>
        <v>9.667080707686182E-3</v>
      </c>
      <c r="K247" s="65">
        <f t="shared" si="123"/>
        <v>7.2338463964776167E-3</v>
      </c>
      <c r="L247" s="65">
        <f t="shared" si="123"/>
        <v>4.9209679426649444E-3</v>
      </c>
      <c r="M247" s="65">
        <f t="shared" si="123"/>
        <v>3.0686208256334169E-3</v>
      </c>
      <c r="N247" s="65">
        <f t="shared" si="123"/>
        <v>1.7663380077737045E-3</v>
      </c>
      <c r="O247" s="65">
        <f t="shared" si="123"/>
        <v>9.4410373712450202E-4</v>
      </c>
      <c r="P247" s="65">
        <f t="shared" si="123"/>
        <v>4.7097992477151962E-4</v>
      </c>
      <c r="Q247" s="65">
        <f t="shared" si="123"/>
        <v>2.2027050711082019E-4</v>
      </c>
      <c r="R247" s="65">
        <f t="shared" si="123"/>
        <v>9.695749099419837E-5</v>
      </c>
      <c r="S247" s="65">
        <f t="shared" si="123"/>
        <v>4.0307215915302841E-5</v>
      </c>
      <c r="T247" s="65">
        <f t="shared" si="123"/>
        <v>1.5874612725591541E-5</v>
      </c>
      <c r="U247" s="65">
        <f t="shared" si="123"/>
        <v>5.9394616396032246E-6</v>
      </c>
      <c r="V247" s="65">
        <f t="shared" si="123"/>
        <v>2.1164193586883234E-6</v>
      </c>
      <c r="W247" s="65">
        <f t="shared" si="123"/>
        <v>7.1986818951999543E-7</v>
      </c>
      <c r="X247" s="65">
        <f t="shared" si="123"/>
        <v>2.3420657609325192E-7</v>
      </c>
      <c r="Y247" s="65">
        <f t="shared" ref="Y247" si="124">Y210-Y209</f>
        <v>8.1826329393777542E-2</v>
      </c>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row>
    <row r="248" spans="4:79">
      <c r="D248" s="27" t="s">
        <v>2149</v>
      </c>
      <c r="E248" s="65">
        <f t="shared" ref="E248:X248" si="125">E211-E210</f>
        <v>0</v>
      </c>
      <c r="F248" s="65">
        <f t="shared" si="125"/>
        <v>0</v>
      </c>
      <c r="G248" s="65">
        <f t="shared" si="125"/>
        <v>0</v>
      </c>
      <c r="H248" s="65">
        <f t="shared" si="125"/>
        <v>0</v>
      </c>
      <c r="I248" s="65">
        <f t="shared" si="125"/>
        <v>0</v>
      </c>
      <c r="J248" s="65">
        <f t="shared" si="125"/>
        <v>0</v>
      </c>
      <c r="K248" s="65">
        <f t="shared" si="125"/>
        <v>0</v>
      </c>
      <c r="L248" s="65">
        <f t="shared" si="125"/>
        <v>0</v>
      </c>
      <c r="M248" s="65">
        <f t="shared" si="125"/>
        <v>0</v>
      </c>
      <c r="N248" s="65">
        <f t="shared" si="125"/>
        <v>0</v>
      </c>
      <c r="O248" s="65">
        <f t="shared" si="125"/>
        <v>0</v>
      </c>
      <c r="P248" s="65">
        <f t="shared" si="125"/>
        <v>0</v>
      </c>
      <c r="Q248" s="65">
        <f t="shared" si="125"/>
        <v>0</v>
      </c>
      <c r="R248" s="65">
        <f t="shared" si="125"/>
        <v>0</v>
      </c>
      <c r="S248" s="65">
        <f t="shared" si="125"/>
        <v>0</v>
      </c>
      <c r="T248" s="65">
        <f t="shared" si="125"/>
        <v>0</v>
      </c>
      <c r="U248" s="65">
        <f t="shared" si="125"/>
        <v>0</v>
      </c>
      <c r="V248" s="65">
        <f t="shared" si="125"/>
        <v>0</v>
      </c>
      <c r="W248" s="65">
        <f t="shared" si="125"/>
        <v>0</v>
      </c>
      <c r="X248" s="65">
        <f t="shared" si="125"/>
        <v>0</v>
      </c>
      <c r="Y248" s="65">
        <f t="shared" ref="Y248" si="126">Y211-Y210</f>
        <v>0</v>
      </c>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A248" s="59"/>
    </row>
    <row r="249" spans="4:79">
      <c r="D249" s="27" t="s">
        <v>2152</v>
      </c>
      <c r="E249" s="65">
        <f t="shared" ref="E249:X249" si="127">E212-E211</f>
        <v>0</v>
      </c>
      <c r="F249" s="65">
        <f t="shared" si="127"/>
        <v>0</v>
      </c>
      <c r="G249" s="65">
        <f t="shared" si="127"/>
        <v>0</v>
      </c>
      <c r="H249" s="65">
        <f t="shared" si="127"/>
        <v>0</v>
      </c>
      <c r="I249" s="65">
        <f t="shared" si="127"/>
        <v>0</v>
      </c>
      <c r="J249" s="65">
        <f t="shared" si="127"/>
        <v>0</v>
      </c>
      <c r="K249" s="65">
        <f t="shared" si="127"/>
        <v>0</v>
      </c>
      <c r="L249" s="65">
        <f t="shared" si="127"/>
        <v>0</v>
      </c>
      <c r="M249" s="65">
        <f t="shared" si="127"/>
        <v>0</v>
      </c>
      <c r="N249" s="65">
        <f t="shared" si="127"/>
        <v>0</v>
      </c>
      <c r="O249" s="65">
        <f t="shared" si="127"/>
        <v>0</v>
      </c>
      <c r="P249" s="65">
        <f t="shared" si="127"/>
        <v>0</v>
      </c>
      <c r="Q249" s="65">
        <f t="shared" si="127"/>
        <v>0</v>
      </c>
      <c r="R249" s="65">
        <f t="shared" si="127"/>
        <v>0</v>
      </c>
      <c r="S249" s="65">
        <f t="shared" si="127"/>
        <v>0</v>
      </c>
      <c r="T249" s="65">
        <f t="shared" si="127"/>
        <v>0</v>
      </c>
      <c r="U249" s="65">
        <f t="shared" si="127"/>
        <v>0</v>
      </c>
      <c r="V249" s="65">
        <f t="shared" si="127"/>
        <v>0</v>
      </c>
      <c r="W249" s="65">
        <f t="shared" si="127"/>
        <v>0</v>
      </c>
      <c r="X249" s="65">
        <f t="shared" si="127"/>
        <v>0</v>
      </c>
      <c r="Y249" s="65">
        <f t="shared" ref="Y249" si="128">Y212-Y211</f>
        <v>0</v>
      </c>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row>
    <row r="250" spans="4:79">
      <c r="D250" s="27" t="s">
        <v>2155</v>
      </c>
      <c r="E250" s="65">
        <f t="shared" ref="E250:X250" si="129">E213-E212</f>
        <v>0</v>
      </c>
      <c r="F250" s="65">
        <f t="shared" si="129"/>
        <v>0</v>
      </c>
      <c r="G250" s="65">
        <f t="shared" si="129"/>
        <v>0</v>
      </c>
      <c r="H250" s="65">
        <f t="shared" si="129"/>
        <v>0</v>
      </c>
      <c r="I250" s="65">
        <f t="shared" si="129"/>
        <v>0</v>
      </c>
      <c r="J250" s="65">
        <f t="shared" si="129"/>
        <v>0</v>
      </c>
      <c r="K250" s="65">
        <f t="shared" si="129"/>
        <v>0</v>
      </c>
      <c r="L250" s="65">
        <f t="shared" si="129"/>
        <v>0</v>
      </c>
      <c r="M250" s="65">
        <f t="shared" si="129"/>
        <v>0</v>
      </c>
      <c r="N250" s="65">
        <f t="shared" si="129"/>
        <v>0</v>
      </c>
      <c r="O250" s="65">
        <f t="shared" si="129"/>
        <v>0</v>
      </c>
      <c r="P250" s="65">
        <f t="shared" si="129"/>
        <v>0</v>
      </c>
      <c r="Q250" s="65">
        <f t="shared" si="129"/>
        <v>0</v>
      </c>
      <c r="R250" s="65">
        <f t="shared" si="129"/>
        <v>0</v>
      </c>
      <c r="S250" s="65">
        <f t="shared" si="129"/>
        <v>0</v>
      </c>
      <c r="T250" s="65">
        <f t="shared" si="129"/>
        <v>0</v>
      </c>
      <c r="U250" s="65">
        <f t="shared" si="129"/>
        <v>0</v>
      </c>
      <c r="V250" s="65">
        <f t="shared" si="129"/>
        <v>0</v>
      </c>
      <c r="W250" s="65">
        <f t="shared" si="129"/>
        <v>0</v>
      </c>
      <c r="X250" s="65">
        <f t="shared" si="129"/>
        <v>0</v>
      </c>
      <c r="Y250" s="65">
        <f t="shared" ref="Y250" si="130">Y213-Y212</f>
        <v>0</v>
      </c>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A250" s="59"/>
    </row>
    <row r="251" spans="4:79">
      <c r="D251" s="27" t="s">
        <v>2158</v>
      </c>
      <c r="E251" s="65">
        <f t="shared" ref="E251:X251" si="131">E214-E213</f>
        <v>0</v>
      </c>
      <c r="F251" s="65">
        <f t="shared" si="131"/>
        <v>0</v>
      </c>
      <c r="G251" s="65">
        <f t="shared" si="131"/>
        <v>0</v>
      </c>
      <c r="H251" s="65">
        <f t="shared" si="131"/>
        <v>0</v>
      </c>
      <c r="I251" s="65">
        <f t="shared" si="131"/>
        <v>0</v>
      </c>
      <c r="J251" s="65">
        <f t="shared" si="131"/>
        <v>0</v>
      </c>
      <c r="K251" s="65">
        <f t="shared" si="131"/>
        <v>0</v>
      </c>
      <c r="L251" s="65">
        <f t="shared" si="131"/>
        <v>0</v>
      </c>
      <c r="M251" s="65">
        <f t="shared" si="131"/>
        <v>0</v>
      </c>
      <c r="N251" s="65">
        <f t="shared" si="131"/>
        <v>0</v>
      </c>
      <c r="O251" s="65">
        <f t="shared" si="131"/>
        <v>0</v>
      </c>
      <c r="P251" s="65">
        <f t="shared" si="131"/>
        <v>0</v>
      </c>
      <c r="Q251" s="65">
        <f t="shared" si="131"/>
        <v>0</v>
      </c>
      <c r="R251" s="65">
        <f t="shared" si="131"/>
        <v>0</v>
      </c>
      <c r="S251" s="65">
        <f t="shared" si="131"/>
        <v>0</v>
      </c>
      <c r="T251" s="65">
        <f t="shared" si="131"/>
        <v>0</v>
      </c>
      <c r="U251" s="65">
        <f t="shared" si="131"/>
        <v>0</v>
      </c>
      <c r="V251" s="65">
        <f t="shared" si="131"/>
        <v>0</v>
      </c>
      <c r="W251" s="65">
        <f t="shared" si="131"/>
        <v>0</v>
      </c>
      <c r="X251" s="65">
        <f t="shared" si="131"/>
        <v>0</v>
      </c>
      <c r="Y251" s="65">
        <f t="shared" ref="Y251" si="132">Y214-Y213</f>
        <v>0</v>
      </c>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A251" s="59"/>
    </row>
    <row r="252" spans="4:79">
      <c r="D252" s="27" t="s">
        <v>2161</v>
      </c>
      <c r="E252" s="65">
        <f t="shared" ref="E252:X252" si="133">E215-E214</f>
        <v>0</v>
      </c>
      <c r="F252" s="65">
        <f t="shared" si="133"/>
        <v>0</v>
      </c>
      <c r="G252" s="65">
        <f t="shared" si="133"/>
        <v>0</v>
      </c>
      <c r="H252" s="65">
        <f t="shared" si="133"/>
        <v>0</v>
      </c>
      <c r="I252" s="65">
        <f t="shared" si="133"/>
        <v>0</v>
      </c>
      <c r="J252" s="65">
        <f t="shared" si="133"/>
        <v>0</v>
      </c>
      <c r="K252" s="65">
        <f t="shared" si="133"/>
        <v>0</v>
      </c>
      <c r="L252" s="65">
        <f t="shared" si="133"/>
        <v>0</v>
      </c>
      <c r="M252" s="65">
        <f t="shared" si="133"/>
        <v>0</v>
      </c>
      <c r="N252" s="65">
        <f t="shared" si="133"/>
        <v>0</v>
      </c>
      <c r="O252" s="65">
        <f t="shared" si="133"/>
        <v>0</v>
      </c>
      <c r="P252" s="65">
        <f t="shared" si="133"/>
        <v>0</v>
      </c>
      <c r="Q252" s="65">
        <f t="shared" si="133"/>
        <v>0</v>
      </c>
      <c r="R252" s="65">
        <f t="shared" si="133"/>
        <v>0</v>
      </c>
      <c r="S252" s="65">
        <f t="shared" si="133"/>
        <v>0</v>
      </c>
      <c r="T252" s="65">
        <f t="shared" si="133"/>
        <v>0</v>
      </c>
      <c r="U252" s="65">
        <f t="shared" si="133"/>
        <v>0</v>
      </c>
      <c r="V252" s="65">
        <f t="shared" si="133"/>
        <v>0</v>
      </c>
      <c r="W252" s="65">
        <f t="shared" si="133"/>
        <v>0</v>
      </c>
      <c r="X252" s="65">
        <f t="shared" si="133"/>
        <v>0</v>
      </c>
      <c r="Y252" s="65">
        <f t="shared" ref="Y252" si="134">Y215-Y214</f>
        <v>0</v>
      </c>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A252" s="59"/>
    </row>
    <row r="253" spans="4:79">
      <c r="D253" s="27" t="s">
        <v>2164</v>
      </c>
      <c r="E253" s="65">
        <f t="shared" ref="E253:X253" si="135">E216-E215</f>
        <v>0.27879559096059481</v>
      </c>
      <c r="F253" s="65">
        <f t="shared" si="135"/>
        <v>0.31790117459908629</v>
      </c>
      <c r="G253" s="65">
        <f t="shared" si="135"/>
        <v>0.34691355076833474</v>
      </c>
      <c r="H253" s="65">
        <f t="shared" si="135"/>
        <v>0.36202912184740299</v>
      </c>
      <c r="I253" s="65">
        <f t="shared" si="135"/>
        <v>0.3468814801951936</v>
      </c>
      <c r="J253" s="65">
        <f t="shared" si="135"/>
        <v>0.28841147962644698</v>
      </c>
      <c r="K253" s="65">
        <f t="shared" si="135"/>
        <v>0.21581741227625351</v>
      </c>
      <c r="L253" s="65">
        <f t="shared" si="135"/>
        <v>0.14681408880857205</v>
      </c>
      <c r="M253" s="65">
        <f t="shared" si="135"/>
        <v>9.1550437975520538E-2</v>
      </c>
      <c r="N253" s="65">
        <f t="shared" si="135"/>
        <v>5.269762131368072E-2</v>
      </c>
      <c r="O253" s="65">
        <f t="shared" si="135"/>
        <v>2.8166761401758444E-2</v>
      </c>
      <c r="P253" s="65">
        <f t="shared" si="135"/>
        <v>1.4051399909147611E-2</v>
      </c>
      <c r="Q253" s="65">
        <f t="shared" si="135"/>
        <v>6.5716367531093445E-3</v>
      </c>
      <c r="R253" s="65">
        <f t="shared" si="135"/>
        <v>2.892667836760926E-3</v>
      </c>
      <c r="S253" s="65">
        <f t="shared" si="135"/>
        <v>1.202541297965154E-3</v>
      </c>
      <c r="T253" s="65">
        <f t="shared" si="135"/>
        <v>4.7360942596098854E-4</v>
      </c>
      <c r="U253" s="65">
        <f t="shared" si="135"/>
        <v>1.7720022946536226E-4</v>
      </c>
      <c r="V253" s="65">
        <f t="shared" si="135"/>
        <v>6.314208572438286E-5</v>
      </c>
      <c r="W253" s="65">
        <f t="shared" si="135"/>
        <v>2.1476830074501629E-5</v>
      </c>
      <c r="X253" s="65">
        <f t="shared" si="135"/>
        <v>6.9874109042646808E-6</v>
      </c>
      <c r="Y253" s="65">
        <f t="shared" ref="Y253" si="136">Y216-Y215</f>
        <v>2.4412388234321725</v>
      </c>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c r="CA253" s="59"/>
    </row>
    <row r="254" spans="4:79">
      <c r="E254" s="65"/>
      <c r="F254" s="65"/>
      <c r="G254" s="65"/>
      <c r="H254" s="65"/>
      <c r="I254" s="65"/>
      <c r="J254" s="65"/>
      <c r="K254" s="65"/>
      <c r="L254" s="65"/>
      <c r="M254" s="65"/>
      <c r="N254" s="65"/>
      <c r="O254" s="65"/>
      <c r="P254" s="65"/>
      <c r="Q254" s="65"/>
      <c r="R254" s="65"/>
      <c r="S254" s="65"/>
      <c r="T254" s="65"/>
      <c r="U254" s="65"/>
      <c r="V254" s="65"/>
      <c r="W254" s="65"/>
      <c r="X254" s="65"/>
      <c r="Y254" s="65"/>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c r="BV254" s="59"/>
      <c r="BW254" s="59"/>
      <c r="BX254" s="59"/>
      <c r="BY254" s="59"/>
      <c r="BZ254" s="59"/>
      <c r="CA254" s="59"/>
    </row>
    <row r="255" spans="4:79" ht="15">
      <c r="D255" s="91" t="s">
        <v>2173</v>
      </c>
      <c r="E255" s="92">
        <f>SUM(E222:E253)</f>
        <v>18.445280761534757</v>
      </c>
      <c r="F255" s="92">
        <f t="shared" ref="F255:Y255" si="137">SUM(F222:F253)</f>
        <v>21.032529243730636</v>
      </c>
      <c r="G255" s="92">
        <f t="shared" si="137"/>
        <v>22.952005165702985</v>
      </c>
      <c r="H255" s="92">
        <f t="shared" si="137"/>
        <v>23.952060265081705</v>
      </c>
      <c r="I255" s="92">
        <f t="shared" si="137"/>
        <v>22.949883357665648</v>
      </c>
      <c r="J255" s="92">
        <f t="shared" si="137"/>
        <v>19.081473628151215</v>
      </c>
      <c r="K255" s="92">
        <f t="shared" si="137"/>
        <v>14.278607308485194</v>
      </c>
      <c r="L255" s="92">
        <f t="shared" si="137"/>
        <v>9.7133067222925504</v>
      </c>
      <c r="M255" s="92">
        <f t="shared" si="137"/>
        <v>6.0570309827411961</v>
      </c>
      <c r="N255" s="92">
        <f t="shared" si="137"/>
        <v>3.4865057128298274</v>
      </c>
      <c r="O255" s="92">
        <f t="shared" si="137"/>
        <v>1.8635295501212887</v>
      </c>
      <c r="P255" s="92">
        <f t="shared" si="137"/>
        <v>0.92964890701397707</v>
      </c>
      <c r="Q255" s="92">
        <f t="shared" si="137"/>
        <v>0.43478336424285596</v>
      </c>
      <c r="R255" s="92">
        <f t="shared" si="137"/>
        <v>0.19138061048626323</v>
      </c>
      <c r="S255" s="92">
        <f t="shared" si="137"/>
        <v>7.9560841661383302E-2</v>
      </c>
      <c r="T255" s="92">
        <f t="shared" si="137"/>
        <v>3.1334279007283236E-2</v>
      </c>
      <c r="U255" s="92">
        <f t="shared" si="137"/>
        <v>1.1723671713154922E-2</v>
      </c>
      <c r="V255" s="92">
        <f t="shared" si="137"/>
        <v>4.1775176395087198E-3</v>
      </c>
      <c r="W255" s="92">
        <f t="shared" si="137"/>
        <v>1.420919747069996E-3</v>
      </c>
      <c r="X255" s="92">
        <f t="shared" si="137"/>
        <v>4.6229122735154426E-4</v>
      </c>
      <c r="Y255" s="92">
        <f t="shared" si="137"/>
        <v>161.5138006631164</v>
      </c>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c r="CA255" s="59"/>
    </row>
    <row r="256" spans="4:79" ht="15">
      <c r="D256" s="91" t="s">
        <v>2174</v>
      </c>
      <c r="E256" s="92">
        <f>E255</f>
        <v>18.445280761534757</v>
      </c>
      <c r="F256" s="92">
        <f t="shared" ref="F256:X256" si="138">E256+F255</f>
        <v>39.477810005265397</v>
      </c>
      <c r="G256" s="92">
        <f t="shared" si="138"/>
        <v>62.429815170968382</v>
      </c>
      <c r="H256" s="92">
        <f t="shared" si="138"/>
        <v>86.38187543605008</v>
      </c>
      <c r="I256" s="92">
        <f t="shared" si="138"/>
        <v>109.33175879371572</v>
      </c>
      <c r="J256" s="92">
        <f t="shared" si="138"/>
        <v>128.41323242186695</v>
      </c>
      <c r="K256" s="92">
        <f t="shared" si="138"/>
        <v>142.69183973035214</v>
      </c>
      <c r="L256" s="92">
        <f t="shared" si="138"/>
        <v>152.40514645264469</v>
      </c>
      <c r="M256" s="92">
        <f t="shared" si="138"/>
        <v>158.46217743538588</v>
      </c>
      <c r="N256" s="92">
        <f t="shared" si="138"/>
        <v>161.94868314821571</v>
      </c>
      <c r="O256" s="92">
        <f t="shared" si="138"/>
        <v>163.81221269833699</v>
      </c>
      <c r="P256" s="92">
        <f t="shared" si="138"/>
        <v>164.74186160535098</v>
      </c>
      <c r="Q256" s="92">
        <f t="shared" si="138"/>
        <v>165.17664496959384</v>
      </c>
      <c r="R256" s="92">
        <f t="shared" si="138"/>
        <v>165.36802558008011</v>
      </c>
      <c r="S256" s="92">
        <f t="shared" si="138"/>
        <v>165.44758642174151</v>
      </c>
      <c r="T256" s="92">
        <f t="shared" si="138"/>
        <v>165.4789207007488</v>
      </c>
      <c r="U256" s="92">
        <f t="shared" si="138"/>
        <v>165.49064437246196</v>
      </c>
      <c r="V256" s="92">
        <f t="shared" si="138"/>
        <v>165.49482189010146</v>
      </c>
      <c r="W256" s="92">
        <f t="shared" si="138"/>
        <v>165.49624280984852</v>
      </c>
      <c r="X256" s="92">
        <f t="shared" si="138"/>
        <v>165.49670510107589</v>
      </c>
      <c r="Y256" s="92"/>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c r="CA256" s="59"/>
    </row>
    <row r="257" spans="29:7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c r="CA257" s="59"/>
    </row>
    <row r="258" spans="29:7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A258" s="59"/>
    </row>
    <row r="259" spans="29:79" s="59" customFormat="1"/>
    <row r="260" spans="29:79" s="59" customFormat="1"/>
    <row r="261" spans="29:79" s="59" customFormat="1"/>
    <row r="262" spans="29:79" s="59" customFormat="1"/>
    <row r="263" spans="29:79" s="59" customFormat="1"/>
    <row r="264" spans="29:79" s="59" customFormat="1"/>
    <row r="265" spans="29:79" s="59" customFormat="1"/>
    <row r="266" spans="29:79" s="59" customFormat="1"/>
  </sheetData>
  <mergeCells count="1">
    <mergeCell ref="B1:S6"/>
  </mergeCells>
  <dataValidations count="1">
    <dataValidation type="list" allowBlank="1" showInputMessage="1" showErrorMessage="1" sqref="D8">
      <formula1>"ID, MT, OR, WA, Region"</formula1>
    </dataValidation>
  </dataValidations>
  <pageMargins left="0.75" right="0.75" top="1" bottom="1" header="0.5" footer="0.5"/>
  <headerFooter alignWithMargins="0"/>
  <legacyDrawing r:id="rId1"/>
</worksheet>
</file>

<file path=xl/worksheets/sheet4.xml><?xml version="1.0" encoding="utf-8"?>
<worksheet xmlns="http://schemas.openxmlformats.org/spreadsheetml/2006/main" xmlns:r="http://schemas.openxmlformats.org/officeDocument/2006/relationships">
  <dimension ref="A1:EA43"/>
  <sheetViews>
    <sheetView workbookViewId="0">
      <selection sqref="A1:EA43"/>
    </sheetView>
  </sheetViews>
  <sheetFormatPr defaultRowHeight="12.75"/>
  <sheetData>
    <row r="1" spans="1:131" ht="13.5" thickBot="1">
      <c r="A1" s="36" t="s">
        <v>30</v>
      </c>
      <c r="B1" s="37"/>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row>
    <row r="2" spans="1:131" ht="13.5" thickBot="1">
      <c r="A2" s="39"/>
      <c r="B2" s="40"/>
      <c r="C2" s="41"/>
      <c r="D2" s="41"/>
      <c r="E2" s="41"/>
      <c r="F2" s="41"/>
      <c r="G2" s="41"/>
      <c r="H2" s="41"/>
      <c r="I2" s="41"/>
      <c r="J2" s="41"/>
      <c r="K2" s="41"/>
      <c r="L2" s="41"/>
      <c r="M2" s="41"/>
      <c r="N2" s="41"/>
      <c r="O2" s="42" t="s">
        <v>2169</v>
      </c>
      <c r="P2" s="43"/>
      <c r="Q2" s="43"/>
      <c r="R2" s="43"/>
      <c r="S2" s="43"/>
      <c r="T2" s="43"/>
      <c r="U2" s="43"/>
      <c r="V2" s="43"/>
      <c r="W2" s="43"/>
      <c r="X2" s="43"/>
      <c r="Y2" s="43"/>
      <c r="Z2" s="44"/>
      <c r="AA2" s="41"/>
      <c r="AB2" s="42" t="s">
        <v>2170</v>
      </c>
      <c r="AC2" s="43"/>
      <c r="AD2" s="43"/>
      <c r="AE2" s="43"/>
      <c r="AF2" s="43"/>
      <c r="AG2" s="43"/>
      <c r="AH2" s="43"/>
      <c r="AI2" s="43"/>
      <c r="AJ2" s="43"/>
      <c r="AK2" s="43"/>
      <c r="AL2" s="43"/>
      <c r="AM2" s="44"/>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row>
    <row r="3" spans="1:131" ht="204">
      <c r="A3" s="45" t="s">
        <v>31</v>
      </c>
      <c r="B3" s="46" t="s">
        <v>32</v>
      </c>
      <c r="C3" s="47" t="s">
        <v>33</v>
      </c>
      <c r="D3" s="47" t="s">
        <v>34</v>
      </c>
      <c r="E3" s="47" t="s">
        <v>35</v>
      </c>
      <c r="F3" s="47" t="s">
        <v>36</v>
      </c>
      <c r="G3" s="47" t="s">
        <v>37</v>
      </c>
      <c r="H3" s="47" t="s">
        <v>38</v>
      </c>
      <c r="I3" s="47" t="s">
        <v>39</v>
      </c>
      <c r="J3" s="47" t="s">
        <v>40</v>
      </c>
      <c r="K3" s="47" t="s">
        <v>41</v>
      </c>
      <c r="L3" s="47" t="s">
        <v>42</v>
      </c>
      <c r="M3" s="47" t="s">
        <v>43</v>
      </c>
      <c r="N3" s="47" t="s">
        <v>2171</v>
      </c>
      <c r="O3" s="47" t="s">
        <v>44</v>
      </c>
      <c r="P3" s="47" t="s">
        <v>45</v>
      </c>
      <c r="Q3" s="47" t="s">
        <v>46</v>
      </c>
      <c r="R3" s="47" t="s">
        <v>47</v>
      </c>
      <c r="S3" s="47" t="s">
        <v>48</v>
      </c>
      <c r="T3" s="47" t="s">
        <v>49</v>
      </c>
      <c r="U3" s="47" t="s">
        <v>50</v>
      </c>
      <c r="V3" s="47" t="s">
        <v>51</v>
      </c>
      <c r="W3" s="47" t="s">
        <v>52</v>
      </c>
      <c r="X3" s="47" t="s">
        <v>53</v>
      </c>
      <c r="Y3" s="47" t="s">
        <v>54</v>
      </c>
      <c r="Z3" s="47" t="s">
        <v>55</v>
      </c>
      <c r="AA3" s="47"/>
      <c r="AB3" s="47" t="s">
        <v>44</v>
      </c>
      <c r="AC3" s="47" t="s">
        <v>45</v>
      </c>
      <c r="AD3" s="47" t="s">
        <v>46</v>
      </c>
      <c r="AE3" s="47" t="s">
        <v>47</v>
      </c>
      <c r="AF3" s="47" t="s">
        <v>48</v>
      </c>
      <c r="AG3" s="47" t="s">
        <v>49</v>
      </c>
      <c r="AH3" s="47" t="s">
        <v>50</v>
      </c>
      <c r="AI3" s="47" t="s">
        <v>51</v>
      </c>
      <c r="AJ3" s="47" t="s">
        <v>52</v>
      </c>
      <c r="AK3" s="47" t="s">
        <v>53</v>
      </c>
      <c r="AL3" s="47" t="s">
        <v>54</v>
      </c>
      <c r="AM3" s="47" t="s">
        <v>55</v>
      </c>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row>
    <row r="4" spans="1:131">
      <c r="A4" s="27" t="s">
        <v>234</v>
      </c>
      <c r="B4" s="27"/>
      <c r="C4" s="48">
        <v>805.93621817691815</v>
      </c>
      <c r="D4" s="48">
        <v>414.11354893012162</v>
      </c>
      <c r="E4" s="48">
        <v>82.822709786024333</v>
      </c>
      <c r="F4" s="48">
        <v>496.93625871614597</v>
      </c>
      <c r="G4" s="48">
        <v>359.06060331492699</v>
      </c>
      <c r="H4" s="48">
        <v>815.22211574081825</v>
      </c>
      <c r="I4" s="48">
        <v>5401.3723768371929</v>
      </c>
      <c r="J4" s="48">
        <v>-26.647893321920041</v>
      </c>
      <c r="K4" s="48">
        <v>-2.8709608555309631</v>
      </c>
      <c r="L4" s="49">
        <v>2.2704304181926593</v>
      </c>
      <c r="M4" s="48">
        <v>7.6564794461925132</v>
      </c>
      <c r="N4" s="48">
        <v>0.42014353020344541</v>
      </c>
      <c r="O4" s="48">
        <v>90.679387083154523</v>
      </c>
      <c r="P4" s="48">
        <v>65.807086241440828</v>
      </c>
      <c r="Q4" s="48">
        <v>59.262016373439991</v>
      </c>
      <c r="R4" s="48">
        <v>47.321215320498339</v>
      </c>
      <c r="S4" s="48">
        <v>19.495665636639032</v>
      </c>
      <c r="T4" s="48">
        <v>5.4484319555103946</v>
      </c>
      <c r="U4" s="48">
        <v>1.331666286141262</v>
      </c>
      <c r="V4" s="48">
        <v>1.116830876332584</v>
      </c>
      <c r="W4" s="48">
        <v>10.578867601902028</v>
      </c>
      <c r="X4" s="48">
        <v>36.300964717358632</v>
      </c>
      <c r="Y4" s="48">
        <v>57.80826080230122</v>
      </c>
      <c r="Z4" s="48">
        <v>105.40532773947049</v>
      </c>
      <c r="AA4" s="48"/>
      <c r="AB4" s="48">
        <v>57.104185229436112</v>
      </c>
      <c r="AC4" s="48">
        <v>42.665893515490062</v>
      </c>
      <c r="AD4" s="48">
        <v>32.944227095662484</v>
      </c>
      <c r="AE4" s="48">
        <v>28.112785657867768</v>
      </c>
      <c r="AF4" s="48">
        <v>11.042598647966319</v>
      </c>
      <c r="AG4" s="48">
        <v>2.7405166510626096</v>
      </c>
      <c r="AH4" s="48">
        <v>0.73899329346903786</v>
      </c>
      <c r="AI4" s="48">
        <v>0.49457206405308923</v>
      </c>
      <c r="AJ4" s="48">
        <v>6.0310426685914953</v>
      </c>
      <c r="AK4" s="48">
        <v>18.653022793343407</v>
      </c>
      <c r="AL4" s="48">
        <v>37.656710263271847</v>
      </c>
      <c r="AM4" s="38">
        <v>67.195949662514664</v>
      </c>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row>
    <row r="5" spans="1:131">
      <c r="A5" s="27" t="s">
        <v>223</v>
      </c>
      <c r="B5" s="27"/>
      <c r="C5" s="48">
        <v>712.3575717659503</v>
      </c>
      <c r="D5" s="48">
        <v>414.11354893012168</v>
      </c>
      <c r="E5" s="48">
        <v>82.822709786024348</v>
      </c>
      <c r="F5" s="48">
        <v>496.93625871614603</v>
      </c>
      <c r="G5" s="48">
        <v>359.06060331492705</v>
      </c>
      <c r="H5" s="48">
        <v>720.56526772388929</v>
      </c>
      <c r="I5" s="48">
        <v>6110.9220971173991</v>
      </c>
      <c r="J5" s="48">
        <v>-25.464927860336605</v>
      </c>
      <c r="K5" s="48">
        <v>1.4354544635360371</v>
      </c>
      <c r="L5" s="49">
        <v>2.0068068205519376</v>
      </c>
      <c r="M5" s="48">
        <v>6.767472392422401</v>
      </c>
      <c r="N5" s="48">
        <v>0.37135993918466664</v>
      </c>
      <c r="O5" s="48">
        <v>80.150446815631966</v>
      </c>
      <c r="P5" s="48">
        <v>58.166111787340746</v>
      </c>
      <c r="Q5" s="48">
        <v>52.381001287214204</v>
      </c>
      <c r="R5" s="48">
        <v>41.82666727024295</v>
      </c>
      <c r="S5" s="48">
        <v>17.231990224105314</v>
      </c>
      <c r="T5" s="48">
        <v>4.8158051099117989</v>
      </c>
      <c r="U5" s="48">
        <v>1.1770442134292198</v>
      </c>
      <c r="V5" s="48">
        <v>0.98715371414524589</v>
      </c>
      <c r="W5" s="48">
        <v>9.3505370114414319</v>
      </c>
      <c r="X5" s="48">
        <v>32.085997000251993</v>
      </c>
      <c r="Y5" s="48">
        <v>51.096043786557125</v>
      </c>
      <c r="Z5" s="48">
        <v>93.166533065772342</v>
      </c>
      <c r="AA5" s="48"/>
      <c r="AB5" s="48">
        <v>50.473719644628794</v>
      </c>
      <c r="AC5" s="48">
        <v>37.711882921294887</v>
      </c>
      <c r="AD5" s="48">
        <v>29.119015982007237</v>
      </c>
      <c r="AE5" s="48">
        <v>24.848561555052434</v>
      </c>
      <c r="AF5" s="48">
        <v>9.7604234447302822</v>
      </c>
      <c r="AG5" s="48">
        <v>2.4223105289289335</v>
      </c>
      <c r="AH5" s="48">
        <v>0.65318750567847716</v>
      </c>
      <c r="AI5" s="48">
        <v>0.43714644740633002</v>
      </c>
      <c r="AJ5" s="48">
        <v>5.3307678867356287</v>
      </c>
      <c r="AK5" s="48">
        <v>16.487188096867673</v>
      </c>
      <c r="AL5" s="48">
        <v>33.2843245890082</v>
      </c>
      <c r="AM5" s="38">
        <v>59.393711877567149</v>
      </c>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row>
    <row r="6" spans="1:131">
      <c r="A6" s="27" t="s">
        <v>239</v>
      </c>
      <c r="B6" s="27"/>
      <c r="C6" s="48">
        <v>5262.5321950170346</v>
      </c>
      <c r="D6" s="48">
        <v>4101.7368570659019</v>
      </c>
      <c r="E6" s="48">
        <v>820.34737141318044</v>
      </c>
      <c r="F6" s="48">
        <v>4922.0842284790824</v>
      </c>
      <c r="G6" s="48">
        <v>3556.4451207696993</v>
      </c>
      <c r="H6" s="48">
        <v>5323.1664409877594</v>
      </c>
      <c r="I6" s="48">
        <v>8193.2910324622135</v>
      </c>
      <c r="J6" s="48">
        <v>-21.993190139385352</v>
      </c>
      <c r="K6" s="48">
        <v>14.073815422337896</v>
      </c>
      <c r="L6" s="49">
        <v>1.49676608529691</v>
      </c>
      <c r="M6" s="48">
        <v>49.994613317190961</v>
      </c>
      <c r="N6" s="48">
        <v>2.7434166679159997</v>
      </c>
      <c r="O6" s="48">
        <v>592.1103719956626</v>
      </c>
      <c r="P6" s="48">
        <v>429.70138603427654</v>
      </c>
      <c r="Q6" s="48">
        <v>386.96395827987669</v>
      </c>
      <c r="R6" s="48">
        <v>308.99395450272368</v>
      </c>
      <c r="S6" s="48">
        <v>127.30110120647078</v>
      </c>
      <c r="T6" s="48">
        <v>35.576696929060091</v>
      </c>
      <c r="U6" s="48">
        <v>8.6953986503914447</v>
      </c>
      <c r="V6" s="48">
        <v>7.2925850836984241</v>
      </c>
      <c r="W6" s="48">
        <v>69.076969226876329</v>
      </c>
      <c r="X6" s="48">
        <v>237.03488095796368</v>
      </c>
      <c r="Y6" s="48">
        <v>377.47135163898281</v>
      </c>
      <c r="Z6" s="48">
        <v>688.26653802710564</v>
      </c>
      <c r="AA6" s="48"/>
      <c r="AB6" s="48">
        <v>372.87394022309041</v>
      </c>
      <c r="AC6" s="48">
        <v>278.59603922794082</v>
      </c>
      <c r="AD6" s="48">
        <v>215.11634769690716</v>
      </c>
      <c r="AE6" s="48">
        <v>183.56842176767105</v>
      </c>
      <c r="AF6" s="48">
        <v>72.104999863422989</v>
      </c>
      <c r="AG6" s="48">
        <v>17.894787182813186</v>
      </c>
      <c r="AH6" s="48">
        <v>4.8254141097909811</v>
      </c>
      <c r="AI6" s="48">
        <v>3.2294136324123692</v>
      </c>
      <c r="AJ6" s="48">
        <v>39.380977671879471</v>
      </c>
      <c r="AK6" s="48">
        <v>121.79888528450253</v>
      </c>
      <c r="AL6" s="48">
        <v>245.88751026373967</v>
      </c>
      <c r="AM6" s="38">
        <v>438.77026555977534</v>
      </c>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row>
    <row r="7" spans="1:131">
      <c r="A7" s="27" t="s">
        <v>237</v>
      </c>
      <c r="B7" s="27"/>
      <c r="C7" s="48">
        <v>4839.7481812685928</v>
      </c>
      <c r="D7" s="48">
        <v>3865.0968570659024</v>
      </c>
      <c r="E7" s="48">
        <v>773.01937141318058</v>
      </c>
      <c r="F7" s="48">
        <v>4638.1162284790826</v>
      </c>
      <c r="G7" s="48">
        <v>3351.264436901803</v>
      </c>
      <c r="H7" s="48">
        <v>4895.5111620513526</v>
      </c>
      <c r="I7" s="48">
        <v>8395.0438410675488</v>
      </c>
      <c r="J7" s="48">
        <v>-21.656826671771988</v>
      </c>
      <c r="K7" s="48">
        <v>15.298298162320789</v>
      </c>
      <c r="L7" s="49">
        <v>1.4607952473536179</v>
      </c>
      <c r="M7" s="48">
        <v>45.978120400709159</v>
      </c>
      <c r="N7" s="48">
        <v>2.5230146509280265</v>
      </c>
      <c r="O7" s="48">
        <v>544.54110488667561</v>
      </c>
      <c r="P7" s="48">
        <v>395.17981543507727</v>
      </c>
      <c r="Q7" s="48">
        <v>355.8758490969131</v>
      </c>
      <c r="R7" s="48">
        <v>284.16983952013749</v>
      </c>
      <c r="S7" s="48">
        <v>117.07391996972129</v>
      </c>
      <c r="T7" s="48">
        <v>32.718517982844411</v>
      </c>
      <c r="U7" s="48">
        <v>7.9968232486036408</v>
      </c>
      <c r="V7" s="48">
        <v>6.7067096385643437</v>
      </c>
      <c r="W7" s="48">
        <v>63.527428202696086</v>
      </c>
      <c r="X7" s="48">
        <v>217.99185097618368</v>
      </c>
      <c r="Y7" s="48">
        <v>347.14586436270747</v>
      </c>
      <c r="Z7" s="48">
        <v>632.97222747611772</v>
      </c>
      <c r="AA7" s="48"/>
      <c r="AB7" s="48">
        <v>342.91780214587635</v>
      </c>
      <c r="AC7" s="48">
        <v>256.21404757176896</v>
      </c>
      <c r="AD7" s="48">
        <v>197.83422009523281</v>
      </c>
      <c r="AE7" s="48">
        <v>168.82080763888919</v>
      </c>
      <c r="AF7" s="48">
        <v>66.31219135909609</v>
      </c>
      <c r="AG7" s="48">
        <v>16.457146581300549</v>
      </c>
      <c r="AH7" s="48">
        <v>4.4377475132298194</v>
      </c>
      <c r="AI7" s="48">
        <v>2.969967341735412</v>
      </c>
      <c r="AJ7" s="48">
        <v>36.217168465881628</v>
      </c>
      <c r="AK7" s="48">
        <v>112.01374389583283</v>
      </c>
      <c r="AL7" s="48">
        <v>226.13327320304299</v>
      </c>
      <c r="AM7" s="38">
        <v>403.52011466046463</v>
      </c>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row>
    <row r="8" spans="1:131">
      <c r="A8" s="27" t="s">
        <v>228</v>
      </c>
      <c r="B8" s="27"/>
      <c r="C8" s="48">
        <v>4647.967050968954</v>
      </c>
      <c r="D8" s="48">
        <v>4101.7368570659019</v>
      </c>
      <c r="E8" s="48">
        <v>820.34737141318044</v>
      </c>
      <c r="F8" s="48">
        <v>4922.0842284790824</v>
      </c>
      <c r="G8" s="48">
        <v>3556.4451207696993</v>
      </c>
      <c r="H8" s="48">
        <v>4701.5203532554715</v>
      </c>
      <c r="I8" s="48">
        <v>9276.6272584673625</v>
      </c>
      <c r="J8" s="48">
        <v>-20.187045619815759</v>
      </c>
      <c r="K8" s="48">
        <v>20.648824313224956</v>
      </c>
      <c r="L8" s="49">
        <v>1.3219718549285391</v>
      </c>
      <c r="M8" s="48">
        <v>44.156179347323715</v>
      </c>
      <c r="N8" s="48">
        <v>2.423037010894967</v>
      </c>
      <c r="O8" s="48">
        <v>522.96297629850449</v>
      </c>
      <c r="P8" s="48">
        <v>379.52031646174919</v>
      </c>
      <c r="Q8" s="48">
        <v>341.77381939828115</v>
      </c>
      <c r="R8" s="48">
        <v>272.90925095663209</v>
      </c>
      <c r="S8" s="48">
        <v>112.43471812295962</v>
      </c>
      <c r="T8" s="48">
        <v>31.422005411226642</v>
      </c>
      <c r="U8" s="48">
        <v>7.6799390339745974</v>
      </c>
      <c r="V8" s="48">
        <v>6.4409478040843089</v>
      </c>
      <c r="W8" s="48">
        <v>61.010073677331356</v>
      </c>
      <c r="X8" s="48">
        <v>209.3536487370406</v>
      </c>
      <c r="Y8" s="48">
        <v>333.38977132795077</v>
      </c>
      <c r="Z8" s="48">
        <v>607.88990403964692</v>
      </c>
      <c r="AA8" s="48"/>
      <c r="AB8" s="48">
        <v>329.32925141302275</v>
      </c>
      <c r="AC8" s="48">
        <v>246.06124254936395</v>
      </c>
      <c r="AD8" s="48">
        <v>189.99478942223729</v>
      </c>
      <c r="AE8" s="48">
        <v>162.13107005452636</v>
      </c>
      <c r="AF8" s="48">
        <v>63.684487078796131</v>
      </c>
      <c r="AG8" s="48">
        <v>15.805011376191308</v>
      </c>
      <c r="AH8" s="48">
        <v>4.2618961667970501</v>
      </c>
      <c r="AI8" s="48">
        <v>2.852278637195885</v>
      </c>
      <c r="AJ8" s="48">
        <v>34.782017452958755</v>
      </c>
      <c r="AK8" s="48">
        <v>107.57505791283479</v>
      </c>
      <c r="AL8" s="48">
        <v>217.17245683224803</v>
      </c>
      <c r="AM8" s="38">
        <v>387.53012080340011</v>
      </c>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row>
    <row r="9" spans="1:131">
      <c r="A9" s="27" t="s">
        <v>226</v>
      </c>
      <c r="B9" s="27"/>
      <c r="C9" s="48">
        <v>4279.6475547618102</v>
      </c>
      <c r="D9" s="48">
        <v>3865.0968570659024</v>
      </c>
      <c r="E9" s="48">
        <v>773.01937141318058</v>
      </c>
      <c r="F9" s="48">
        <v>4638.1162284790826</v>
      </c>
      <c r="G9" s="48">
        <v>3351.264436901803</v>
      </c>
      <c r="H9" s="48">
        <v>4328.9571253045115</v>
      </c>
      <c r="I9" s="48">
        <v>9493.7486420509886</v>
      </c>
      <c r="J9" s="48">
        <v>-19.825059573722751</v>
      </c>
      <c r="K9" s="48">
        <v>21.96658235841495</v>
      </c>
      <c r="L9" s="49">
        <v>1.2917384488186112</v>
      </c>
      <c r="M9" s="48">
        <v>40.657105116957069</v>
      </c>
      <c r="N9" s="48">
        <v>2.2310279537399578</v>
      </c>
      <c r="O9" s="48">
        <v>481.52174879989326</v>
      </c>
      <c r="P9" s="48">
        <v>349.44593550622443</v>
      </c>
      <c r="Q9" s="48">
        <v>314.69058933292945</v>
      </c>
      <c r="R9" s="48">
        <v>251.28306541780367</v>
      </c>
      <c r="S9" s="48">
        <v>103.52503819598863</v>
      </c>
      <c r="T9" s="48">
        <v>28.932027088237351</v>
      </c>
      <c r="U9" s="48">
        <v>7.0713565623528556</v>
      </c>
      <c r="V9" s="48">
        <v>5.9305468859447776</v>
      </c>
      <c r="W9" s="48">
        <v>56.175443966324501</v>
      </c>
      <c r="X9" s="48">
        <v>192.76380857974442</v>
      </c>
      <c r="Y9" s="48">
        <v>306.97091954402362</v>
      </c>
      <c r="Z9" s="48">
        <v>559.71880025382802</v>
      </c>
      <c r="AA9" s="48"/>
      <c r="AB9" s="48">
        <v>303.23216797061036</v>
      </c>
      <c r="AC9" s="48">
        <v>226.56257745598893</v>
      </c>
      <c r="AD9" s="48">
        <v>174.93900603250941</v>
      </c>
      <c r="AE9" s="48">
        <v>149.28329523444467</v>
      </c>
      <c r="AF9" s="48">
        <v>58.637928456530794</v>
      </c>
      <c r="AG9" s="48">
        <v>14.552572672605102</v>
      </c>
      <c r="AH9" s="48">
        <v>3.9241701390889565</v>
      </c>
      <c r="AI9" s="48">
        <v>2.6262551264493146</v>
      </c>
      <c r="AJ9" s="48">
        <v>32.025781230786919</v>
      </c>
      <c r="AK9" s="48">
        <v>99.050472712376092</v>
      </c>
      <c r="AL9" s="48">
        <v>199.96302978309413</v>
      </c>
      <c r="AM9" s="38">
        <v>356.8210178140306</v>
      </c>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row>
    <row r="10" spans="1:131">
      <c r="A10" s="27" t="s">
        <v>245</v>
      </c>
      <c r="B10" s="27"/>
      <c r="C10" s="48">
        <v>400.26430403812111</v>
      </c>
      <c r="D10" s="48">
        <v>414.11354893012162</v>
      </c>
      <c r="E10" s="48">
        <v>82.822709786024333</v>
      </c>
      <c r="F10" s="48">
        <v>496.93625871614597</v>
      </c>
      <c r="G10" s="48">
        <v>359.06060331492699</v>
      </c>
      <c r="H10" s="48">
        <v>404.87609991223076</v>
      </c>
      <c r="I10" s="48">
        <v>10875.717825536709</v>
      </c>
      <c r="J10" s="48">
        <v>-17.521032433255865</v>
      </c>
      <c r="K10" s="48">
        <v>30.354061194839794</v>
      </c>
      <c r="L10" s="49">
        <v>1.1275982276371312</v>
      </c>
      <c r="M10" s="48">
        <v>3.8025532887016733</v>
      </c>
      <c r="N10" s="48">
        <v>0.20866224140343231</v>
      </c>
      <c r="O10" s="48">
        <v>45.035476682690344</v>
      </c>
      <c r="P10" s="48">
        <v>32.682769406728355</v>
      </c>
      <c r="Q10" s="48">
        <v>29.43219228100704</v>
      </c>
      <c r="R10" s="48">
        <v>23.501851498054204</v>
      </c>
      <c r="S10" s="48">
        <v>9.6824275442802321</v>
      </c>
      <c r="T10" s="48">
        <v>2.7059372386869178</v>
      </c>
      <c r="U10" s="48">
        <v>0.66136558602501494</v>
      </c>
      <c r="V10" s="48">
        <v>0.5546686243419523</v>
      </c>
      <c r="W10" s="48">
        <v>5.2539431566496795</v>
      </c>
      <c r="X10" s="48">
        <v>18.028697619985032</v>
      </c>
      <c r="Y10" s="48">
        <v>28.710191645225134</v>
      </c>
      <c r="Z10" s="48">
        <v>52.349043507420241</v>
      </c>
      <c r="AA10" s="48"/>
      <c r="AB10" s="48">
        <v>28.360515935402113</v>
      </c>
      <c r="AC10" s="48">
        <v>21.189808559259156</v>
      </c>
      <c r="AD10" s="48">
        <v>16.361590201700668</v>
      </c>
      <c r="AE10" s="48">
        <v>13.962078303632175</v>
      </c>
      <c r="AF10" s="48">
        <v>5.4842529258689696</v>
      </c>
      <c r="AG10" s="48">
        <v>1.3610642694825026</v>
      </c>
      <c r="AH10" s="48">
        <v>0.36701742597984521</v>
      </c>
      <c r="AI10" s="48">
        <v>0.24562681084454127</v>
      </c>
      <c r="AJ10" s="48">
        <v>2.9952880164991753</v>
      </c>
      <c r="AK10" s="48">
        <v>9.2639330733562488</v>
      </c>
      <c r="AL10" s="48">
        <v>18.702022053294733</v>
      </c>
      <c r="AM10" s="38">
        <v>33.372541671706884</v>
      </c>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row>
    <row r="11" spans="1:131">
      <c r="A11" s="27" t="s">
        <v>1674</v>
      </c>
      <c r="B11" s="27"/>
      <c r="C11" s="48">
        <v>216.91838694515957</v>
      </c>
      <c r="D11" s="48">
        <v>239.1087012654321</v>
      </c>
      <c r="E11" s="48">
        <v>47.821740253086425</v>
      </c>
      <c r="F11" s="48">
        <v>286.93044151851853</v>
      </c>
      <c r="G11" s="48">
        <v>207.32119187122265</v>
      </c>
      <c r="H11" s="48">
        <v>219.41769380774934</v>
      </c>
      <c r="I11" s="48">
        <v>11587.356438980334</v>
      </c>
      <c r="J11" s="48">
        <v>-16.334584356720111</v>
      </c>
      <c r="K11" s="48">
        <v>34.673154471859185</v>
      </c>
      <c r="L11" s="49">
        <v>1.0583466737160203</v>
      </c>
      <c r="M11" s="48">
        <v>2.0607476543289787</v>
      </c>
      <c r="N11" s="48">
        <v>0.11308197199938973</v>
      </c>
      <c r="O11" s="48">
        <v>24.406430597880984</v>
      </c>
      <c r="P11" s="48">
        <v>17.712030648461027</v>
      </c>
      <c r="Q11" s="48">
        <v>15.950419783743135</v>
      </c>
      <c r="R11" s="48">
        <v>12.736543493264064</v>
      </c>
      <c r="S11" s="48">
        <v>5.2472742221315309</v>
      </c>
      <c r="T11" s="48">
        <v>1.4664498809139441</v>
      </c>
      <c r="U11" s="48">
        <v>0.35841906124090217</v>
      </c>
      <c r="V11" s="48">
        <v>0.30059593640378163</v>
      </c>
      <c r="W11" s="48">
        <v>2.8473107972512723</v>
      </c>
      <c r="X11" s="48">
        <v>9.7704341031538284</v>
      </c>
      <c r="Y11" s="48">
        <v>15.559140292399148</v>
      </c>
      <c r="Z11" s="48">
        <v>28.369929472077239</v>
      </c>
      <c r="AA11" s="48"/>
      <c r="AB11" s="48">
        <v>15.369637780775005</v>
      </c>
      <c r="AC11" s="48">
        <v>11.483559852775345</v>
      </c>
      <c r="AD11" s="48">
        <v>8.8669654490914045</v>
      </c>
      <c r="AE11" s="48">
        <v>7.5665790665596173</v>
      </c>
      <c r="AF11" s="48">
        <v>2.9721243845053644</v>
      </c>
      <c r="AG11" s="48">
        <v>0.73761227990172673</v>
      </c>
      <c r="AH11" s="48">
        <v>0.19890064445199743</v>
      </c>
      <c r="AI11" s="48">
        <v>0.13311447226582376</v>
      </c>
      <c r="AJ11" s="48">
        <v>1.6232600269877855</v>
      </c>
      <c r="AK11" s="48">
        <v>5.0204762172570998</v>
      </c>
      <c r="AL11" s="48">
        <v>10.135334116696864</v>
      </c>
      <c r="AM11" s="38">
        <v>18.085844364970711</v>
      </c>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row>
    <row r="12" spans="1:131">
      <c r="A12" s="27" t="s">
        <v>1672</v>
      </c>
      <c r="B12" s="27"/>
      <c r="C12" s="48">
        <v>214.28987369126358</v>
      </c>
      <c r="D12" s="48">
        <v>239.1087012654321</v>
      </c>
      <c r="E12" s="48">
        <v>47.821740253086425</v>
      </c>
      <c r="F12" s="48">
        <v>286.93044151851853</v>
      </c>
      <c r="G12" s="48">
        <v>207.32119187122265</v>
      </c>
      <c r="H12" s="48">
        <v>216.75889514879202</v>
      </c>
      <c r="I12" s="48">
        <v>11729.488773340465</v>
      </c>
      <c r="J12" s="48">
        <v>-16.097620493982117</v>
      </c>
      <c r="K12" s="48">
        <v>35.535787271970072</v>
      </c>
      <c r="L12" s="49">
        <v>1.0455221349654964</v>
      </c>
      <c r="M12" s="48">
        <v>2.0357764999763108</v>
      </c>
      <c r="N12" s="48">
        <v>0.11171169875347886</v>
      </c>
      <c r="O12" s="48">
        <v>24.110685146283828</v>
      </c>
      <c r="P12" s="48">
        <v>17.497404733302151</v>
      </c>
      <c r="Q12" s="48">
        <v>15.757140226407254</v>
      </c>
      <c r="R12" s="48">
        <v>12.582208151514859</v>
      </c>
      <c r="S12" s="48">
        <v>5.1836902630493231</v>
      </c>
      <c r="T12" s="48">
        <v>1.4486801427076068</v>
      </c>
      <c r="U12" s="48">
        <v>0.35407591050025583</v>
      </c>
      <c r="V12" s="48">
        <v>0.29695345863123401</v>
      </c>
      <c r="W12" s="48">
        <v>2.8128084469713572</v>
      </c>
      <c r="X12" s="48">
        <v>9.6520406562075802</v>
      </c>
      <c r="Y12" s="48">
        <v>15.370602072777693</v>
      </c>
      <c r="Z12" s="48">
        <v>28.026156236992737</v>
      </c>
      <c r="AA12" s="48"/>
      <c r="AB12" s="48">
        <v>15.183395861944209</v>
      </c>
      <c r="AC12" s="48">
        <v>11.344407567438838</v>
      </c>
      <c r="AD12" s="48">
        <v>8.759519803136703</v>
      </c>
      <c r="AE12" s="48">
        <v>7.4748908807714196</v>
      </c>
      <c r="AF12" s="48">
        <v>2.9361096028774938</v>
      </c>
      <c r="AG12" s="48">
        <v>0.72867424711777329</v>
      </c>
      <c r="AH12" s="48">
        <v>0.1964904615831625</v>
      </c>
      <c r="AI12" s="48">
        <v>0.13150145476387937</v>
      </c>
      <c r="AJ12" s="48">
        <v>1.6035901384387079</v>
      </c>
      <c r="AK12" s="48">
        <v>4.9596404879131128</v>
      </c>
      <c r="AL12" s="48">
        <v>10.012518985930022</v>
      </c>
      <c r="AM12" s="38">
        <v>17.866688754002407</v>
      </c>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row>
    <row r="13" spans="1:131">
      <c r="A13" s="27" t="s">
        <v>240</v>
      </c>
      <c r="B13" s="27"/>
      <c r="C13" s="48">
        <v>3104.8660353810656</v>
      </c>
      <c r="D13" s="48">
        <v>4101.7368570659019</v>
      </c>
      <c r="E13" s="48">
        <v>820.34737141318044</v>
      </c>
      <c r="F13" s="48">
        <v>4922.0842284790824</v>
      </c>
      <c r="G13" s="48">
        <v>3556.4451207696993</v>
      </c>
      <c r="H13" s="48">
        <v>3140.6399183558233</v>
      </c>
      <c r="I13" s="48">
        <v>13887.059006777688</v>
      </c>
      <c r="J13" s="48">
        <v>-12.500506727114839</v>
      </c>
      <c r="K13" s="48">
        <v>48.630561661519231</v>
      </c>
      <c r="L13" s="50">
        <v>0.88308403805092717</v>
      </c>
      <c r="M13" s="48">
        <v>29.496556237230543</v>
      </c>
      <c r="N13" s="48">
        <v>1.618601258378261</v>
      </c>
      <c r="O13" s="48">
        <v>349.34197361242559</v>
      </c>
      <c r="P13" s="48">
        <v>253.52153476938005</v>
      </c>
      <c r="Q13" s="48">
        <v>228.30667945698255</v>
      </c>
      <c r="R13" s="48">
        <v>182.30479148080227</v>
      </c>
      <c r="S13" s="48">
        <v>75.106973364806038</v>
      </c>
      <c r="T13" s="48">
        <v>20.990062170199604</v>
      </c>
      <c r="U13" s="48">
        <v>5.1302390053333173</v>
      </c>
      <c r="V13" s="48">
        <v>4.3025864540917134</v>
      </c>
      <c r="W13" s="48">
        <v>40.755044839948411</v>
      </c>
      <c r="X13" s="48">
        <v>139.84932040583806</v>
      </c>
      <c r="Y13" s="48">
        <v>222.70609197279543</v>
      </c>
      <c r="Z13" s="48">
        <v>406.07360069609103</v>
      </c>
      <c r="AA13" s="48"/>
      <c r="AB13" s="48">
        <v>219.99364366333072</v>
      </c>
      <c r="AC13" s="48">
        <v>164.37018297191139</v>
      </c>
      <c r="AD13" s="48">
        <v>126.91750223433814</v>
      </c>
      <c r="AE13" s="48">
        <v>108.30439354929271</v>
      </c>
      <c r="AF13" s="48">
        <v>42.541566827673108</v>
      </c>
      <c r="AG13" s="48">
        <v>10.557829363381071</v>
      </c>
      <c r="AH13" s="48">
        <v>2.8469686874932423</v>
      </c>
      <c r="AI13" s="48">
        <v>1.9053368853435209</v>
      </c>
      <c r="AJ13" s="48">
        <v>23.234567596431187</v>
      </c>
      <c r="AK13" s="48">
        <v>71.860695203956368</v>
      </c>
      <c r="AL13" s="48">
        <v>145.07232466248641</v>
      </c>
      <c r="AM13" s="38">
        <v>258.87212550673377</v>
      </c>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row>
    <row r="14" spans="1:131">
      <c r="A14" s="27" t="s">
        <v>250</v>
      </c>
      <c r="B14" s="27"/>
      <c r="C14" s="48">
        <v>3053.755125217408</v>
      </c>
      <c r="D14" s="48">
        <v>4101.7368570659019</v>
      </c>
      <c r="E14" s="48">
        <v>820.34737141318044</v>
      </c>
      <c r="F14" s="48">
        <v>4922.0842284790824</v>
      </c>
      <c r="G14" s="48">
        <v>3556.4451207696993</v>
      </c>
      <c r="H14" s="48">
        <v>3088.9401145980187</v>
      </c>
      <c r="I14" s="48">
        <v>14119.487671234632</v>
      </c>
      <c r="J14" s="48">
        <v>-12.113000292434085</v>
      </c>
      <c r="K14" s="48">
        <v>50.04122300433869</v>
      </c>
      <c r="L14" s="50">
        <v>0.86854710524241086</v>
      </c>
      <c r="M14" s="48">
        <v>29.010997176453444</v>
      </c>
      <c r="N14" s="48">
        <v>1.5919565714368482</v>
      </c>
      <c r="O14" s="48">
        <v>343.59126294528789</v>
      </c>
      <c r="P14" s="48">
        <v>249.34817712995456</v>
      </c>
      <c r="Q14" s="48">
        <v>224.54839744078066</v>
      </c>
      <c r="R14" s="48">
        <v>179.30377188330584</v>
      </c>
      <c r="S14" s="48">
        <v>73.87059610260907</v>
      </c>
      <c r="T14" s="48">
        <v>20.644533194171178</v>
      </c>
      <c r="U14" s="48">
        <v>5.0457873150086172</v>
      </c>
      <c r="V14" s="48">
        <v>4.2317592083360163</v>
      </c>
      <c r="W14" s="48">
        <v>40.084153596399226</v>
      </c>
      <c r="X14" s="48">
        <v>137.54718370484701</v>
      </c>
      <c r="Y14" s="48">
        <v>219.04000431232612</v>
      </c>
      <c r="Z14" s="48">
        <v>399.38899946418525</v>
      </c>
      <c r="AA14" s="48"/>
      <c r="AB14" s="48">
        <v>216.37220710867044</v>
      </c>
      <c r="AC14" s="48">
        <v>161.6643948445888</v>
      </c>
      <c r="AD14" s="48">
        <v>124.82824331592595</v>
      </c>
      <c r="AE14" s="48">
        <v>106.52153526621451</v>
      </c>
      <c r="AF14" s="48">
        <v>41.841266661555451</v>
      </c>
      <c r="AG14" s="48">
        <v>10.384031118314834</v>
      </c>
      <c r="AH14" s="48">
        <v>2.8001031676392256</v>
      </c>
      <c r="AI14" s="48">
        <v>1.8739720852946378</v>
      </c>
      <c r="AJ14" s="48">
        <v>22.852090580166983</v>
      </c>
      <c r="AK14" s="48">
        <v>70.677756714819068</v>
      </c>
      <c r="AL14" s="48">
        <v>142.68420921126784</v>
      </c>
      <c r="AM14" s="38">
        <v>254.61068884573922</v>
      </c>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row>
    <row r="15" spans="1:131">
      <c r="A15" s="27" t="s">
        <v>248</v>
      </c>
      <c r="B15" s="27"/>
      <c r="C15" s="48">
        <v>2829.0013451773661</v>
      </c>
      <c r="D15" s="48">
        <v>3865.0968570659024</v>
      </c>
      <c r="E15" s="48">
        <v>773.01937141318058</v>
      </c>
      <c r="F15" s="48">
        <v>4638.1162284790826</v>
      </c>
      <c r="G15" s="48">
        <v>3351.264436901803</v>
      </c>
      <c r="H15" s="48">
        <v>2861.5967492639033</v>
      </c>
      <c r="I15" s="48">
        <v>14361.922531687396</v>
      </c>
      <c r="J15" s="48">
        <v>-11.708811469012131</v>
      </c>
      <c r="K15" s="48">
        <v>51.512614179741284</v>
      </c>
      <c r="L15" s="50">
        <v>0.85388569095114719</v>
      </c>
      <c r="M15" s="48">
        <v>26.875812457713195</v>
      </c>
      <c r="N15" s="48">
        <v>1.4747899217158611</v>
      </c>
      <c r="O15" s="48">
        <v>318.30323821207105</v>
      </c>
      <c r="P15" s="48">
        <v>230.99636336032185</v>
      </c>
      <c r="Q15" s="48">
        <v>208.02182636440591</v>
      </c>
      <c r="R15" s="48">
        <v>166.10716676804097</v>
      </c>
      <c r="S15" s="48">
        <v>68.433783055364302</v>
      </c>
      <c r="T15" s="48">
        <v>19.125113108966488</v>
      </c>
      <c r="U15" s="48">
        <v>4.6744216599954163</v>
      </c>
      <c r="V15" s="48">
        <v>3.9203053296544166</v>
      </c>
      <c r="W15" s="48">
        <v>37.13399398271541</v>
      </c>
      <c r="X15" s="48">
        <v>127.42382796612334</v>
      </c>
      <c r="Y15" s="48">
        <v>202.91884628539441</v>
      </c>
      <c r="Z15" s="48">
        <v>369.99430877837091</v>
      </c>
      <c r="AA15" s="48"/>
      <c r="AB15" s="48">
        <v>200.44739668700365</v>
      </c>
      <c r="AC15" s="48">
        <v>149.76603287733039</v>
      </c>
      <c r="AD15" s="48">
        <v>115.64099077254623</v>
      </c>
      <c r="AE15" s="48">
        <v>98.681640865694789</v>
      </c>
      <c r="AF15" s="48">
        <v>38.761785020676179</v>
      </c>
      <c r="AG15" s="48">
        <v>9.6197752594798764</v>
      </c>
      <c r="AH15" s="48">
        <v>2.5940179559495009</v>
      </c>
      <c r="AI15" s="48">
        <v>1.7360493336039615</v>
      </c>
      <c r="AJ15" s="48">
        <v>21.170196148849637</v>
      </c>
      <c r="AK15" s="48">
        <v>65.475933931050463</v>
      </c>
      <c r="AL15" s="48">
        <v>132.18277276423984</v>
      </c>
      <c r="AM15" s="38">
        <v>235.87155868951729</v>
      </c>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row>
    <row r="16" spans="1:131">
      <c r="A16" s="27" t="s">
        <v>238</v>
      </c>
      <c r="B16" s="27"/>
      <c r="C16" s="48">
        <v>2682.0820216326224</v>
      </c>
      <c r="D16" s="48">
        <v>3865.0968570659024</v>
      </c>
      <c r="E16" s="48">
        <v>773.01937141318058</v>
      </c>
      <c r="F16" s="48">
        <v>4638.1162284790826</v>
      </c>
      <c r="G16" s="48">
        <v>3351.264436901803</v>
      </c>
      <c r="H16" s="48">
        <v>2712.9846394194201</v>
      </c>
      <c r="I16" s="48">
        <v>15148.641180162253</v>
      </c>
      <c r="J16" s="48">
        <v>-10.397189517048234</v>
      </c>
      <c r="K16" s="48">
        <v>56.287384914975831</v>
      </c>
      <c r="L16" s="50">
        <v>0.80954060489703894</v>
      </c>
      <c r="M16" s="48">
        <v>25.480063320748705</v>
      </c>
      <c r="N16" s="48">
        <v>1.3981992413902868</v>
      </c>
      <c r="O16" s="48">
        <v>301.77270650343843</v>
      </c>
      <c r="P16" s="48">
        <v>218.99996417018062</v>
      </c>
      <c r="Q16" s="48">
        <v>197.21857027401884</v>
      </c>
      <c r="R16" s="48">
        <v>157.48067649821593</v>
      </c>
      <c r="S16" s="48">
        <v>64.879792128056522</v>
      </c>
      <c r="T16" s="48">
        <v>18.131883223983913</v>
      </c>
      <c r="U16" s="48">
        <v>4.4316636035455117</v>
      </c>
      <c r="V16" s="48">
        <v>3.7167110089576307</v>
      </c>
      <c r="W16" s="48">
        <v>35.205503815768147</v>
      </c>
      <c r="X16" s="48">
        <v>120.80629042405799</v>
      </c>
      <c r="Y16" s="48">
        <v>192.38060469651995</v>
      </c>
      <c r="Z16" s="48">
        <v>350.77929014510295</v>
      </c>
      <c r="AA16" s="48"/>
      <c r="AB16" s="48">
        <v>190.03750558611657</v>
      </c>
      <c r="AC16" s="48">
        <v>141.98819131573947</v>
      </c>
      <c r="AD16" s="48">
        <v>109.63537463266375</v>
      </c>
      <c r="AE16" s="48">
        <v>93.556779420510779</v>
      </c>
      <c r="AF16" s="48">
        <v>36.748758323346181</v>
      </c>
      <c r="AG16" s="48">
        <v>9.1201887618684268</v>
      </c>
      <c r="AH16" s="48">
        <v>2.4593020909320789</v>
      </c>
      <c r="AI16" s="48">
        <v>1.6458905946665627</v>
      </c>
      <c r="AJ16" s="48">
        <v>20.07075839043333</v>
      </c>
      <c r="AK16" s="48">
        <v>62.075553815286639</v>
      </c>
      <c r="AL16" s="48">
        <v>125.31808760178966</v>
      </c>
      <c r="AM16" s="38">
        <v>223.62197460742294</v>
      </c>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row>
    <row r="17" spans="1:131">
      <c r="A17" s="27" t="s">
        <v>229</v>
      </c>
      <c r="B17" s="27"/>
      <c r="C17" s="48">
        <v>2719.7023128601013</v>
      </c>
      <c r="D17" s="48">
        <v>4101.7368570659019</v>
      </c>
      <c r="E17" s="48">
        <v>820.34737141318044</v>
      </c>
      <c r="F17" s="48">
        <v>4922.0842284790824</v>
      </c>
      <c r="G17" s="48">
        <v>3556.4451207696993</v>
      </c>
      <c r="H17" s="48">
        <v>2751.0383869959041</v>
      </c>
      <c r="I17" s="48">
        <v>15853.741653119916</v>
      </c>
      <c r="J17" s="48">
        <v>-9.2216418667360607</v>
      </c>
      <c r="K17" s="48">
        <v>60.56679676088163</v>
      </c>
      <c r="L17" s="50">
        <v>0.77353601519950177</v>
      </c>
      <c r="M17" s="48">
        <v>25.83746007255937</v>
      </c>
      <c r="N17" s="48">
        <v>1.4178111183690243</v>
      </c>
      <c r="O17" s="48">
        <v>306.00552899417386</v>
      </c>
      <c r="P17" s="48">
        <v>222.07177269968804</v>
      </c>
      <c r="Q17" s="48">
        <v>199.98486153183026</v>
      </c>
      <c r="R17" s="48">
        <v>159.68958318517733</v>
      </c>
      <c r="S17" s="48">
        <v>65.789830171244333</v>
      </c>
      <c r="T17" s="48">
        <v>18.386210542047696</v>
      </c>
      <c r="U17" s="48">
        <v>4.4938244450272027</v>
      </c>
      <c r="V17" s="48">
        <v>3.7688435498111907</v>
      </c>
      <c r="W17" s="48">
        <v>35.699314704352794</v>
      </c>
      <c r="X17" s="48">
        <v>122.50078290833255</v>
      </c>
      <c r="Y17" s="48">
        <v>195.07903610794861</v>
      </c>
      <c r="Z17" s="48">
        <v>355.69950471922476</v>
      </c>
      <c r="AA17" s="48"/>
      <c r="AB17" s="48">
        <v>192.70307145868503</v>
      </c>
      <c r="AC17" s="48">
        <v>143.9797922679391</v>
      </c>
      <c r="AD17" s="48">
        <v>111.17317798440611</v>
      </c>
      <c r="AE17" s="48">
        <v>94.869055950354621</v>
      </c>
      <c r="AF17" s="48">
        <v>37.264215710264935</v>
      </c>
      <c r="AG17" s="48">
        <v>9.2481133199183745</v>
      </c>
      <c r="AH17" s="48">
        <v>2.4937975538340278</v>
      </c>
      <c r="AI17" s="48">
        <v>1.6689767206688664</v>
      </c>
      <c r="AJ17" s="48">
        <v>20.352281389996495</v>
      </c>
      <c r="AK17" s="48">
        <v>62.946258138943591</v>
      </c>
      <c r="AL17" s="48">
        <v>127.07586492314846</v>
      </c>
      <c r="AM17" s="38">
        <v>226.75861388308317</v>
      </c>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row>
    <row r="18" spans="1:131">
      <c r="A18" s="27" t="s">
        <v>235</v>
      </c>
      <c r="B18" s="27"/>
      <c r="C18" s="48">
        <v>274.47530845276236</v>
      </c>
      <c r="D18" s="48">
        <v>436.41697398915824</v>
      </c>
      <c r="E18" s="48">
        <v>87.283394797831647</v>
      </c>
      <c r="F18" s="48">
        <v>523.70036878698988</v>
      </c>
      <c r="G18" s="48">
        <v>378.39897386178944</v>
      </c>
      <c r="H18" s="48">
        <v>277.6377790560536</v>
      </c>
      <c r="I18" s="48">
        <v>16714.127243119819</v>
      </c>
      <c r="J18" s="48">
        <v>-7.7872019571381239</v>
      </c>
      <c r="K18" s="48">
        <v>65.788668575046941</v>
      </c>
      <c r="L18" s="50">
        <v>0.73371705061087467</v>
      </c>
      <c r="M18" s="48">
        <v>2.607544505705047</v>
      </c>
      <c r="N18" s="48">
        <v>0.1430870364752716</v>
      </c>
      <c r="O18" s="48">
        <v>30.882410020308349</v>
      </c>
      <c r="P18" s="48">
        <v>22.41172426194645</v>
      </c>
      <c r="Q18" s="48">
        <v>20.182689221272732</v>
      </c>
      <c r="R18" s="48">
        <v>16.116046007752619</v>
      </c>
      <c r="S18" s="48">
        <v>6.6395810467643663</v>
      </c>
      <c r="T18" s="48">
        <v>1.855556318036474</v>
      </c>
      <c r="U18" s="48">
        <v>0.45352163905919812</v>
      </c>
      <c r="V18" s="48">
        <v>0.38035578046656671</v>
      </c>
      <c r="W18" s="48">
        <v>3.6028135758450182</v>
      </c>
      <c r="X18" s="48">
        <v>12.362911931751192</v>
      </c>
      <c r="Y18" s="48">
        <v>19.68758799638195</v>
      </c>
      <c r="Z18" s="48">
        <v>35.897579971402571</v>
      </c>
      <c r="AA18" s="48"/>
      <c r="AB18" s="48">
        <v>19.447803065915178</v>
      </c>
      <c r="AC18" s="48">
        <v>14.530596862326544</v>
      </c>
      <c r="AD18" s="48">
        <v>11.219717751702827</v>
      </c>
      <c r="AE18" s="48">
        <v>9.574288065083314</v>
      </c>
      <c r="AF18" s="48">
        <v>3.7607450833724259</v>
      </c>
      <c r="AG18" s="48">
        <v>0.93332963099968058</v>
      </c>
      <c r="AH18" s="48">
        <v>0.25167675505173875</v>
      </c>
      <c r="AI18" s="48">
        <v>0.16843494158900277</v>
      </c>
      <c r="AJ18" s="48">
        <v>2.0539743213153829</v>
      </c>
      <c r="AK18" s="48">
        <v>6.3526046718196341</v>
      </c>
      <c r="AL18" s="48">
        <v>12.824634172922766</v>
      </c>
      <c r="AM18" s="38">
        <v>22.884725359676391</v>
      </c>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row>
    <row r="19" spans="1:131">
      <c r="A19" s="27" t="s">
        <v>219</v>
      </c>
      <c r="B19" s="27"/>
      <c r="C19" s="48">
        <v>295.10011901769491</v>
      </c>
      <c r="D19" s="48">
        <v>478.21740253086421</v>
      </c>
      <c r="E19" s="48">
        <v>95.64348050617285</v>
      </c>
      <c r="F19" s="48">
        <v>573.86088303703707</v>
      </c>
      <c r="G19" s="48">
        <v>414.6423837424453</v>
      </c>
      <c r="H19" s="48">
        <v>298.50022614092558</v>
      </c>
      <c r="I19" s="48">
        <v>17034.968851039375</v>
      </c>
      <c r="J19" s="48">
        <v>-7.2522929437742274</v>
      </c>
      <c r="K19" s="48">
        <v>67.735927767529191</v>
      </c>
      <c r="L19" s="50">
        <v>0.7198980081262959</v>
      </c>
      <c r="M19" s="48">
        <v>2.8034823908757027</v>
      </c>
      <c r="N19" s="48">
        <v>0.15383898002252869</v>
      </c>
      <c r="O19" s="48">
        <v>33.202997107168493</v>
      </c>
      <c r="P19" s="48">
        <v>24.095801310413268</v>
      </c>
      <c r="Q19" s="48">
        <v>21.699270600582103</v>
      </c>
      <c r="R19" s="48">
        <v>17.327048913038869</v>
      </c>
      <c r="S19" s="48">
        <v>7.1384969678064927</v>
      </c>
      <c r="T19" s="48">
        <v>1.9949877946519832</v>
      </c>
      <c r="U19" s="48">
        <v>0.48760047094182435</v>
      </c>
      <c r="V19" s="48">
        <v>0.40893673357168042</v>
      </c>
      <c r="W19" s="48">
        <v>3.8735386473330395</v>
      </c>
      <c r="X19" s="48">
        <v>13.291894280147734</v>
      </c>
      <c r="Y19" s="48">
        <v>21.166966142251493</v>
      </c>
      <c r="Z19" s="48">
        <v>38.595020374414688</v>
      </c>
      <c r="AA19" s="48"/>
      <c r="AB19" s="48">
        <v>20.909163129229018</v>
      </c>
      <c r="AC19" s="48">
        <v>15.622464868123743</v>
      </c>
      <c r="AD19" s="48">
        <v>12.062797424425764</v>
      </c>
      <c r="AE19" s="48">
        <v>10.293725739639831</v>
      </c>
      <c r="AF19" s="48">
        <v>4.0433375517616428</v>
      </c>
      <c r="AG19" s="48">
        <v>1.0034625217960114</v>
      </c>
      <c r="AH19" s="48">
        <v>0.27058842118957782</v>
      </c>
      <c r="AI19" s="48">
        <v>0.18109159468603911</v>
      </c>
      <c r="AJ19" s="48">
        <v>2.2083154586700253</v>
      </c>
      <c r="AK19" s="48">
        <v>6.8299564186443744</v>
      </c>
      <c r="AL19" s="48">
        <v>13.788311568431055</v>
      </c>
      <c r="AM19" s="38">
        <v>24.604344978776169</v>
      </c>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row>
    <row r="20" spans="1:131">
      <c r="A20" s="27" t="s">
        <v>230</v>
      </c>
      <c r="B20" s="27"/>
      <c r="C20" s="48">
        <v>291.70698270576145</v>
      </c>
      <c r="D20" s="48">
        <v>478.21740253086421</v>
      </c>
      <c r="E20" s="48">
        <v>95.64348050617285</v>
      </c>
      <c r="F20" s="48">
        <v>573.86088303703707</v>
      </c>
      <c r="G20" s="48">
        <v>414.6423837424453</v>
      </c>
      <c r="H20" s="48">
        <v>295.0679945314954</v>
      </c>
      <c r="I20" s="48">
        <v>17233.119648956406</v>
      </c>
      <c r="J20" s="48">
        <v>-6.9219347695387503</v>
      </c>
      <c r="K20" s="48">
        <v>68.938549102223377</v>
      </c>
      <c r="L20" s="50">
        <v>0.71162043751604653</v>
      </c>
      <c r="M20" s="48">
        <v>2.7712472364745082</v>
      </c>
      <c r="N20" s="48">
        <v>0.15207010025710255</v>
      </c>
      <c r="O20" s="48">
        <v>32.821220591712056</v>
      </c>
      <c r="P20" s="48">
        <v>23.818741651258762</v>
      </c>
      <c r="Q20" s="48">
        <v>21.449766861775107</v>
      </c>
      <c r="R20" s="48">
        <v>17.127818092525533</v>
      </c>
      <c r="S20" s="48">
        <v>7.0564167119437746</v>
      </c>
      <c r="T20" s="48">
        <v>1.972048916990969</v>
      </c>
      <c r="U20" s="48">
        <v>0.48199391656571672</v>
      </c>
      <c r="V20" s="48">
        <v>0.40423467487856846</v>
      </c>
      <c r="W20" s="48">
        <v>3.8289997136189693</v>
      </c>
      <c r="X20" s="48">
        <v>13.139060695103856</v>
      </c>
      <c r="Y20" s="48">
        <v>20.923582975650895</v>
      </c>
      <c r="Z20" s="48">
        <v>38.151245002421753</v>
      </c>
      <c r="AA20" s="48"/>
      <c r="AB20" s="48">
        <v>20.668744247318394</v>
      </c>
      <c r="AC20" s="48">
        <v>15.442833789009345</v>
      </c>
      <c r="AD20" s="48">
        <v>11.924096308002756</v>
      </c>
      <c r="AE20" s="48">
        <v>10.175365859919953</v>
      </c>
      <c r="AF20" s="48">
        <v>3.9968462270073348</v>
      </c>
      <c r="AG20" s="48">
        <v>0.99192445420151421</v>
      </c>
      <c r="AH20" s="48">
        <v>0.26747712662086215</v>
      </c>
      <c r="AI20" s="48">
        <v>0.17900935741768245</v>
      </c>
      <c r="AJ20" s="48">
        <v>2.1829236852069727</v>
      </c>
      <c r="AK20" s="48">
        <v>6.7514238405818237</v>
      </c>
      <c r="AL20" s="48">
        <v>13.629770051000186</v>
      </c>
      <c r="AM20" s="38">
        <v>24.321437955028692</v>
      </c>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row>
    <row r="21" spans="1:131">
      <c r="A21" s="27" t="s">
        <v>227</v>
      </c>
      <c r="B21" s="27"/>
      <c r="C21" s="48">
        <v>2351.3828166529579</v>
      </c>
      <c r="D21" s="48">
        <v>3865.0968570659024</v>
      </c>
      <c r="E21" s="48">
        <v>773.01937141318058</v>
      </c>
      <c r="F21" s="48">
        <v>4638.1162284790826</v>
      </c>
      <c r="G21" s="48">
        <v>3351.264436901803</v>
      </c>
      <c r="H21" s="48">
        <v>2378.4751590449468</v>
      </c>
      <c r="I21" s="48">
        <v>17279.150750667988</v>
      </c>
      <c r="J21" s="48">
        <v>-6.8451914463760994</v>
      </c>
      <c r="K21" s="48">
        <v>69.217922112878682</v>
      </c>
      <c r="L21" s="50">
        <v>0.70972470356407136</v>
      </c>
      <c r="M21" s="48">
        <v>22.338385842192778</v>
      </c>
      <c r="N21" s="48">
        <v>1.2258020612140152</v>
      </c>
      <c r="O21" s="48">
        <v>264.56430149556269</v>
      </c>
      <c r="P21" s="48">
        <v>191.99739174416331</v>
      </c>
      <c r="Q21" s="48">
        <v>172.90163146647865</v>
      </c>
      <c r="R21" s="48">
        <v>138.06339764634896</v>
      </c>
      <c r="S21" s="48">
        <v>56.880150244273345</v>
      </c>
      <c r="T21" s="48">
        <v>15.89623221905841</v>
      </c>
      <c r="U21" s="48">
        <v>3.8852419734054622</v>
      </c>
      <c r="V21" s="48">
        <v>3.2584426316716608</v>
      </c>
      <c r="W21" s="48">
        <v>30.864684993345946</v>
      </c>
      <c r="X21" s="48">
        <v>105.91094275103643</v>
      </c>
      <c r="Y21" s="48">
        <v>168.66018432402151</v>
      </c>
      <c r="Z21" s="48">
        <v>307.52840093340603</v>
      </c>
      <c r="AA21" s="48"/>
      <c r="AB21" s="48">
        <v>166.60598801627265</v>
      </c>
      <c r="AC21" s="48">
        <v>124.48112717456412</v>
      </c>
      <c r="AD21" s="48">
        <v>96.11739459467826</v>
      </c>
      <c r="AE21" s="48">
        <v>82.021281130272939</v>
      </c>
      <c r="AF21" s="48">
        <v>32.217657087999605</v>
      </c>
      <c r="AG21" s="48">
        <v>7.9956746163321704</v>
      </c>
      <c r="AH21" s="48">
        <v>2.1560715261259347</v>
      </c>
      <c r="AI21" s="48">
        <v>1.4429532099222961</v>
      </c>
      <c r="AJ21" s="48">
        <v>17.596045167824663</v>
      </c>
      <c r="AK21" s="48">
        <v>54.421672938484896</v>
      </c>
      <c r="AL21" s="48">
        <v>109.86643787399457</v>
      </c>
      <c r="AM21" s="38">
        <v>196.04951089371366</v>
      </c>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row>
    <row r="22" spans="1:131">
      <c r="A22" s="27" t="s">
        <v>224</v>
      </c>
      <c r="B22" s="27"/>
      <c r="C22" s="48">
        <v>245.17929119859181</v>
      </c>
      <c r="D22" s="48">
        <v>436.41697398915824</v>
      </c>
      <c r="E22" s="48">
        <v>87.283394797831647</v>
      </c>
      <c r="F22" s="48">
        <v>523.70036878698988</v>
      </c>
      <c r="G22" s="48">
        <v>378.39897386178944</v>
      </c>
      <c r="H22" s="48">
        <v>248.00421670945894</v>
      </c>
      <c r="I22" s="48">
        <v>18711.267204284912</v>
      </c>
      <c r="J22" s="48">
        <v>-4.4575584825787891</v>
      </c>
      <c r="K22" s="48">
        <v>77.909755903057984</v>
      </c>
      <c r="L22" s="50">
        <v>0.65540404134405161</v>
      </c>
      <c r="M22" s="48">
        <v>2.3292292384383031</v>
      </c>
      <c r="N22" s="48">
        <v>0.12781469626712091</v>
      </c>
      <c r="O22" s="48">
        <v>27.586187777566874</v>
      </c>
      <c r="P22" s="48">
        <v>20.019617429551019</v>
      </c>
      <c r="Q22" s="48">
        <v>18.028497592907271</v>
      </c>
      <c r="R22" s="48">
        <v>14.395905990154706</v>
      </c>
      <c r="S22" s="48">
        <v>5.9309078987024941</v>
      </c>
      <c r="T22" s="48">
        <v>1.6575042228745618</v>
      </c>
      <c r="U22" s="48">
        <v>0.40511518006689651</v>
      </c>
      <c r="V22" s="48">
        <v>0.33975865145672812</v>
      </c>
      <c r="W22" s="48">
        <v>3.2182686443664896</v>
      </c>
      <c r="X22" s="48">
        <v>11.043361246824258</v>
      </c>
      <c r="Y22" s="48">
        <v>17.586240808227615</v>
      </c>
      <c r="Z22" s="48">
        <v>32.06606547870215</v>
      </c>
      <c r="AA22" s="48"/>
      <c r="AB22" s="48">
        <v>17.37204923076532</v>
      </c>
      <c r="AC22" s="48">
        <v>12.979679153947773</v>
      </c>
      <c r="AD22" s="48">
        <v>10.022185461116557</v>
      </c>
      <c r="AE22" s="48">
        <v>8.5523800838801431</v>
      </c>
      <c r="AF22" s="48">
        <v>3.3593433927355543</v>
      </c>
      <c r="AG22" s="48">
        <v>0.83371104917631411</v>
      </c>
      <c r="AH22" s="48">
        <v>0.22481413269043327</v>
      </c>
      <c r="AI22" s="48">
        <v>0.15045710240626309</v>
      </c>
      <c r="AJ22" s="48">
        <v>1.8347441563286675</v>
      </c>
      <c r="AK22" s="48">
        <v>5.6745618375710976</v>
      </c>
      <c r="AL22" s="48">
        <v>11.455801740868022</v>
      </c>
      <c r="AM22" s="38">
        <v>20.442132935704613</v>
      </c>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row>
    <row r="23" spans="1:131">
      <c r="A23" s="27" t="s">
        <v>236</v>
      </c>
      <c r="B23" s="27"/>
      <c r="C23" s="48">
        <v>357.26474219206523</v>
      </c>
      <c r="D23" s="48">
        <v>689.0794326144603</v>
      </c>
      <c r="E23" s="48">
        <v>137.81588652289207</v>
      </c>
      <c r="F23" s="48">
        <v>826.89531913735232</v>
      </c>
      <c r="G23" s="48">
        <v>597.47206399229913</v>
      </c>
      <c r="H23" s="48">
        <v>361.3811024255005</v>
      </c>
      <c r="I23" s="48">
        <v>20275.16891591013</v>
      </c>
      <c r="J23" s="48">
        <v>-1.8502123625165503</v>
      </c>
      <c r="K23" s="48">
        <v>87.401423781946448</v>
      </c>
      <c r="L23" s="50">
        <v>0.60485020841101345</v>
      </c>
      <c r="M23" s="48">
        <v>3.3940528961838408</v>
      </c>
      <c r="N23" s="48">
        <v>0.1862460907158881</v>
      </c>
      <c r="O23" s="48">
        <v>40.19740907249566</v>
      </c>
      <c r="P23" s="48">
        <v>29.171727452132387</v>
      </c>
      <c r="Q23" s="48">
        <v>26.270353067556623</v>
      </c>
      <c r="R23" s="48">
        <v>20.977096462963299</v>
      </c>
      <c r="S23" s="48">
        <v>8.6422644874951828</v>
      </c>
      <c r="T23" s="48">
        <v>2.4152440280443264</v>
      </c>
      <c r="U23" s="48">
        <v>0.5903164564068335</v>
      </c>
      <c r="V23" s="48">
        <v>0.49508172744447876</v>
      </c>
      <c r="W23" s="48">
        <v>4.6895229687367861</v>
      </c>
      <c r="X23" s="48">
        <v>16.091912124767468</v>
      </c>
      <c r="Y23" s="48">
        <v>25.625915458699644</v>
      </c>
      <c r="Z23" s="48">
        <v>46.725294621572047</v>
      </c>
      <c r="AA23" s="48"/>
      <c r="AB23" s="48">
        <v>25.313804683243507</v>
      </c>
      <c r="AC23" s="48">
        <v>18.913431489264003</v>
      </c>
      <c r="AD23" s="48">
        <v>14.603898589733081</v>
      </c>
      <c r="AE23" s="48">
        <v>12.462161265166191</v>
      </c>
      <c r="AF23" s="48">
        <v>4.8950910383706123</v>
      </c>
      <c r="AG23" s="48">
        <v>1.2148479653014137</v>
      </c>
      <c r="AH23" s="48">
        <v>0.32758950710777524</v>
      </c>
      <c r="AI23" s="48">
        <v>0.21923963332857319</v>
      </c>
      <c r="AJ23" s="48">
        <v>2.6735104534918586</v>
      </c>
      <c r="AK23" s="48">
        <v>8.2687280073367564</v>
      </c>
      <c r="AL23" s="48">
        <v>16.692902714363232</v>
      </c>
      <c r="AM23" s="38">
        <v>29.787398917043536</v>
      </c>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row>
    <row r="24" spans="1:131">
      <c r="A24" s="27" t="s">
        <v>220</v>
      </c>
      <c r="B24" s="27"/>
      <c r="C24" s="48">
        <v>313.18425137916427</v>
      </c>
      <c r="D24" s="48">
        <v>616.64875589506175</v>
      </c>
      <c r="E24" s="48">
        <v>123.32975117901236</v>
      </c>
      <c r="F24" s="48">
        <v>739.97850707407406</v>
      </c>
      <c r="G24" s="48">
        <v>534.67044219420586</v>
      </c>
      <c r="H24" s="48">
        <v>316.79272164187603</v>
      </c>
      <c r="I24" s="48">
        <v>20697.757608894066</v>
      </c>
      <c r="J24" s="48">
        <v>-1.1456700112655702</v>
      </c>
      <c r="K24" s="48">
        <v>89.966208699924948</v>
      </c>
      <c r="L24" s="50">
        <v>0.59250090643089803</v>
      </c>
      <c r="M24" s="48">
        <v>2.9752835639772379</v>
      </c>
      <c r="N24" s="48">
        <v>0.16326643971431565</v>
      </c>
      <c r="O24" s="48">
        <v>35.237721445749713</v>
      </c>
      <c r="P24" s="48">
        <v>25.572424436502391</v>
      </c>
      <c r="Q24" s="48">
        <v>23.029031100152551</v>
      </c>
      <c r="R24" s="48">
        <v>18.388873784611558</v>
      </c>
      <c r="S24" s="48">
        <v>7.575953667103926</v>
      </c>
      <c r="T24" s="48">
        <v>2.1172433310377174</v>
      </c>
      <c r="U24" s="48">
        <v>0.51748128388550885</v>
      </c>
      <c r="V24" s="48">
        <v>0.43399692684437025</v>
      </c>
      <c r="W24" s="48">
        <v>4.1109143076303418</v>
      </c>
      <c r="X24" s="48">
        <v>14.106439446367867</v>
      </c>
      <c r="Y24" s="48">
        <v>22.464106308380209</v>
      </c>
      <c r="Z24" s="48">
        <v>40.960175153978405</v>
      </c>
      <c r="AA24" s="48"/>
      <c r="AB24" s="48">
        <v>22.190504779836282</v>
      </c>
      <c r="AC24" s="48">
        <v>16.579830535843499</v>
      </c>
      <c r="AD24" s="48">
        <v>12.802021881532223</v>
      </c>
      <c r="AE24" s="48">
        <v>10.924539103551584</v>
      </c>
      <c r="AF24" s="48">
        <v>4.291118717393001</v>
      </c>
      <c r="AG24" s="48">
        <v>1.0649560553274053</v>
      </c>
      <c r="AH24" s="48">
        <v>0.2871704437267491</v>
      </c>
      <c r="AI24" s="48">
        <v>0.19218913127380147</v>
      </c>
      <c r="AJ24" s="48">
        <v>2.3436440013470041</v>
      </c>
      <c r="AK24" s="48">
        <v>7.2485053379364945</v>
      </c>
      <c r="AL24" s="48">
        <v>14.633277854024913</v>
      </c>
      <c r="AM24" s="38">
        <v>26.112132345126785</v>
      </c>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row>
    <row r="25" spans="1:131">
      <c r="A25" s="27" t="s">
        <v>231</v>
      </c>
      <c r="B25" s="27"/>
      <c r="C25" s="48">
        <v>309.64144332325418</v>
      </c>
      <c r="D25" s="48">
        <v>616.64875589506175</v>
      </c>
      <c r="E25" s="48">
        <v>123.32975117901236</v>
      </c>
      <c r="F25" s="48">
        <v>739.97850707407406</v>
      </c>
      <c r="G25" s="48">
        <v>534.67044219420586</v>
      </c>
      <c r="H25" s="48">
        <v>313.20909378912103</v>
      </c>
      <c r="I25" s="48">
        <v>20934.574042796012</v>
      </c>
      <c r="J25" s="48">
        <v>-0.75084826159208962</v>
      </c>
      <c r="K25" s="48">
        <v>91.403500392971353</v>
      </c>
      <c r="L25" s="50">
        <v>0.58579840790105908</v>
      </c>
      <c r="M25" s="48">
        <v>2.9416265121534133</v>
      </c>
      <c r="N25" s="48">
        <v>0.16141953440112555</v>
      </c>
      <c r="O25" s="48">
        <v>34.839104711797859</v>
      </c>
      <c r="P25" s="48">
        <v>25.283143634853435</v>
      </c>
      <c r="Q25" s="48">
        <v>22.768521714568379</v>
      </c>
      <c r="R25" s="48">
        <v>18.180854863173639</v>
      </c>
      <c r="S25" s="48">
        <v>7.4902528390296474</v>
      </c>
      <c r="T25" s="48">
        <v>2.0932926160943883</v>
      </c>
      <c r="U25" s="48">
        <v>0.51162742356763247</v>
      </c>
      <c r="V25" s="48">
        <v>0.42908745964768491</v>
      </c>
      <c r="W25" s="48">
        <v>4.0644107549705479</v>
      </c>
      <c r="X25" s="48">
        <v>13.946864349310081</v>
      </c>
      <c r="Y25" s="48">
        <v>22.209987474346637</v>
      </c>
      <c r="Z25" s="48">
        <v>40.496824784769331</v>
      </c>
      <c r="AA25" s="48"/>
      <c r="AB25" s="48">
        <v>21.93948098552826</v>
      </c>
      <c r="AC25" s="48">
        <v>16.392275903293037</v>
      </c>
      <c r="AD25" s="48">
        <v>12.657202638373922</v>
      </c>
      <c r="AE25" s="48">
        <v>10.800958352052334</v>
      </c>
      <c r="AF25" s="48">
        <v>4.2425766534357647</v>
      </c>
      <c r="AG25" s="48">
        <v>1.0529090418668325</v>
      </c>
      <c r="AH25" s="48">
        <v>0.28392190949498575</v>
      </c>
      <c r="AI25" s="48">
        <v>0.19001504621193527</v>
      </c>
      <c r="AJ25" s="48">
        <v>2.3171321930054498</v>
      </c>
      <c r="AK25" s="48">
        <v>7.166508676254236</v>
      </c>
      <c r="AL25" s="48">
        <v>14.467743046839331</v>
      </c>
      <c r="AM25" s="38">
        <v>25.816746250768844</v>
      </c>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row>
    <row r="26" spans="1:131">
      <c r="A26" s="27" t="s">
        <v>1676</v>
      </c>
      <c r="B26" s="27"/>
      <c r="C26" s="48">
        <v>119.86389869211362</v>
      </c>
      <c r="D26" s="48">
        <v>239.1087012654321</v>
      </c>
      <c r="E26" s="48">
        <v>47.821740253086425</v>
      </c>
      <c r="F26" s="48">
        <v>286.93044151851853</v>
      </c>
      <c r="G26" s="48">
        <v>207.32119187122265</v>
      </c>
      <c r="H26" s="48">
        <v>121.24495572834215</v>
      </c>
      <c r="I26" s="48">
        <v>20969.705600503694</v>
      </c>
      <c r="J26" s="48">
        <v>-0.69227672221722736</v>
      </c>
      <c r="K26" s="48">
        <v>91.616721642971015</v>
      </c>
      <c r="L26" s="50">
        <v>0.58481699161585632</v>
      </c>
      <c r="M26" s="48">
        <v>1.138719734860224</v>
      </c>
      <c r="N26" s="48">
        <v>6.248638590082297E-2</v>
      </c>
      <c r="O26" s="48">
        <v>13.486408256207939</v>
      </c>
      <c r="P26" s="48">
        <v>9.7872433829939958</v>
      </c>
      <c r="Q26" s="48">
        <v>8.8138194644542764</v>
      </c>
      <c r="R26" s="48">
        <v>7.0379084985094629</v>
      </c>
      <c r="S26" s="48">
        <v>2.8995178999294513</v>
      </c>
      <c r="T26" s="48">
        <v>0.81032503716418314</v>
      </c>
      <c r="U26" s="48">
        <v>0.19805377797117457</v>
      </c>
      <c r="V26" s="48">
        <v>0.16610210584625554</v>
      </c>
      <c r="W26" s="48">
        <v>1.5733556650177898</v>
      </c>
      <c r="X26" s="48">
        <v>5.3989075799945017</v>
      </c>
      <c r="Y26" s="48">
        <v>8.597607800836224</v>
      </c>
      <c r="Z26" s="48">
        <v>15.676542685167501</v>
      </c>
      <c r="AA26" s="48"/>
      <c r="AB26" s="48">
        <v>8.4928932573846367</v>
      </c>
      <c r="AC26" s="48">
        <v>6.3455397866566257</v>
      </c>
      <c r="AD26" s="48">
        <v>4.8996724678994781</v>
      </c>
      <c r="AE26" s="48">
        <v>4.1811101375618449</v>
      </c>
      <c r="AF26" s="48">
        <v>1.6423246601717416</v>
      </c>
      <c r="AG26" s="48">
        <v>0.40758685714619375</v>
      </c>
      <c r="AH26" s="48">
        <v>0.1099077262750332</v>
      </c>
      <c r="AI26" s="48">
        <v>7.3555865147377761E-2</v>
      </c>
      <c r="AJ26" s="48">
        <v>0.89697456341039461</v>
      </c>
      <c r="AK26" s="48">
        <v>2.7741947612933746</v>
      </c>
      <c r="AL26" s="48">
        <v>5.600542576787702</v>
      </c>
      <c r="AM26" s="38">
        <v>9.9938038782864815</v>
      </c>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row>
    <row r="27" spans="1:131">
      <c r="A27" s="27" t="s">
        <v>251</v>
      </c>
      <c r="B27" s="27"/>
      <c r="C27" s="48">
        <v>1977.5911127011982</v>
      </c>
      <c r="D27" s="48">
        <v>4101.7368570659019</v>
      </c>
      <c r="E27" s="48">
        <v>820.34737141318044</v>
      </c>
      <c r="F27" s="48">
        <v>4922.0842284790824</v>
      </c>
      <c r="G27" s="48">
        <v>3556.4451207696993</v>
      </c>
      <c r="H27" s="48">
        <v>2000.376673247617</v>
      </c>
      <c r="I27" s="48">
        <v>21803.019625519293</v>
      </c>
      <c r="J27" s="48">
        <v>0.69702931521907197</v>
      </c>
      <c r="K27" s="48">
        <v>96.674290098502752</v>
      </c>
      <c r="L27" s="50">
        <v>0.56246521605672573</v>
      </c>
      <c r="M27" s="48">
        <v>18.787325058576659</v>
      </c>
      <c r="N27" s="48">
        <v>1.0309402811908981</v>
      </c>
      <c r="O27" s="48">
        <v>222.50737211747025</v>
      </c>
      <c r="P27" s="48">
        <v>161.47618877113996</v>
      </c>
      <c r="Q27" s="48">
        <v>145.41601960260965</v>
      </c>
      <c r="R27" s="48">
        <v>116.11590687874296</v>
      </c>
      <c r="S27" s="48">
        <v>47.838097146724913</v>
      </c>
      <c r="T27" s="48">
        <v>13.369259713563713</v>
      </c>
      <c r="U27" s="48">
        <v>3.2676176515728566</v>
      </c>
      <c r="V27" s="48">
        <v>2.7404585693166759</v>
      </c>
      <c r="W27" s="48">
        <v>25.958226073135236</v>
      </c>
      <c r="X27" s="48">
        <v>89.074623510429305</v>
      </c>
      <c r="Y27" s="48">
        <v>141.84882156300898</v>
      </c>
      <c r="Z27" s="48">
        <v>258.64160794319275</v>
      </c>
      <c r="AA27" s="48"/>
      <c r="AB27" s="48">
        <v>140.12117418327253</v>
      </c>
      <c r="AC27" s="48">
        <v>104.69276591459348</v>
      </c>
      <c r="AD27" s="48">
        <v>80.837923957017694</v>
      </c>
      <c r="AE27" s="48">
        <v>68.982623955074232</v>
      </c>
      <c r="AF27" s="48">
        <v>27.096120579793403</v>
      </c>
      <c r="AG27" s="48">
        <v>6.724628141927429</v>
      </c>
      <c r="AH27" s="48">
        <v>1.8133278248941371</v>
      </c>
      <c r="AI27" s="48">
        <v>1.2135716157217966</v>
      </c>
      <c r="AJ27" s="48">
        <v>14.798858908100433</v>
      </c>
      <c r="AK27" s="48">
        <v>45.770436008660901</v>
      </c>
      <c r="AL27" s="48">
        <v>92.401326396108104</v>
      </c>
      <c r="AM27" s="38">
        <v>164.88415567512698</v>
      </c>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row>
    <row r="28" spans="1:131">
      <c r="A28" s="27" t="s">
        <v>225</v>
      </c>
      <c r="B28" s="27"/>
      <c r="C28" s="48">
        <v>318.80670205822048</v>
      </c>
      <c r="D28" s="48">
        <v>689.07943261446042</v>
      </c>
      <c r="E28" s="48">
        <v>137.8158865228921</v>
      </c>
      <c r="F28" s="48">
        <v>826.89531913735254</v>
      </c>
      <c r="G28" s="48">
        <v>597.47206399229924</v>
      </c>
      <c r="H28" s="48">
        <v>322.47995350322191</v>
      </c>
      <c r="I28" s="48">
        <v>22720.987196562703</v>
      </c>
      <c r="J28" s="48">
        <v>2.2274702418522936</v>
      </c>
      <c r="K28" s="48">
        <v>102.24563978318299</v>
      </c>
      <c r="L28" s="50">
        <v>0.53974063883157275</v>
      </c>
      <c r="M28" s="48">
        <v>3.0286974410192777</v>
      </c>
      <c r="N28" s="48">
        <v>0.16619748589814018</v>
      </c>
      <c r="O28" s="48">
        <v>35.870327810848153</v>
      </c>
      <c r="P28" s="48">
        <v>26.031514235893539</v>
      </c>
      <c r="Q28" s="48">
        <v>23.442460546163556</v>
      </c>
      <c r="R28" s="48">
        <v>18.719000652236829</v>
      </c>
      <c r="S28" s="48">
        <v>7.7119612270387892</v>
      </c>
      <c r="T28" s="48">
        <v>2.1552532122878074</v>
      </c>
      <c r="U28" s="48">
        <v>0.52677138382881183</v>
      </c>
      <c r="V28" s="48">
        <v>0.4417882710939578</v>
      </c>
      <c r="W28" s="48">
        <v>4.1847156333314075</v>
      </c>
      <c r="X28" s="48">
        <v>14.35968576924339</v>
      </c>
      <c r="Y28" s="48">
        <v>22.867393923296166</v>
      </c>
      <c r="Z28" s="48">
        <v>41.695514059413767</v>
      </c>
      <c r="AA28" s="48"/>
      <c r="AB28" s="48">
        <v>22.588880554220101</v>
      </c>
      <c r="AC28" s="48">
        <v>16.877480494436188</v>
      </c>
      <c r="AD28" s="48">
        <v>13.031850604733156</v>
      </c>
      <c r="AE28" s="48">
        <v>11.120662254797708</v>
      </c>
      <c r="AF28" s="48">
        <v>4.3681551687479825</v>
      </c>
      <c r="AG28" s="48">
        <v>1.0840747142959608</v>
      </c>
      <c r="AH28" s="48">
        <v>0.29232588065956466</v>
      </c>
      <c r="AI28" s="48">
        <v>0.19563941303886184</v>
      </c>
      <c r="AJ28" s="48">
        <v>2.3857183481534356</v>
      </c>
      <c r="AK28" s="48">
        <v>7.3786343708618558</v>
      </c>
      <c r="AL28" s="48">
        <v>14.895982260919155</v>
      </c>
      <c r="AM28" s="38">
        <v>26.580911268680381</v>
      </c>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row>
    <row r="29" spans="1:131">
      <c r="A29" s="27" t="s">
        <v>249</v>
      </c>
      <c r="B29" s="27"/>
      <c r="C29" s="48">
        <v>1752.8373326611568</v>
      </c>
      <c r="D29" s="48">
        <v>3865.0968570659024</v>
      </c>
      <c r="E29" s="48">
        <v>773.01937141318058</v>
      </c>
      <c r="F29" s="48">
        <v>4638.1162284790826</v>
      </c>
      <c r="G29" s="48">
        <v>3351.264436901803</v>
      </c>
      <c r="H29" s="48">
        <v>1773.0333079135034</v>
      </c>
      <c r="I29" s="48">
        <v>23179.502971786023</v>
      </c>
      <c r="J29" s="48">
        <v>2.9919104356503383</v>
      </c>
      <c r="K29" s="48">
        <v>105.02847416676336</v>
      </c>
      <c r="L29" s="50">
        <v>0.52906398205706739</v>
      </c>
      <c r="M29" s="48">
        <v>16.652140339836421</v>
      </c>
      <c r="N29" s="48">
        <v>0.91377363146991153</v>
      </c>
      <c r="O29" s="48">
        <v>197.2193473842535</v>
      </c>
      <c r="P29" s="48">
        <v>143.1243750015073</v>
      </c>
      <c r="Q29" s="48">
        <v>128.88944852623496</v>
      </c>
      <c r="R29" s="48">
        <v>102.91930176347813</v>
      </c>
      <c r="S29" s="48">
        <v>42.401284099480158</v>
      </c>
      <c r="T29" s="48">
        <v>11.849839628359025</v>
      </c>
      <c r="U29" s="48">
        <v>2.8962519965596574</v>
      </c>
      <c r="V29" s="48">
        <v>2.4290046906350771</v>
      </c>
      <c r="W29" s="48">
        <v>23.008066459451427</v>
      </c>
      <c r="X29" s="48">
        <v>78.951267771705673</v>
      </c>
      <c r="Y29" s="48">
        <v>125.72766353607734</v>
      </c>
      <c r="Z29" s="48">
        <v>229.2469172573785</v>
      </c>
      <c r="AA29" s="48"/>
      <c r="AB29" s="48">
        <v>124.1963637616058</v>
      </c>
      <c r="AC29" s="48">
        <v>92.794403947335127</v>
      </c>
      <c r="AD29" s="48">
        <v>71.650671413638008</v>
      </c>
      <c r="AE29" s="48">
        <v>61.142729554554535</v>
      </c>
      <c r="AF29" s="48">
        <v>24.016638938914145</v>
      </c>
      <c r="AG29" s="48">
        <v>5.9603722830924735</v>
      </c>
      <c r="AH29" s="48">
        <v>1.6072426132044131</v>
      </c>
      <c r="AI29" s="48">
        <v>1.075648864031121</v>
      </c>
      <c r="AJ29" s="48">
        <v>13.116964476783092</v>
      </c>
      <c r="AK29" s="48">
        <v>40.568613224892317</v>
      </c>
      <c r="AL29" s="48">
        <v>81.899889949080148</v>
      </c>
      <c r="AM29" s="38">
        <v>146.1450255189051</v>
      </c>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row>
    <row r="30" spans="1:131">
      <c r="A30" s="27" t="s">
        <v>1675</v>
      </c>
      <c r="B30" s="27"/>
      <c r="C30" s="48">
        <v>56.683436160197026</v>
      </c>
      <c r="D30" s="48">
        <v>138.43135336419752</v>
      </c>
      <c r="E30" s="48">
        <v>27.686270672839505</v>
      </c>
      <c r="F30" s="48">
        <v>166.11762403703702</v>
      </c>
      <c r="G30" s="48">
        <v>120.02805845176047</v>
      </c>
      <c r="H30" s="48">
        <v>57.336535710610747</v>
      </c>
      <c r="I30" s="48">
        <v>25672.233109718843</v>
      </c>
      <c r="J30" s="48">
        <v>7.1478047640395204</v>
      </c>
      <c r="K30" s="48">
        <v>120.1574086804076</v>
      </c>
      <c r="L30" s="50">
        <v>0.47769276992557885</v>
      </c>
      <c r="M30" s="48">
        <v>0.53849864804666758</v>
      </c>
      <c r="N30" s="48">
        <v>2.9549706831985219E-2</v>
      </c>
      <c r="O30" s="48">
        <v>6.3776997891977771</v>
      </c>
      <c r="P30" s="48">
        <v>4.6283709401882813</v>
      </c>
      <c r="Q30" s="48">
        <v>4.1680404057620279</v>
      </c>
      <c r="R30" s="48">
        <v>3.3282150958670322</v>
      </c>
      <c r="S30" s="48">
        <v>1.3711771398172719</v>
      </c>
      <c r="T30" s="48">
        <v>0.38320134764753255</v>
      </c>
      <c r="U30" s="48">
        <v>9.3659298607926392E-2</v>
      </c>
      <c r="V30" s="48">
        <v>7.8549406581499615E-2</v>
      </c>
      <c r="W30" s="48">
        <v>0.74403724864981369</v>
      </c>
      <c r="X30" s="48">
        <v>2.5531343172100334</v>
      </c>
      <c r="Y30" s="48">
        <v>4.0657942735611723</v>
      </c>
      <c r="Z30" s="48">
        <v>7.4134106783042641</v>
      </c>
      <c r="AA30" s="48"/>
      <c r="AB30" s="48">
        <v>4.0162749420230863</v>
      </c>
      <c r="AC30" s="48">
        <v>3.0007950961352008</v>
      </c>
      <c r="AD30" s="48">
        <v>2.317046872081495</v>
      </c>
      <c r="AE30" s="48">
        <v>1.9772399542084367</v>
      </c>
      <c r="AF30" s="48">
        <v>0.77665257049816916</v>
      </c>
      <c r="AG30" s="48">
        <v>0.19274713945460623</v>
      </c>
      <c r="AH30" s="48">
        <v>5.1975178963815476E-2</v>
      </c>
      <c r="AI30" s="48">
        <v>3.478444495618406E-2</v>
      </c>
      <c r="AJ30" s="48">
        <v>0.4241777629225314</v>
      </c>
      <c r="AK30" s="48">
        <v>1.3119120382663829</v>
      </c>
      <c r="AL30" s="48">
        <v>2.6484871681776689</v>
      </c>
      <c r="AM30" s="38">
        <v>4.7260530511148193</v>
      </c>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row>
    <row r="31" spans="1:131">
      <c r="A31" s="27" t="s">
        <v>1673</v>
      </c>
      <c r="B31" s="27"/>
      <c r="C31" s="48">
        <v>56.111593683209037</v>
      </c>
      <c r="D31" s="48">
        <v>138.43135336419752</v>
      </c>
      <c r="E31" s="48">
        <v>27.686270672839505</v>
      </c>
      <c r="F31" s="48">
        <v>166.11762403703702</v>
      </c>
      <c r="G31" s="48">
        <v>120.02805845176047</v>
      </c>
      <c r="H31" s="48">
        <v>56.758104535231681</v>
      </c>
      <c r="I31" s="48">
        <v>25933.863058320137</v>
      </c>
      <c r="J31" s="48">
        <v>7.5839957511756575</v>
      </c>
      <c r="K31" s="48">
        <v>121.74529912188139</v>
      </c>
      <c r="L31" s="50">
        <v>0.47287363694250606</v>
      </c>
      <c r="M31" s="48">
        <v>0.53306608393952015</v>
      </c>
      <c r="N31" s="48">
        <v>2.925159897731467E-2</v>
      </c>
      <c r="O31" s="48">
        <v>6.3133593064748617</v>
      </c>
      <c r="P31" s="48">
        <v>4.5816783032885624</v>
      </c>
      <c r="Q31" s="48">
        <v>4.1259917454958988</v>
      </c>
      <c r="R31" s="48">
        <v>3.29463888924839</v>
      </c>
      <c r="S31" s="48">
        <v>1.3573442216821323</v>
      </c>
      <c r="T31" s="48">
        <v>0.37933547742744572</v>
      </c>
      <c r="U31" s="48">
        <v>9.2714430601732331E-2</v>
      </c>
      <c r="V31" s="48">
        <v>7.7756972490197265E-2</v>
      </c>
      <c r="W31" s="48">
        <v>0.73653113871609732</v>
      </c>
      <c r="X31" s="48">
        <v>2.5273773985943335</v>
      </c>
      <c r="Y31" s="48">
        <v>4.0247771083041837</v>
      </c>
      <c r="Z31" s="48">
        <v>7.3386215791884357</v>
      </c>
      <c r="AA31" s="48"/>
      <c r="AB31" s="48">
        <v>3.9757573452313104</v>
      </c>
      <c r="AC31" s="48">
        <v>2.9705220178437277</v>
      </c>
      <c r="AD31" s="48">
        <v>2.2936716868001419</v>
      </c>
      <c r="AE31" s="48">
        <v>1.9572928608491227</v>
      </c>
      <c r="AF31" s="48">
        <v>0.76881742570529543</v>
      </c>
      <c r="AG31" s="48">
        <v>0.19080263839530967</v>
      </c>
      <c r="AH31" s="48">
        <v>5.1450835044428447E-2</v>
      </c>
      <c r="AI31" s="48">
        <v>3.4433527218801649E-2</v>
      </c>
      <c r="AJ31" s="48">
        <v>0.41989850818668023</v>
      </c>
      <c r="AK31" s="48">
        <v>1.2986770073583698</v>
      </c>
      <c r="AL31" s="48">
        <v>2.6217682964028293</v>
      </c>
      <c r="AM31" s="38">
        <v>4.6783749626607563</v>
      </c>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row>
    <row r="32" spans="1:131">
      <c r="A32" s="27" t="s">
        <v>241</v>
      </c>
      <c r="B32" s="27"/>
      <c r="C32" s="48">
        <v>163.51238390770072</v>
      </c>
      <c r="D32" s="48">
        <v>478.21740253086421</v>
      </c>
      <c r="E32" s="48">
        <v>95.64348050617285</v>
      </c>
      <c r="F32" s="48">
        <v>573.86088303703707</v>
      </c>
      <c r="G32" s="48">
        <v>414.6423837424453</v>
      </c>
      <c r="H32" s="48">
        <v>165.39635339951798</v>
      </c>
      <c r="I32" s="48">
        <v>30743.979234270668</v>
      </c>
      <c r="J32" s="48">
        <v>15.603449694595122</v>
      </c>
      <c r="K32" s="48">
        <v>150.93896574530709</v>
      </c>
      <c r="L32" s="50">
        <v>0.39888916301005484</v>
      </c>
      <c r="M32" s="48">
        <v>1.553384968129611</v>
      </c>
      <c r="N32" s="48">
        <v>8.5240827571148772E-2</v>
      </c>
      <c r="O32" s="48">
        <v>18.397489055394345</v>
      </c>
      <c r="P32" s="48">
        <v>13.35127185833403</v>
      </c>
      <c r="Q32" s="48">
        <v>12.023375242172342</v>
      </c>
      <c r="R32" s="48">
        <v>9.6007656089302884</v>
      </c>
      <c r="S32" s="48">
        <v>3.9553784681935111</v>
      </c>
      <c r="T32" s="48">
        <v>1.1054052138513446</v>
      </c>
      <c r="U32" s="48">
        <v>0.27017513806368387</v>
      </c>
      <c r="V32" s="48">
        <v>0.22658825213731709</v>
      </c>
      <c r="W32" s="48">
        <v>2.146293740891569</v>
      </c>
      <c r="X32" s="48">
        <v>7.3649218700103818</v>
      </c>
      <c r="Y32" s="48">
        <v>11.728430017358264</v>
      </c>
      <c r="Z32" s="48">
        <v>21.385161786425499</v>
      </c>
      <c r="AA32" s="48"/>
      <c r="AB32" s="48">
        <v>11.585583632279832</v>
      </c>
      <c r="AC32" s="48">
        <v>8.656270562019138</v>
      </c>
      <c r="AD32" s="48">
        <v>6.6838900981441425</v>
      </c>
      <c r="AE32" s="48">
        <v>5.7036630164139073</v>
      </c>
      <c r="AF32" s="48">
        <v>2.2403778223906077</v>
      </c>
      <c r="AG32" s="48">
        <v>0.55600976931852875</v>
      </c>
      <c r="AH32" s="48">
        <v>0.1499306674419737</v>
      </c>
      <c r="AI32" s="48">
        <v>0.10034126198026316</v>
      </c>
      <c r="AJ32" s="48">
        <v>1.2236081986998852</v>
      </c>
      <c r="AK32" s="48">
        <v>3.7844188599980835</v>
      </c>
      <c r="AL32" s="48">
        <v>7.6399823291196336</v>
      </c>
      <c r="AM32" s="38">
        <v>13.633051438132162</v>
      </c>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row>
    <row r="33" spans="1:131">
      <c r="A33" s="27" t="s">
        <v>221</v>
      </c>
      <c r="B33" s="27"/>
      <c r="C33" s="48">
        <v>78.181732072535269</v>
      </c>
      <c r="D33" s="48">
        <v>239.1087012654321</v>
      </c>
      <c r="E33" s="48">
        <v>47.821740253086425</v>
      </c>
      <c r="F33" s="48">
        <v>286.93044151851853</v>
      </c>
      <c r="G33" s="48">
        <v>207.32119187122265</v>
      </c>
      <c r="H33" s="48">
        <v>79.082532333176331</v>
      </c>
      <c r="I33" s="48">
        <v>32149.590461493524</v>
      </c>
      <c r="J33" s="48">
        <v>17.94689298925514</v>
      </c>
      <c r="K33" s="48">
        <v>159.46993341192052</v>
      </c>
      <c r="L33" s="50">
        <v>0.38144934253657181</v>
      </c>
      <c r="M33" s="48">
        <v>0.74273473654672539</v>
      </c>
      <c r="N33" s="48">
        <v>4.0757008023138926E-2</v>
      </c>
      <c r="O33" s="48">
        <v>8.7965665092875014</v>
      </c>
      <c r="P33" s="48">
        <v>6.3837706619522381</v>
      </c>
      <c r="Q33" s="48">
        <v>5.7488508168389663</v>
      </c>
      <c r="R33" s="48">
        <v>4.5905054197748045</v>
      </c>
      <c r="S33" s="48">
        <v>1.8912227456749608</v>
      </c>
      <c r="T33" s="48">
        <v>0.5285379137380386</v>
      </c>
      <c r="U33" s="48">
        <v>0.12918140970092215</v>
      </c>
      <c r="V33" s="48">
        <v>0.10834079716789873</v>
      </c>
      <c r="W33" s="48">
        <v>1.0262278500817661</v>
      </c>
      <c r="X33" s="48">
        <v>3.5214601769939047</v>
      </c>
      <c r="Y33" s="48">
        <v>5.6078258498523397</v>
      </c>
      <c r="Z33" s="48">
        <v>10.225090902337444</v>
      </c>
      <c r="AA33" s="48"/>
      <c r="AB33" s="48">
        <v>5.5395253484540108</v>
      </c>
      <c r="AC33" s="48">
        <v>4.1389050153483939</v>
      </c>
      <c r="AD33" s="48">
        <v>3.195831975334356</v>
      </c>
      <c r="AE33" s="48">
        <v>2.7271466730802119</v>
      </c>
      <c r="AF33" s="48">
        <v>1.0712131672562777</v>
      </c>
      <c r="AG33" s="48">
        <v>0.26585024189428452</v>
      </c>
      <c r="AH33" s="48">
        <v>7.1687776737580339E-2</v>
      </c>
      <c r="AI33" s="48">
        <v>4.7977122420215325E-2</v>
      </c>
      <c r="AJ33" s="48">
        <v>0.5850554316822395</v>
      </c>
      <c r="AK33" s="48">
        <v>1.8094802013872737</v>
      </c>
      <c r="AL33" s="48">
        <v>3.65297745173419</v>
      </c>
      <c r="AM33" s="38">
        <v>6.5185006138054549</v>
      </c>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row>
    <row r="34" spans="1:131">
      <c r="A34" s="27" t="s">
        <v>232</v>
      </c>
      <c r="B34" s="27"/>
      <c r="C34" s="48">
        <v>77.417109014497882</v>
      </c>
      <c r="D34" s="48">
        <v>239.1087012654321</v>
      </c>
      <c r="E34" s="48">
        <v>47.821740253086425</v>
      </c>
      <c r="F34" s="48">
        <v>286.93044151851853</v>
      </c>
      <c r="G34" s="48">
        <v>207.32119187122265</v>
      </c>
      <c r="H34" s="48">
        <v>78.309099382703494</v>
      </c>
      <c r="I34" s="48">
        <v>32467.121282344939</v>
      </c>
      <c r="J34" s="48">
        <v>18.476282238971319</v>
      </c>
      <c r="K34" s="48">
        <v>161.39709870014082</v>
      </c>
      <c r="L34" s="50">
        <v>0.37771874006659728</v>
      </c>
      <c r="M34" s="48">
        <v>0.73547073649819539</v>
      </c>
      <c r="N34" s="48">
        <v>4.035840150362368E-2</v>
      </c>
      <c r="O34" s="48">
        <v>8.7105354454282313</v>
      </c>
      <c r="P34" s="48">
        <v>6.3213369179566126</v>
      </c>
      <c r="Q34" s="48">
        <v>5.6926266353678541</v>
      </c>
      <c r="R34" s="48">
        <v>4.5456099410106754</v>
      </c>
      <c r="S34" s="48">
        <v>1.8727264488944519</v>
      </c>
      <c r="T34" s="48">
        <v>0.52336877428336226</v>
      </c>
      <c r="U34" s="48">
        <v>0.12791800606546089</v>
      </c>
      <c r="V34" s="48">
        <v>0.10728121624733444</v>
      </c>
      <c r="W34" s="48">
        <v>1.0161912666476125</v>
      </c>
      <c r="X34" s="48">
        <v>3.4870200388962758</v>
      </c>
      <c r="Y34" s="48">
        <v>5.5529809028732044</v>
      </c>
      <c r="Z34" s="48">
        <v>10.12508876542902</v>
      </c>
      <c r="AA34" s="48"/>
      <c r="AB34" s="48">
        <v>5.4853483853741851</v>
      </c>
      <c r="AC34" s="48">
        <v>4.0984262215705094</v>
      </c>
      <c r="AD34" s="48">
        <v>3.1645765048660546</v>
      </c>
      <c r="AE34" s="48">
        <v>2.7004749791485345</v>
      </c>
      <c r="AF34" s="48">
        <v>1.0607366241298413</v>
      </c>
      <c r="AG34" s="48">
        <v>0.26325020708374092</v>
      </c>
      <c r="AH34" s="48">
        <v>7.0986665037699681E-2</v>
      </c>
      <c r="AI34" s="48">
        <v>4.7507902653803093E-2</v>
      </c>
      <c r="AJ34" s="48">
        <v>0.57933354676826476</v>
      </c>
      <c r="AK34" s="48">
        <v>1.7917833526687112</v>
      </c>
      <c r="AL34" s="48">
        <v>3.6172510650701653</v>
      </c>
      <c r="AM34" s="38">
        <v>6.4547492010262868</v>
      </c>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row>
    <row r="35" spans="1:131">
      <c r="A35" s="27" t="s">
        <v>242</v>
      </c>
      <c r="B35" s="27"/>
      <c r="C35" s="48">
        <v>173.59575203746954</v>
      </c>
      <c r="D35" s="48">
        <v>616.64875589506164</v>
      </c>
      <c r="E35" s="48">
        <v>123.32975117901233</v>
      </c>
      <c r="F35" s="48">
        <v>739.97850707407395</v>
      </c>
      <c r="G35" s="48">
        <v>534.67044219420575</v>
      </c>
      <c r="H35" s="48">
        <v>175.5959008514719</v>
      </c>
      <c r="I35" s="48">
        <v>37340.842998103682</v>
      </c>
      <c r="J35" s="48">
        <v>26.601779711981298</v>
      </c>
      <c r="K35" s="48">
        <v>190.97680151409514</v>
      </c>
      <c r="L35" s="50">
        <v>0.32841894182676934</v>
      </c>
      <c r="M35" s="48">
        <v>1.6491780335022097</v>
      </c>
      <c r="N35" s="48">
        <v>9.0497399725165059E-2</v>
      </c>
      <c r="O35" s="48">
        <v>19.532012633214908</v>
      </c>
      <c r="P35" s="48">
        <v>14.174608818696605</v>
      </c>
      <c r="Q35" s="48">
        <v>12.764824396247469</v>
      </c>
      <c r="R35" s="48">
        <v>10.192818954670232</v>
      </c>
      <c r="S35" s="48">
        <v>4.1992960005185838</v>
      </c>
      <c r="T35" s="48">
        <v>1.1735725748637114</v>
      </c>
      <c r="U35" s="48">
        <v>0.2868361108383517</v>
      </c>
      <c r="V35" s="48">
        <v>0.24056133910222335</v>
      </c>
      <c r="W35" s="48">
        <v>2.2786498926815444</v>
      </c>
      <c r="X35" s="48">
        <v>7.8190967568753429</v>
      </c>
      <c r="Y35" s="48">
        <v>12.451690694152081</v>
      </c>
      <c r="Z35" s="48">
        <v>22.703927091253508</v>
      </c>
      <c r="AA35" s="48"/>
      <c r="AB35" s="48">
        <v>12.300035357406934</v>
      </c>
      <c r="AC35" s="48">
        <v>9.1900794431677983</v>
      </c>
      <c r="AD35" s="48">
        <v>7.0960675906853048</v>
      </c>
      <c r="AE35" s="48">
        <v>6.055392546056833</v>
      </c>
      <c r="AF35" s="48">
        <v>2.3785358859760923</v>
      </c>
      <c r="AG35" s="48">
        <v>0.59029739361829614</v>
      </c>
      <c r="AH35" s="48">
        <v>0.15917648771337739</v>
      </c>
      <c r="AI35" s="48">
        <v>0.10652903723601197</v>
      </c>
      <c r="AJ35" s="48">
        <v>1.2990648192886893</v>
      </c>
      <c r="AK35" s="48">
        <v>4.0177937739381866</v>
      </c>
      <c r="AL35" s="48">
        <v>8.1111194533445943</v>
      </c>
      <c r="AM35" s="38">
        <v>14.473764985922879</v>
      </c>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row>
    <row r="36" spans="1:131">
      <c r="A36" s="27" t="s">
        <v>222</v>
      </c>
      <c r="B36" s="27"/>
      <c r="C36" s="48">
        <v>96.265864434004669</v>
      </c>
      <c r="D36" s="48">
        <v>377.54005462962965</v>
      </c>
      <c r="E36" s="48">
        <v>75.50801092592593</v>
      </c>
      <c r="F36" s="48">
        <v>453.04806555555558</v>
      </c>
      <c r="G36" s="48">
        <v>327.34925032298321</v>
      </c>
      <c r="H36" s="48">
        <v>97.375027834126541</v>
      </c>
      <c r="I36" s="48">
        <v>41226.462543089932</v>
      </c>
      <c r="J36" s="48">
        <v>33.07990744171542</v>
      </c>
      <c r="K36" s="48">
        <v>214.55949213369954</v>
      </c>
      <c r="L36" s="50">
        <v>0.2974652538169868</v>
      </c>
      <c r="M36" s="48">
        <v>0.91453590964826603</v>
      </c>
      <c r="N36" s="48">
        <v>5.0184467714925893E-2</v>
      </c>
      <c r="O36" s="48">
        <v>10.831290847868727</v>
      </c>
      <c r="P36" s="48">
        <v>7.860393788041363</v>
      </c>
      <c r="Q36" s="48">
        <v>7.0786113164094138</v>
      </c>
      <c r="R36" s="48">
        <v>5.6523302913474947</v>
      </c>
      <c r="S36" s="48">
        <v>2.3286794449723942</v>
      </c>
      <c r="T36" s="48">
        <v>0.65079345012377321</v>
      </c>
      <c r="U36" s="48">
        <v>0.15906222264460662</v>
      </c>
      <c r="V36" s="48">
        <v>0.13340099044058859</v>
      </c>
      <c r="W36" s="48">
        <v>1.2636035103790684</v>
      </c>
      <c r="X36" s="48">
        <v>4.3360053432140386</v>
      </c>
      <c r="Y36" s="48">
        <v>6.9049660159810582</v>
      </c>
      <c r="Z36" s="48">
        <v>12.590245681901163</v>
      </c>
      <c r="AA36" s="48"/>
      <c r="AB36" s="48">
        <v>6.8208669990612742</v>
      </c>
      <c r="AC36" s="48">
        <v>5.096270683068151</v>
      </c>
      <c r="AD36" s="48">
        <v>3.9350564324408173</v>
      </c>
      <c r="AE36" s="48">
        <v>3.3579600369919662</v>
      </c>
      <c r="AF36" s="48">
        <v>1.3189943328876363</v>
      </c>
      <c r="AG36" s="48">
        <v>0.32734377542567838</v>
      </c>
      <c r="AH36" s="48">
        <v>8.8269799274751662E-2</v>
      </c>
      <c r="AI36" s="48">
        <v>5.9074659007977696E-2</v>
      </c>
      <c r="AJ36" s="48">
        <v>0.72038397435921864</v>
      </c>
      <c r="AK36" s="48">
        <v>2.2280291206793943</v>
      </c>
      <c r="AL36" s="48">
        <v>4.4979437373280478</v>
      </c>
      <c r="AM36" s="38">
        <v>8.02628798015607</v>
      </c>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row>
    <row r="37" spans="1:131">
      <c r="A37" s="27" t="s">
        <v>233</v>
      </c>
      <c r="B37" s="27"/>
      <c r="C37" s="48">
        <v>95.351569631990586</v>
      </c>
      <c r="D37" s="48">
        <v>377.54005462962965</v>
      </c>
      <c r="E37" s="48">
        <v>75.50801092592593</v>
      </c>
      <c r="F37" s="48">
        <v>453.04806555555558</v>
      </c>
      <c r="G37" s="48">
        <v>327.34925032298321</v>
      </c>
      <c r="H37" s="48">
        <v>96.45019864032902</v>
      </c>
      <c r="I37" s="48">
        <v>41621.769516578177</v>
      </c>
      <c r="J37" s="48">
        <v>33.738965549968917</v>
      </c>
      <c r="K37" s="48">
        <v>216.95869821849863</v>
      </c>
      <c r="L37" s="50">
        <v>0.29464004742691552</v>
      </c>
      <c r="M37" s="48">
        <v>0.90585001217710448</v>
      </c>
      <c r="N37" s="48">
        <v>4.9707835647646678E-2</v>
      </c>
      <c r="O37" s="48">
        <v>10.728419565514034</v>
      </c>
      <c r="P37" s="48">
        <v>7.7857389015512828</v>
      </c>
      <c r="Q37" s="48">
        <v>7.0113814881611249</v>
      </c>
      <c r="R37" s="48">
        <v>5.5986467116587812</v>
      </c>
      <c r="S37" s="48">
        <v>2.3065625759803239</v>
      </c>
      <c r="T37" s="48">
        <v>0.64461247338678151</v>
      </c>
      <c r="U37" s="48">
        <v>0.15755151306737666</v>
      </c>
      <c r="V37" s="48">
        <v>0.13213400101645084</v>
      </c>
      <c r="W37" s="48">
        <v>1.2516023079991911</v>
      </c>
      <c r="X37" s="48">
        <v>4.2948236931025008</v>
      </c>
      <c r="Y37" s="48">
        <v>6.8393854015689435</v>
      </c>
      <c r="Z37" s="48">
        <v>12.470668547776596</v>
      </c>
      <c r="AA37" s="48"/>
      <c r="AB37" s="48">
        <v>6.7560851235840493</v>
      </c>
      <c r="AC37" s="48">
        <v>5.0478683358541989</v>
      </c>
      <c r="AD37" s="48">
        <v>3.897682835237219</v>
      </c>
      <c r="AE37" s="48">
        <v>3.3260674712809135</v>
      </c>
      <c r="AF37" s="48">
        <v>1.3064670505582709</v>
      </c>
      <c r="AG37" s="48">
        <v>0.32423479474905925</v>
      </c>
      <c r="AH37" s="48">
        <v>8.7431447911823224E-2</v>
      </c>
      <c r="AI37" s="48">
        <v>5.8513591448055916E-2</v>
      </c>
      <c r="AJ37" s="48">
        <v>0.71354205456674213</v>
      </c>
      <c r="AK37" s="48">
        <v>2.2068681883411232</v>
      </c>
      <c r="AL37" s="48">
        <v>4.455224060909309</v>
      </c>
      <c r="AM37" s="38">
        <v>7.9500574967664397</v>
      </c>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row>
    <row r="38" spans="1:131">
      <c r="A38" s="27" t="s">
        <v>1677</v>
      </c>
      <c r="B38" s="27"/>
      <c r="C38" s="48">
        <v>31.579529644069172</v>
      </c>
      <c r="D38" s="48">
        <v>138.43135336419752</v>
      </c>
      <c r="E38" s="48">
        <v>27.686270672839505</v>
      </c>
      <c r="F38" s="48">
        <v>166.11762403703702</v>
      </c>
      <c r="G38" s="48">
        <v>120.02805845176047</v>
      </c>
      <c r="H38" s="48">
        <v>31.943385084210956</v>
      </c>
      <c r="I38" s="48">
        <v>46080.179247943233</v>
      </c>
      <c r="J38" s="48">
        <v>41.172052443033387</v>
      </c>
      <c r="K38" s="48">
        <v>244.017780079944</v>
      </c>
      <c r="L38" s="50">
        <v>0.26613264845110418</v>
      </c>
      <c r="M38" s="48">
        <v>0.30000887686519845</v>
      </c>
      <c r="N38" s="48">
        <v>1.6462760659691576E-2</v>
      </c>
      <c r="O38" s="48">
        <v>3.5531501475094212</v>
      </c>
      <c r="P38" s="48">
        <v>2.5785624021865243</v>
      </c>
      <c r="Q38" s="48">
        <v>2.3221026188222984</v>
      </c>
      <c r="R38" s="48">
        <v>1.8542183466918132</v>
      </c>
      <c r="S38" s="48">
        <v>0.76391150691276311</v>
      </c>
      <c r="T38" s="48">
        <v>0.21348949776936826</v>
      </c>
      <c r="U38" s="48">
        <v>5.2179557154452112E-2</v>
      </c>
      <c r="V38" s="48">
        <v>4.3761519796612969E-2</v>
      </c>
      <c r="W38" s="48">
        <v>0.41451873671920292</v>
      </c>
      <c r="X38" s="48">
        <v>1.4224046091306033</v>
      </c>
      <c r="Y38" s="48">
        <v>2.2651391568031123</v>
      </c>
      <c r="Z38" s="48">
        <v>4.1301663790728584</v>
      </c>
      <c r="AA38" s="48"/>
      <c r="AB38" s="48">
        <v>2.2375508999119473</v>
      </c>
      <c r="AC38" s="48">
        <v>1.6718058063092833</v>
      </c>
      <c r="AD38" s="48">
        <v>1.2908753480787742</v>
      </c>
      <c r="AE38" s="48">
        <v>1.1015617961285264</v>
      </c>
      <c r="AF38" s="48">
        <v>0.43268941572056252</v>
      </c>
      <c r="AG38" s="48">
        <v>0.1073834689028689</v>
      </c>
      <c r="AH38" s="48">
        <v>2.8956460935164061E-2</v>
      </c>
      <c r="AI38" s="48">
        <v>1.9379142921784519E-2</v>
      </c>
      <c r="AJ38" s="48">
        <v>0.23631831706019965</v>
      </c>
      <c r="AK38" s="48">
        <v>0.73089367740088051</v>
      </c>
      <c r="AL38" s="48">
        <v>1.475527679779828</v>
      </c>
      <c r="AM38" s="38">
        <v>2.6329831523503255</v>
      </c>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row>
    <row r="39" spans="1:131">
      <c r="A39" s="27" t="s">
        <v>246</v>
      </c>
      <c r="B39" s="27"/>
      <c r="C39" s="48">
        <v>80.891595786455383</v>
      </c>
      <c r="D39" s="48">
        <v>436.41697398915824</v>
      </c>
      <c r="E39" s="48">
        <v>87.283394797831647</v>
      </c>
      <c r="F39" s="48">
        <v>523.70036878698988</v>
      </c>
      <c r="G39" s="48">
        <v>378.39897386178944</v>
      </c>
      <c r="H39" s="48">
        <v>81.823618762110414</v>
      </c>
      <c r="I39" s="48">
        <v>56713.125584576352</v>
      </c>
      <c r="J39" s="48">
        <v>58.899363033952667</v>
      </c>
      <c r="K39" s="48">
        <v>308.55150010285007</v>
      </c>
      <c r="L39" s="50">
        <v>0.21623636535546356</v>
      </c>
      <c r="M39" s="48">
        <v>0.7684787288871433</v>
      </c>
      <c r="N39" s="48">
        <v>4.216969017025976E-2</v>
      </c>
      <c r="O39" s="48">
        <v>9.1014650547493385</v>
      </c>
      <c r="P39" s="48">
        <v>6.6050390838229944</v>
      </c>
      <c r="Q39" s="48">
        <v>5.9481122275587808</v>
      </c>
      <c r="R39" s="48">
        <v>4.7496173214407866</v>
      </c>
      <c r="S39" s="48">
        <v>1.9567745793013906</v>
      </c>
      <c r="T39" s="48">
        <v>0.546857611650857</v>
      </c>
      <c r="U39" s="48">
        <v>0.13365897761073509</v>
      </c>
      <c r="V39" s="48">
        <v>0.11209600682109601</v>
      </c>
      <c r="W39" s="48">
        <v>1.0617980215199065</v>
      </c>
      <c r="X39" s="48">
        <v>3.6435178099048384</v>
      </c>
      <c r="Y39" s="48">
        <v>5.8021991821085139</v>
      </c>
      <c r="Z39" s="48">
        <v>10.579503654181718</v>
      </c>
      <c r="AA39" s="48"/>
      <c r="AB39" s="48">
        <v>5.7315313111792801</v>
      </c>
      <c r="AC39" s="48">
        <v>4.2823639567037581</v>
      </c>
      <c r="AD39" s="48">
        <v>3.3066029812479809</v>
      </c>
      <c r="AE39" s="48">
        <v>2.8216725375757896</v>
      </c>
      <c r="AF39" s="48">
        <v>1.1083425786273129</v>
      </c>
      <c r="AG39" s="48">
        <v>0.27506489990643784</v>
      </c>
      <c r="AH39" s="48">
        <v>7.4172552909238215E-2</v>
      </c>
      <c r="AI39" s="48">
        <v>4.964006157106738E-2</v>
      </c>
      <c r="AJ39" s="48">
        <v>0.6053340881269017</v>
      </c>
      <c r="AK39" s="48">
        <v>1.8721987496825063</v>
      </c>
      <c r="AL39" s="48">
        <v>3.7795936161732016</v>
      </c>
      <c r="AM39" s="38">
        <v>6.7444389220809597</v>
      </c>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row>
    <row r="40" spans="1:131">
      <c r="A40" s="27" t="s">
        <v>243</v>
      </c>
      <c r="B40" s="27"/>
      <c r="C40" s="48">
        <v>43.648485215587066</v>
      </c>
      <c r="D40" s="48">
        <v>239.1087012654321</v>
      </c>
      <c r="E40" s="48">
        <v>47.821740253086425</v>
      </c>
      <c r="F40" s="48">
        <v>286.93044151851853</v>
      </c>
      <c r="G40" s="48">
        <v>207.32119187122265</v>
      </c>
      <c r="H40" s="48">
        <v>44.151397671175928</v>
      </c>
      <c r="I40" s="48">
        <v>57585.289736575709</v>
      </c>
      <c r="J40" s="48">
        <v>60.353440231303949</v>
      </c>
      <c r="K40" s="48">
        <v>313.84485863370514</v>
      </c>
      <c r="L40" s="50">
        <v>0.21296133440425388</v>
      </c>
      <c r="M40" s="48">
        <v>0.41466523326938892</v>
      </c>
      <c r="N40" s="48">
        <v>2.2754441670325792E-2</v>
      </c>
      <c r="O40" s="48">
        <v>4.9110807991864043</v>
      </c>
      <c r="P40" s="48">
        <v>3.5640284753400318</v>
      </c>
      <c r="Q40" s="48">
        <v>3.2095557777180646</v>
      </c>
      <c r="R40" s="48">
        <v>2.5628571104208251</v>
      </c>
      <c r="S40" s="48">
        <v>1.0558605682640592</v>
      </c>
      <c r="T40" s="48">
        <v>0.2950801766871613</v>
      </c>
      <c r="U40" s="48">
        <v>7.212136009250926E-2</v>
      </c>
      <c r="V40" s="48">
        <v>6.048614629106152E-2</v>
      </c>
      <c r="W40" s="48">
        <v>0.57293807587377898</v>
      </c>
      <c r="X40" s="48">
        <v>1.9660142900158786</v>
      </c>
      <c r="Y40" s="48">
        <v>3.1308222165220365</v>
      </c>
      <c r="Z40" s="48">
        <v>5.7086191012579963</v>
      </c>
      <c r="AA40" s="48"/>
      <c r="AB40" s="48">
        <v>3.0926903748951937</v>
      </c>
      <c r="AC40" s="48">
        <v>2.3107307753625115</v>
      </c>
      <c r="AD40" s="48">
        <v>1.7842176302446633</v>
      </c>
      <c r="AE40" s="48">
        <v>1.522552878852061</v>
      </c>
      <c r="AF40" s="48">
        <v>0.59805316221886573</v>
      </c>
      <c r="AG40" s="48">
        <v>0.14842291217233494</v>
      </c>
      <c r="AH40" s="48">
        <v>4.0022941166940475E-2</v>
      </c>
      <c r="AI40" s="48">
        <v>2.6785396832885382E-2</v>
      </c>
      <c r="AJ40" s="48">
        <v>0.32663363528949041</v>
      </c>
      <c r="AK40" s="48">
        <v>1.0102240987047084</v>
      </c>
      <c r="AL40" s="48">
        <v>2.0394397523319312</v>
      </c>
      <c r="AM40" s="38">
        <v>3.6392475598456788</v>
      </c>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row>
    <row r="41" spans="1:131">
      <c r="A41" s="27" t="s">
        <v>247</v>
      </c>
      <c r="B41" s="27"/>
      <c r="C41" s="48">
        <v>104.5381966544835</v>
      </c>
      <c r="D41" s="48">
        <v>689.07943261446042</v>
      </c>
      <c r="E41" s="48">
        <v>137.8158865228921</v>
      </c>
      <c r="F41" s="48">
        <v>826.89531913735254</v>
      </c>
      <c r="G41" s="48">
        <v>597.47206399229924</v>
      </c>
      <c r="H41" s="48">
        <v>105.7426728447262</v>
      </c>
      <c r="I41" s="48">
        <v>69291.447790940438</v>
      </c>
      <c r="J41" s="48">
        <v>79.870015702127304</v>
      </c>
      <c r="K41" s="48">
        <v>384.8921396513453</v>
      </c>
      <c r="L41" s="50">
        <v>0.17698345950797309</v>
      </c>
      <c r="M41" s="48">
        <v>0.99312394203803223</v>
      </c>
      <c r="N41" s="48">
        <v>5.4496926671032425E-2</v>
      </c>
      <c r="O41" s="48">
        <v>11.762046903475827</v>
      </c>
      <c r="P41" s="48">
        <v>8.5358542867422642</v>
      </c>
      <c r="Q41" s="48">
        <v>7.6868915704045699</v>
      </c>
      <c r="R41" s="48">
        <v>6.138047157495385</v>
      </c>
      <c r="S41" s="48">
        <v>2.5287878646814193</v>
      </c>
      <c r="T41" s="48">
        <v>0.70671752724070591</v>
      </c>
      <c r="U41" s="48">
        <v>0.17273078062391004</v>
      </c>
      <c r="V41" s="48">
        <v>0.14486442369342145</v>
      </c>
      <c r="W41" s="48">
        <v>1.3721876704474067</v>
      </c>
      <c r="X41" s="48">
        <v>4.7086075830602088</v>
      </c>
      <c r="Y41" s="48">
        <v>7.4983245568423449</v>
      </c>
      <c r="Z41" s="48">
        <v>13.672152499343563</v>
      </c>
      <c r="AA41" s="48"/>
      <c r="AB41" s="48">
        <v>7.40699873100679</v>
      </c>
      <c r="AC41" s="48">
        <v>5.5342041543322864</v>
      </c>
      <c r="AD41" s="48">
        <v>4.2732042723513901</v>
      </c>
      <c r="AE41" s="48">
        <v>3.6465167457735337</v>
      </c>
      <c r="AF41" s="48">
        <v>1.4323383451470968</v>
      </c>
      <c r="AG41" s="48">
        <v>0.35547312819831606</v>
      </c>
      <c r="AH41" s="48">
        <v>9.585501246458715E-2</v>
      </c>
      <c r="AI41" s="48">
        <v>6.4151071171299756E-2</v>
      </c>
      <c r="AJ41" s="48">
        <v>0.78228811449493363</v>
      </c>
      <c r="AK41" s="48">
        <v>2.4194884421276184</v>
      </c>
      <c r="AL41" s="48">
        <v>4.8844616907372558</v>
      </c>
      <c r="AM41" s="38">
        <v>8.7160041226273712</v>
      </c>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row>
    <row r="42" spans="1:131">
      <c r="A42" s="27" t="s">
        <v>244</v>
      </c>
      <c r="B42" s="27"/>
      <c r="C42" s="48">
        <v>53.731853345355894</v>
      </c>
      <c r="D42" s="48">
        <v>377.54005462962965</v>
      </c>
      <c r="E42" s="48">
        <v>75.50801092592593</v>
      </c>
      <c r="F42" s="48">
        <v>453.04806555555558</v>
      </c>
      <c r="G42" s="48">
        <v>327.34925032298321</v>
      </c>
      <c r="H42" s="48">
        <v>54.350945123129726</v>
      </c>
      <c r="I42" s="48">
        <v>73861.235136600517</v>
      </c>
      <c r="J42" s="48">
        <v>87.488792007982397</v>
      </c>
      <c r="K42" s="48">
        <v>412.62719706558471</v>
      </c>
      <c r="L42" s="50">
        <v>0.1660335102936808</v>
      </c>
      <c r="M42" s="48">
        <v>0.51045829864198844</v>
      </c>
      <c r="N42" s="48">
        <v>2.8011013824342085E-2</v>
      </c>
      <c r="O42" s="48">
        <v>6.0456043770069678</v>
      </c>
      <c r="P42" s="48">
        <v>4.3873654357026073</v>
      </c>
      <c r="Q42" s="48">
        <v>3.9510049317931917</v>
      </c>
      <c r="R42" s="48">
        <v>3.1549104561607684</v>
      </c>
      <c r="S42" s="48">
        <v>1.2997781005891318</v>
      </c>
      <c r="T42" s="48">
        <v>0.36324753769952806</v>
      </c>
      <c r="U42" s="48">
        <v>8.8782332867177127E-2</v>
      </c>
      <c r="V42" s="48">
        <v>7.4459233255967816E-2</v>
      </c>
      <c r="W42" s="48">
        <v>0.70529422766375438</v>
      </c>
      <c r="X42" s="48">
        <v>2.4201891768808399</v>
      </c>
      <c r="Y42" s="48">
        <v>3.8540828933158551</v>
      </c>
      <c r="Z42" s="48">
        <v>7.0273844060860036</v>
      </c>
      <c r="AA42" s="48"/>
      <c r="AB42" s="48">
        <v>3.807142100022296</v>
      </c>
      <c r="AC42" s="48">
        <v>2.8445396565111714</v>
      </c>
      <c r="AD42" s="48">
        <v>2.1963951227858263</v>
      </c>
      <c r="AE42" s="48">
        <v>1.8742824084949872</v>
      </c>
      <c r="AF42" s="48">
        <v>0.73621122580435061</v>
      </c>
      <c r="AG42" s="48">
        <v>0.18271053647210234</v>
      </c>
      <c r="AH42" s="48">
        <v>4.9268761438344189E-2</v>
      </c>
      <c r="AI42" s="48">
        <v>3.2973172088634192E-2</v>
      </c>
      <c r="AJ42" s="48">
        <v>0.40209025587829461</v>
      </c>
      <c r="AK42" s="48">
        <v>1.2435990126448115</v>
      </c>
      <c r="AL42" s="48">
        <v>2.5105768765568923</v>
      </c>
      <c r="AM42" s="38">
        <v>4.479961107636397</v>
      </c>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row>
    <row r="43" spans="1:131">
      <c r="A43" s="27"/>
      <c r="B43" s="27"/>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EA232"/>
  <sheetViews>
    <sheetView topLeftCell="A69" workbookViewId="0">
      <selection activeCell="A49" sqref="A49:EA232"/>
    </sheetView>
  </sheetViews>
  <sheetFormatPr defaultRowHeight="12.75"/>
  <cols>
    <col min="1" max="1" width="84.42578125" bestFit="1" customWidth="1"/>
    <col min="2" max="2" width="95.7109375" bestFit="1" customWidth="1"/>
    <col min="7" max="7" width="14.5703125" customWidth="1"/>
    <col min="15" max="15" width="9.85546875" customWidth="1"/>
  </cols>
  <sheetData>
    <row r="1" spans="1:20">
      <c r="A1" s="1" t="s">
        <v>0</v>
      </c>
      <c r="B1" s="32"/>
      <c r="C1" s="32"/>
      <c r="D1" s="32" t="s">
        <v>64</v>
      </c>
      <c r="E1" s="32" t="s">
        <v>64</v>
      </c>
      <c r="F1" s="32" t="s">
        <v>64</v>
      </c>
      <c r="G1" s="32" t="s">
        <v>64</v>
      </c>
      <c r="H1" s="2"/>
      <c r="I1" s="3"/>
      <c r="J1" s="3"/>
      <c r="K1" s="3"/>
      <c r="L1" s="3"/>
      <c r="M1" s="3"/>
      <c r="N1" s="4"/>
      <c r="O1" s="33" t="s">
        <v>64</v>
      </c>
      <c r="P1" s="4"/>
    </row>
    <row r="2" spans="1:20">
      <c r="A2" s="8" t="s">
        <v>29</v>
      </c>
      <c r="B2" s="2"/>
      <c r="C2" s="2"/>
      <c r="D2" s="2"/>
      <c r="E2" s="2"/>
      <c r="F2" s="2"/>
      <c r="G2" s="2"/>
      <c r="H2" s="2"/>
      <c r="I2" s="3"/>
      <c r="J2" s="3"/>
      <c r="K2" s="3"/>
      <c r="L2" s="3"/>
      <c r="M2" s="3"/>
      <c r="N2" s="4"/>
      <c r="O2" s="4"/>
      <c r="P2" s="4"/>
    </row>
    <row r="3" spans="1:20">
      <c r="A3" s="8" t="s">
        <v>1</v>
      </c>
      <c r="B3" s="27"/>
      <c r="C3" s="8">
        <v>2012</v>
      </c>
      <c r="D3" s="27"/>
      <c r="E3" s="27"/>
      <c r="F3" s="27"/>
      <c r="G3" s="27"/>
      <c r="H3" s="27"/>
      <c r="I3" s="27"/>
      <c r="J3" s="34"/>
      <c r="K3" s="35"/>
      <c r="L3" s="27"/>
      <c r="M3" s="27"/>
      <c r="N3" s="27"/>
      <c r="O3" s="27"/>
      <c r="P3" s="27"/>
    </row>
    <row r="4" spans="1:20">
      <c r="A4" s="27"/>
      <c r="B4" s="27"/>
      <c r="C4" s="27"/>
      <c r="D4" s="27"/>
      <c r="E4" s="27"/>
      <c r="F4" s="27"/>
      <c r="G4" s="27"/>
      <c r="H4" s="27"/>
      <c r="I4" s="27"/>
      <c r="J4" s="27"/>
      <c r="K4" s="27"/>
      <c r="L4" s="27"/>
      <c r="M4" s="27"/>
      <c r="N4" s="27"/>
      <c r="O4" s="27"/>
      <c r="P4" s="27"/>
    </row>
    <row r="5" spans="1:20">
      <c r="A5" s="11">
        <v>1</v>
      </c>
      <c r="B5" s="11">
        <v>2</v>
      </c>
      <c r="C5" s="11">
        <v>3</v>
      </c>
      <c r="D5" s="11">
        <v>4</v>
      </c>
      <c r="E5" s="11">
        <v>5</v>
      </c>
      <c r="F5" s="11">
        <v>6</v>
      </c>
      <c r="G5" s="11">
        <v>7</v>
      </c>
      <c r="H5" s="11">
        <v>8</v>
      </c>
      <c r="I5" s="11">
        <v>9</v>
      </c>
      <c r="J5" s="11">
        <v>10</v>
      </c>
      <c r="K5" s="11">
        <v>11</v>
      </c>
      <c r="L5" s="11">
        <v>12</v>
      </c>
      <c r="M5" s="11">
        <v>13</v>
      </c>
      <c r="N5" s="11">
        <v>14</v>
      </c>
      <c r="O5" s="11">
        <v>15</v>
      </c>
      <c r="P5" s="11">
        <v>16</v>
      </c>
    </row>
    <row r="6" spans="1:20">
      <c r="A6" s="12" t="s">
        <v>2</v>
      </c>
      <c r="B6" s="13"/>
      <c r="C6" s="13"/>
      <c r="D6" s="13"/>
      <c r="E6" s="13"/>
      <c r="F6" s="13"/>
      <c r="G6" s="14"/>
      <c r="H6" s="28"/>
      <c r="I6" s="639" t="s">
        <v>3</v>
      </c>
      <c r="J6" s="640"/>
      <c r="K6" s="640"/>
      <c r="L6" s="640"/>
      <c r="M6" s="640"/>
      <c r="N6" s="641"/>
      <c r="O6" s="642" t="s">
        <v>4</v>
      </c>
      <c r="P6" s="643"/>
      <c r="Q6" s="133" t="s">
        <v>339</v>
      </c>
      <c r="R6" s="644" t="s">
        <v>340</v>
      </c>
      <c r="S6" s="644"/>
      <c r="T6" s="644"/>
    </row>
    <row r="7" spans="1:20" ht="38.25">
      <c r="A7" s="29" t="s">
        <v>5</v>
      </c>
      <c r="B7" s="29" t="s">
        <v>6</v>
      </c>
      <c r="C7" s="29" t="s">
        <v>7</v>
      </c>
      <c r="D7" s="29" t="s">
        <v>8</v>
      </c>
      <c r="E7" s="29" t="s">
        <v>9</v>
      </c>
      <c r="F7" s="29" t="s">
        <v>10</v>
      </c>
      <c r="G7" s="29" t="s">
        <v>11</v>
      </c>
      <c r="H7" s="29" t="s">
        <v>12</v>
      </c>
      <c r="I7" s="29" t="s">
        <v>13</v>
      </c>
      <c r="J7" s="29" t="s">
        <v>14</v>
      </c>
      <c r="K7" s="29" t="s">
        <v>15</v>
      </c>
      <c r="L7" s="29" t="s">
        <v>16</v>
      </c>
      <c r="M7" s="29" t="s">
        <v>17</v>
      </c>
      <c r="N7" s="29" t="s">
        <v>18</v>
      </c>
      <c r="O7" s="30" t="s">
        <v>19</v>
      </c>
      <c r="P7" s="29" t="s">
        <v>11</v>
      </c>
      <c r="Q7" s="134" t="s">
        <v>341</v>
      </c>
      <c r="R7" s="135" t="s">
        <v>342</v>
      </c>
      <c r="S7" s="135" t="s">
        <v>343</v>
      </c>
      <c r="T7" s="135" t="s">
        <v>344</v>
      </c>
    </row>
    <row r="8" spans="1:20" ht="25.5">
      <c r="A8" s="55" t="str">
        <f>Segmented!F136</f>
        <v>WALL R0 - R11_Electric Zonal</v>
      </c>
      <c r="B8" s="55" t="str">
        <f>Segmented!G136</f>
        <v>WALL R0 - R11</v>
      </c>
      <c r="C8" s="55">
        <f>Segmented!H136</f>
        <v>704.9921890197345</v>
      </c>
      <c r="D8" s="55">
        <f>Segmented!I136</f>
        <v>45</v>
      </c>
      <c r="E8" s="55">
        <f>Segmented!J136</f>
        <v>414.11354893012162</v>
      </c>
      <c r="F8" s="55">
        <f>Segmented!K136</f>
        <v>0</v>
      </c>
      <c r="G8" s="55" t="s">
        <v>1947</v>
      </c>
      <c r="H8" s="55">
        <f>Segmented!M136</f>
        <v>0</v>
      </c>
      <c r="I8" s="55">
        <f>Segmented!N136</f>
        <v>0</v>
      </c>
      <c r="J8" s="55">
        <f>Segmented!O136</f>
        <v>0</v>
      </c>
      <c r="K8" s="55">
        <f>Segmented!P136</f>
        <v>0</v>
      </c>
      <c r="L8" s="55">
        <f>Segmented!Q136</f>
        <v>0</v>
      </c>
      <c r="M8" s="55">
        <f>Segmented!R136</f>
        <v>0</v>
      </c>
      <c r="N8" s="55">
        <f>Segmented!S136</f>
        <v>0</v>
      </c>
      <c r="O8" s="55">
        <f>Segmented!T136</f>
        <v>0</v>
      </c>
      <c r="P8" s="55"/>
      <c r="Q8" t="s">
        <v>345</v>
      </c>
    </row>
    <row r="9" spans="1:20" ht="25.5">
      <c r="A9" s="55" t="str">
        <f>Segmented!F137</f>
        <v>FLOOR R0 - R19_Electric Zonal</v>
      </c>
      <c r="B9" s="55" t="str">
        <f>Segmented!G137</f>
        <v>FLOOR R0 - R19</v>
      </c>
      <c r="C9" s="55">
        <f>Segmented!H137</f>
        <v>240.0970997130473</v>
      </c>
      <c r="D9" s="55">
        <f>Segmented!I137</f>
        <v>45</v>
      </c>
      <c r="E9" s="55">
        <f>Segmented!J137</f>
        <v>436.41697398915824</v>
      </c>
      <c r="F9" s="55">
        <f>Segmented!K137</f>
        <v>0</v>
      </c>
      <c r="G9" s="55" t="s">
        <v>1947</v>
      </c>
      <c r="H9" s="55">
        <f>Segmented!M137</f>
        <v>0</v>
      </c>
      <c r="I9" s="55">
        <f>Segmented!N137</f>
        <v>0</v>
      </c>
      <c r="J9" s="55">
        <f>Segmented!O137</f>
        <v>0</v>
      </c>
      <c r="K9" s="55">
        <f>Segmented!P137</f>
        <v>0</v>
      </c>
      <c r="L9" s="55">
        <f>Segmented!Q137</f>
        <v>0</v>
      </c>
      <c r="M9" s="55">
        <f>Segmented!R137</f>
        <v>0</v>
      </c>
      <c r="N9" s="55">
        <f>Segmented!S137</f>
        <v>0</v>
      </c>
      <c r="O9" s="55">
        <f>Segmented!T137</f>
        <v>0</v>
      </c>
      <c r="P9" s="55"/>
      <c r="Q9" t="s">
        <v>345</v>
      </c>
    </row>
    <row r="10" spans="1:20" ht="25.5">
      <c r="A10" s="55" t="str">
        <f>Segmented!F138</f>
        <v>FLOOR R0 - R30_Electric Zonal</v>
      </c>
      <c r="B10" s="55" t="str">
        <f>Segmented!G138</f>
        <v>FLOOR R0 - R30</v>
      </c>
      <c r="C10" s="55">
        <f>Segmented!H138</f>
        <v>312.51710368259592</v>
      </c>
      <c r="D10" s="55">
        <f>Segmented!I138</f>
        <v>45</v>
      </c>
      <c r="E10" s="55">
        <f>Segmented!J138</f>
        <v>689.0794326144603</v>
      </c>
      <c r="F10" s="55">
        <f>Segmented!K138</f>
        <v>0</v>
      </c>
      <c r="G10" s="55" t="s">
        <v>1947</v>
      </c>
      <c r="H10" s="55">
        <f>Segmented!M138</f>
        <v>0</v>
      </c>
      <c r="I10" s="55">
        <f>Segmented!N138</f>
        <v>0</v>
      </c>
      <c r="J10" s="55">
        <f>Segmented!O138</f>
        <v>0</v>
      </c>
      <c r="K10" s="55">
        <f>Segmented!P138</f>
        <v>0</v>
      </c>
      <c r="L10" s="55">
        <f>Segmented!Q138</f>
        <v>0</v>
      </c>
      <c r="M10" s="55">
        <f>Segmented!R138</f>
        <v>0</v>
      </c>
      <c r="N10" s="55">
        <f>Segmented!S138</f>
        <v>0</v>
      </c>
      <c r="O10" s="55">
        <f>Segmented!T138</f>
        <v>0</v>
      </c>
      <c r="P10" s="55"/>
      <c r="Q10" t="s">
        <v>345</v>
      </c>
    </row>
    <row r="11" spans="1:20" ht="25.5">
      <c r="A11" s="55" t="str">
        <f>Segmented!F139</f>
        <v>ATTIC R0 - R19_Electric Zonal</v>
      </c>
      <c r="B11" s="55" t="str">
        <f>Segmented!G139</f>
        <v>ATTIC R0 - R19</v>
      </c>
      <c r="C11" s="55">
        <f>Segmented!H139</f>
        <v>187.44992932580061</v>
      </c>
      <c r="D11" s="55">
        <f>Segmented!I139</f>
        <v>45</v>
      </c>
      <c r="E11" s="55">
        <f>Segmented!J139</f>
        <v>239.1087012654321</v>
      </c>
      <c r="F11" s="55">
        <f>Segmented!K139</f>
        <v>0</v>
      </c>
      <c r="G11" s="55" t="s">
        <v>1947</v>
      </c>
      <c r="H11" s="55">
        <f>Segmented!M139</f>
        <v>0</v>
      </c>
      <c r="I11" s="55">
        <f>Segmented!N139</f>
        <v>0</v>
      </c>
      <c r="J11" s="55">
        <f>Segmented!O139</f>
        <v>0</v>
      </c>
      <c r="K11" s="55">
        <f>Segmented!P139</f>
        <v>0</v>
      </c>
      <c r="L11" s="55">
        <f>Segmented!Q139</f>
        <v>0</v>
      </c>
      <c r="M11" s="55">
        <f>Segmented!R139</f>
        <v>0</v>
      </c>
      <c r="N11" s="55">
        <f>Segmented!S139</f>
        <v>0</v>
      </c>
      <c r="O11" s="55">
        <f>Segmented!T139</f>
        <v>0</v>
      </c>
      <c r="P11" s="55"/>
      <c r="Q11" t="s">
        <v>345</v>
      </c>
    </row>
    <row r="12" spans="1:20" ht="25.5">
      <c r="A12" s="55" t="str">
        <f>Segmented!F140</f>
        <v>ATTIC R0 - R38_Electric Zonal</v>
      </c>
      <c r="B12" s="55" t="str">
        <f>Segmented!G140</f>
        <v>ATTIC R0 - R38</v>
      </c>
      <c r="C12" s="55">
        <f>Segmented!H140</f>
        <v>255.17049569415468</v>
      </c>
      <c r="D12" s="55">
        <f>Segmented!I140</f>
        <v>45</v>
      </c>
      <c r="E12" s="55">
        <f>Segmented!J140</f>
        <v>478.21740253086421</v>
      </c>
      <c r="F12" s="55">
        <f>Segmented!K140</f>
        <v>0</v>
      </c>
      <c r="G12" s="55" t="s">
        <v>1947</v>
      </c>
      <c r="H12" s="55">
        <f>Segmented!M140</f>
        <v>0</v>
      </c>
      <c r="I12" s="55">
        <f>Segmented!N140</f>
        <v>0</v>
      </c>
      <c r="J12" s="55">
        <f>Segmented!O140</f>
        <v>0</v>
      </c>
      <c r="K12" s="55">
        <f>Segmented!P140</f>
        <v>0</v>
      </c>
      <c r="L12" s="55">
        <f>Segmented!Q140</f>
        <v>0</v>
      </c>
      <c r="M12" s="55">
        <f>Segmented!R140</f>
        <v>0</v>
      </c>
      <c r="N12" s="55">
        <f>Segmented!S140</f>
        <v>0</v>
      </c>
      <c r="O12" s="55">
        <f>Segmented!T140</f>
        <v>0</v>
      </c>
      <c r="P12" s="55"/>
      <c r="Q12" t="s">
        <v>345</v>
      </c>
    </row>
    <row r="13" spans="1:20" ht="25.5">
      <c r="A13" s="55" t="str">
        <f>Segmented!F141</f>
        <v>ATTIC R0 - R49_Electric Zonal</v>
      </c>
      <c r="B13" s="55" t="str">
        <f>Segmented!G141</f>
        <v>ATTIC R0 - R49</v>
      </c>
      <c r="C13" s="55">
        <f>Segmented!H141</f>
        <v>270.85865359604821</v>
      </c>
      <c r="D13" s="55">
        <f>Segmented!I141</f>
        <v>45</v>
      </c>
      <c r="E13" s="55">
        <f>Segmented!J141</f>
        <v>616.64875589506175</v>
      </c>
      <c r="F13" s="55">
        <f>Segmented!K141</f>
        <v>0</v>
      </c>
      <c r="G13" s="55" t="s">
        <v>1947</v>
      </c>
      <c r="H13" s="55">
        <f>Segmented!M141</f>
        <v>0</v>
      </c>
      <c r="I13" s="55">
        <f>Segmented!N141</f>
        <v>0</v>
      </c>
      <c r="J13" s="55">
        <f>Segmented!O141</f>
        <v>0</v>
      </c>
      <c r="K13" s="55">
        <f>Segmented!P141</f>
        <v>0</v>
      </c>
      <c r="L13" s="55">
        <f>Segmented!Q141</f>
        <v>0</v>
      </c>
      <c r="M13" s="55">
        <f>Segmented!R141</f>
        <v>0</v>
      </c>
      <c r="N13" s="55">
        <f>Segmented!S141</f>
        <v>0</v>
      </c>
      <c r="O13" s="55">
        <f>Segmented!T141</f>
        <v>0</v>
      </c>
      <c r="P13" s="55"/>
      <c r="Q13" t="s">
        <v>345</v>
      </c>
    </row>
    <row r="14" spans="1:20" ht="25.5">
      <c r="A14" s="55" t="str">
        <f>Segmented!F142</f>
        <v>ATTIC R19 - R30_Electric Zonal</v>
      </c>
      <c r="B14" s="55" t="str">
        <f>Segmented!G142</f>
        <v>ATTIC R19 - R30</v>
      </c>
      <c r="C14" s="55">
        <f>Segmented!H142</f>
        <v>49.083580521539076</v>
      </c>
      <c r="D14" s="55">
        <f>Segmented!I142</f>
        <v>45</v>
      </c>
      <c r="E14" s="55">
        <f>Segmented!J142</f>
        <v>138.43135336419752</v>
      </c>
      <c r="F14" s="55">
        <f>Segmented!K142</f>
        <v>0</v>
      </c>
      <c r="G14" s="55" t="s">
        <v>1947</v>
      </c>
      <c r="H14" s="55">
        <f>Segmented!M142</f>
        <v>0</v>
      </c>
      <c r="I14" s="55">
        <f>Segmented!N142</f>
        <v>0</v>
      </c>
      <c r="J14" s="55">
        <f>Segmented!O142</f>
        <v>0</v>
      </c>
      <c r="K14" s="55">
        <f>Segmented!P142</f>
        <v>0</v>
      </c>
      <c r="L14" s="55">
        <f>Segmented!Q142</f>
        <v>0</v>
      </c>
      <c r="M14" s="55">
        <f>Segmented!R142</f>
        <v>0</v>
      </c>
      <c r="N14" s="55">
        <f>Segmented!S142</f>
        <v>0</v>
      </c>
      <c r="O14" s="55">
        <f>Segmented!T142</f>
        <v>0</v>
      </c>
      <c r="P14" s="55"/>
      <c r="Q14" t="s">
        <v>345</v>
      </c>
    </row>
    <row r="15" spans="1:20" ht="25.5">
      <c r="A15" s="55" t="str">
        <f>Segmented!F143</f>
        <v>ATTIC R19 - R38_Electric Zonal</v>
      </c>
      <c r="B15" s="55" t="str">
        <f>Segmented!G143</f>
        <v>ATTIC R19 - R38</v>
      </c>
      <c r="C15" s="55">
        <f>Segmented!H143</f>
        <v>67.720566368354085</v>
      </c>
      <c r="D15" s="55">
        <f>Segmented!I143</f>
        <v>45</v>
      </c>
      <c r="E15" s="55">
        <f>Segmented!J143</f>
        <v>239.1087012654321</v>
      </c>
      <c r="F15" s="55">
        <f>Segmented!K143</f>
        <v>0</v>
      </c>
      <c r="G15" s="55" t="s">
        <v>1947</v>
      </c>
      <c r="H15" s="55">
        <f>Segmented!M143</f>
        <v>0</v>
      </c>
      <c r="I15" s="55">
        <f>Segmented!N143</f>
        <v>0</v>
      </c>
      <c r="J15" s="55">
        <f>Segmented!O143</f>
        <v>0</v>
      </c>
      <c r="K15" s="55">
        <f>Segmented!P143</f>
        <v>0</v>
      </c>
      <c r="L15" s="55">
        <f>Segmented!Q143</f>
        <v>0</v>
      </c>
      <c r="M15" s="55">
        <f>Segmented!R143</f>
        <v>0</v>
      </c>
      <c r="N15" s="55">
        <f>Segmented!S143</f>
        <v>0</v>
      </c>
      <c r="O15" s="55">
        <f>Segmented!T143</f>
        <v>0</v>
      </c>
      <c r="P15" s="55"/>
      <c r="Q15" t="s">
        <v>345</v>
      </c>
    </row>
    <row r="16" spans="1:20" ht="25.5">
      <c r="A16" s="55" t="str">
        <f>Segmented!F144</f>
        <v>ATTIC R19 - R49_Electric Zonal</v>
      </c>
      <c r="B16" s="55" t="str">
        <f>Segmented!G144</f>
        <v>ATTIC R19 - R49</v>
      </c>
      <c r="C16" s="55">
        <f>Segmented!H144</f>
        <v>83.408724270247603</v>
      </c>
      <c r="D16" s="55">
        <f>Segmented!I144</f>
        <v>45</v>
      </c>
      <c r="E16" s="55">
        <f>Segmented!J144</f>
        <v>377.54005462962965</v>
      </c>
      <c r="F16" s="55">
        <f>Segmented!K144</f>
        <v>0</v>
      </c>
      <c r="G16" s="55" t="s">
        <v>1947</v>
      </c>
      <c r="H16" s="55">
        <f>Segmented!M144</f>
        <v>0</v>
      </c>
      <c r="I16" s="55">
        <f>Segmented!N144</f>
        <v>0</v>
      </c>
      <c r="J16" s="55">
        <f>Segmented!O144</f>
        <v>0</v>
      </c>
      <c r="K16" s="55">
        <f>Segmented!P144</f>
        <v>0</v>
      </c>
      <c r="L16" s="55">
        <f>Segmented!Q144</f>
        <v>0</v>
      </c>
      <c r="M16" s="55">
        <f>Segmented!R144</f>
        <v>0</v>
      </c>
      <c r="N16" s="55">
        <f>Segmented!S144</f>
        <v>0</v>
      </c>
      <c r="O16" s="55">
        <f>Segmented!T144</f>
        <v>0</v>
      </c>
      <c r="P16" s="55"/>
      <c r="Q16" t="s">
        <v>345</v>
      </c>
    </row>
    <row r="17" spans="1:17" ht="25.5">
      <c r="A17" s="55" t="str">
        <f>Segmented!F145</f>
        <v>WINDOW CL22 Prime Window Replacement of Single Pane Base_Electric Zonal</v>
      </c>
      <c r="B17" s="55" t="str">
        <f>Segmented!G145</f>
        <v>WINDOW CL22 Prime Window Replacement of Single Pane Base</v>
      </c>
      <c r="C17" s="55">
        <f>Segmented!H145</f>
        <v>4603.3966563064459</v>
      </c>
      <c r="D17" s="55">
        <f>Segmented!I145</f>
        <v>45</v>
      </c>
      <c r="E17" s="55">
        <f>Segmented!J145</f>
        <v>4101.7368570659019</v>
      </c>
      <c r="F17" s="55">
        <f>Segmented!K145</f>
        <v>0</v>
      </c>
      <c r="G17" s="55" t="s">
        <v>1947</v>
      </c>
      <c r="H17" s="55">
        <f>Segmented!M145</f>
        <v>0</v>
      </c>
      <c r="I17" s="55">
        <f>Segmented!N145</f>
        <v>0</v>
      </c>
      <c r="J17" s="55">
        <f>Segmented!O145</f>
        <v>0</v>
      </c>
      <c r="K17" s="55">
        <f>Segmented!P145</f>
        <v>0</v>
      </c>
      <c r="L17" s="55">
        <f>Segmented!Q145</f>
        <v>0</v>
      </c>
      <c r="M17" s="55">
        <f>Segmented!R145</f>
        <v>0</v>
      </c>
      <c r="N17" s="55">
        <f>Segmented!S145</f>
        <v>0</v>
      </c>
      <c r="O17" s="55">
        <f>Segmented!T145</f>
        <v>0</v>
      </c>
      <c r="P17" s="55"/>
      <c r="Q17" t="s">
        <v>345</v>
      </c>
    </row>
    <row r="18" spans="1:17" ht="25.5">
      <c r="A18" s="55" t="str">
        <f>Segmented!F146</f>
        <v>WINDOW CL22 Prime Window Replacement of Double Pane Base_Electric Zonal</v>
      </c>
      <c r="B18" s="55" t="str">
        <f>Segmented!G146</f>
        <v>WINDOW CL22 Prime Window Replacement of Double Pane Base</v>
      </c>
      <c r="C18" s="55">
        <f>Segmented!H146</f>
        <v>2715.9795695095759</v>
      </c>
      <c r="D18" s="55">
        <f>Segmented!I146</f>
        <v>45</v>
      </c>
      <c r="E18" s="55">
        <f>Segmented!J146</f>
        <v>4101.7368570659019</v>
      </c>
      <c r="F18" s="55">
        <f>Segmented!K146</f>
        <v>0</v>
      </c>
      <c r="G18" s="55" t="s">
        <v>1947</v>
      </c>
      <c r="H18" s="55">
        <f>Segmented!M146</f>
        <v>0</v>
      </c>
      <c r="I18" s="55">
        <f>Segmented!N146</f>
        <v>0</v>
      </c>
      <c r="J18" s="55">
        <f>Segmented!O146</f>
        <v>0</v>
      </c>
      <c r="K18" s="55">
        <f>Segmented!P146</f>
        <v>0</v>
      </c>
      <c r="L18" s="55">
        <f>Segmented!Q146</f>
        <v>0</v>
      </c>
      <c r="M18" s="55">
        <f>Segmented!R146</f>
        <v>0</v>
      </c>
      <c r="N18" s="55">
        <f>Segmented!S146</f>
        <v>0</v>
      </c>
      <c r="O18" s="55">
        <f>Segmented!T146</f>
        <v>0</v>
      </c>
      <c r="P18" s="55"/>
      <c r="Q18" t="s">
        <v>345</v>
      </c>
    </row>
    <row r="19" spans="1:17" ht="25.5">
      <c r="A19" s="55" t="str">
        <f>Segmented!F147</f>
        <v>WINDOW CL30 Prime Window Replacement of Single Pane Base_Electric Zonal</v>
      </c>
      <c r="B19" s="55" t="str">
        <f>Segmented!G147</f>
        <v>WINDOW CL30 Prime Window Replacement of Single Pane Base</v>
      </c>
      <c r="C19" s="55">
        <f>Segmented!H147</f>
        <v>4233.5666119273837</v>
      </c>
      <c r="D19" s="55">
        <f>Segmented!I147</f>
        <v>45</v>
      </c>
      <c r="E19" s="55">
        <f>Segmented!J147</f>
        <v>3865.0968570659024</v>
      </c>
      <c r="F19" s="55">
        <f>Segmented!K147</f>
        <v>0</v>
      </c>
      <c r="G19" s="55" t="s">
        <v>1947</v>
      </c>
      <c r="H19" s="55">
        <f>Segmented!M147</f>
        <v>0</v>
      </c>
      <c r="I19" s="55">
        <f>Segmented!N147</f>
        <v>0</v>
      </c>
      <c r="J19" s="55">
        <f>Segmented!O147</f>
        <v>0</v>
      </c>
      <c r="K19" s="55">
        <f>Segmented!P147</f>
        <v>0</v>
      </c>
      <c r="L19" s="55">
        <f>Segmented!Q147</f>
        <v>0</v>
      </c>
      <c r="M19" s="55">
        <f>Segmented!R147</f>
        <v>0</v>
      </c>
      <c r="N19" s="55">
        <f>Segmented!S147</f>
        <v>0</v>
      </c>
      <c r="O19" s="55">
        <f>Segmented!T147</f>
        <v>0</v>
      </c>
      <c r="P19" s="55"/>
      <c r="Q19" t="s">
        <v>345</v>
      </c>
    </row>
    <row r="20" spans="1:17" ht="25.5">
      <c r="A20" s="55" t="str">
        <f>Segmented!F148</f>
        <v>WINDOW CL30 Prime Window Replacement of Double Pane Base_Electric Zonal</v>
      </c>
      <c r="B20" s="55" t="str">
        <f>Segmented!G148</f>
        <v>WINDOW CL30 Prime Window Replacement of Double Pane Base</v>
      </c>
      <c r="C20" s="55">
        <f>Segmented!H148</f>
        <v>2346.1495251305123</v>
      </c>
      <c r="D20" s="55">
        <f>Segmented!I148</f>
        <v>45</v>
      </c>
      <c r="E20" s="55">
        <f>Segmented!J148</f>
        <v>3865.0968570659024</v>
      </c>
      <c r="F20" s="55">
        <f>Segmented!K148</f>
        <v>0</v>
      </c>
      <c r="G20" s="55" t="s">
        <v>1947</v>
      </c>
      <c r="H20" s="55">
        <f>Segmented!M148</f>
        <v>0</v>
      </c>
      <c r="I20" s="55">
        <f>Segmented!N148</f>
        <v>0</v>
      </c>
      <c r="J20" s="55">
        <f>Segmented!O148</f>
        <v>0</v>
      </c>
      <c r="K20" s="55">
        <f>Segmented!P148</f>
        <v>0</v>
      </c>
      <c r="L20" s="55">
        <f>Segmented!Q148</f>
        <v>0</v>
      </c>
      <c r="M20" s="55">
        <f>Segmented!R148</f>
        <v>0</v>
      </c>
      <c r="N20" s="55">
        <f>Segmented!S148</f>
        <v>0</v>
      </c>
      <c r="O20" s="55">
        <f>Segmented!T148</f>
        <v>0</v>
      </c>
      <c r="P20" s="55"/>
      <c r="Q20" t="s">
        <v>345</v>
      </c>
    </row>
    <row r="21" spans="1:17" ht="25.5">
      <c r="A21" s="55" t="str">
        <f>Segmented!F149</f>
        <v>WALL R0 - R11_Electric FAF</v>
      </c>
      <c r="B21" s="55" t="str">
        <f>Segmented!G149</f>
        <v>WALL R0 - R11</v>
      </c>
      <c r="C21" s="55">
        <f>Segmented!H149</f>
        <v>623.13432819793707</v>
      </c>
      <c r="D21" s="55">
        <f>Segmented!I149</f>
        <v>45</v>
      </c>
      <c r="E21" s="55">
        <f>Segmented!J149</f>
        <v>414.11354893012168</v>
      </c>
      <c r="F21" s="55">
        <f>Segmented!K149</f>
        <v>0</v>
      </c>
      <c r="G21" s="55" t="s">
        <v>1947</v>
      </c>
      <c r="H21" s="55">
        <f>Segmented!M149</f>
        <v>0</v>
      </c>
      <c r="I21" s="55">
        <f>Segmented!N149</f>
        <v>0</v>
      </c>
      <c r="J21" s="55">
        <f>Segmented!O149</f>
        <v>0</v>
      </c>
      <c r="K21" s="55">
        <f>Segmented!P149</f>
        <v>0</v>
      </c>
      <c r="L21" s="55">
        <f>Segmented!Q149</f>
        <v>0</v>
      </c>
      <c r="M21" s="55">
        <f>Segmented!R149</f>
        <v>0</v>
      </c>
      <c r="N21" s="55">
        <f>Segmented!S149</f>
        <v>0</v>
      </c>
      <c r="O21" s="55">
        <f>Segmented!T149</f>
        <v>0</v>
      </c>
      <c r="P21" s="55"/>
      <c r="Q21" t="s">
        <v>345</v>
      </c>
    </row>
    <row r="22" spans="1:17" ht="25.5">
      <c r="A22" s="55" t="str">
        <f>Segmented!F150</f>
        <v>FLOOR R0 - R19_Electric FAF</v>
      </c>
      <c r="B22" s="55" t="str">
        <f>Segmented!G150</f>
        <v>FLOOR R0 - R19</v>
      </c>
      <c r="C22" s="55">
        <f>Segmented!H150</f>
        <v>214.47042744325265</v>
      </c>
      <c r="D22" s="55">
        <f>Segmented!I150</f>
        <v>45</v>
      </c>
      <c r="E22" s="55">
        <f>Segmented!J150</f>
        <v>436.41697398915824</v>
      </c>
      <c r="F22" s="55">
        <f>Segmented!K150</f>
        <v>0</v>
      </c>
      <c r="G22" s="55" t="s">
        <v>1947</v>
      </c>
      <c r="H22" s="55">
        <f>Segmented!M150</f>
        <v>0</v>
      </c>
      <c r="I22" s="55">
        <f>Segmented!N150</f>
        <v>0</v>
      </c>
      <c r="J22" s="55">
        <f>Segmented!O150</f>
        <v>0</v>
      </c>
      <c r="K22" s="55">
        <f>Segmented!P150</f>
        <v>0</v>
      </c>
      <c r="L22" s="55">
        <f>Segmented!Q150</f>
        <v>0</v>
      </c>
      <c r="M22" s="55">
        <f>Segmented!R150</f>
        <v>0</v>
      </c>
      <c r="N22" s="55">
        <f>Segmented!S150</f>
        <v>0</v>
      </c>
      <c r="O22" s="55">
        <f>Segmented!T150</f>
        <v>0</v>
      </c>
      <c r="P22" s="55"/>
      <c r="Q22" t="s">
        <v>345</v>
      </c>
    </row>
    <row r="23" spans="1:17" ht="25.5">
      <c r="A23" s="55" t="str">
        <f>Segmented!F151</f>
        <v>FLOOR R0 - R30_Electric FAF</v>
      </c>
      <c r="B23" s="55" t="str">
        <f>Segmented!G151</f>
        <v>FLOOR R0 - R30</v>
      </c>
      <c r="C23" s="55">
        <f>Segmented!H151</f>
        <v>278.87595778559358</v>
      </c>
      <c r="D23" s="55">
        <f>Segmented!I151</f>
        <v>45</v>
      </c>
      <c r="E23" s="55">
        <f>Segmented!J151</f>
        <v>689.07943261446042</v>
      </c>
      <c r="F23" s="55">
        <f>Segmented!K151</f>
        <v>0</v>
      </c>
      <c r="G23" s="55" t="s">
        <v>1947</v>
      </c>
      <c r="H23" s="55">
        <f>Segmented!M151</f>
        <v>0</v>
      </c>
      <c r="I23" s="55">
        <f>Segmented!N151</f>
        <v>0</v>
      </c>
      <c r="J23" s="55">
        <f>Segmented!O151</f>
        <v>0</v>
      </c>
      <c r="K23" s="55">
        <f>Segmented!P151</f>
        <v>0</v>
      </c>
      <c r="L23" s="55">
        <f>Segmented!Q151</f>
        <v>0</v>
      </c>
      <c r="M23" s="55">
        <f>Segmented!R151</f>
        <v>0</v>
      </c>
      <c r="N23" s="55">
        <f>Segmented!S151</f>
        <v>0</v>
      </c>
      <c r="O23" s="55">
        <f>Segmented!T151</f>
        <v>0</v>
      </c>
      <c r="P23" s="55"/>
      <c r="Q23" t="s">
        <v>345</v>
      </c>
    </row>
    <row r="24" spans="1:17" ht="25.5">
      <c r="A24" s="55" t="str">
        <f>Segmented!F152</f>
        <v>ATTIC R0 - R19_Electric FAF</v>
      </c>
      <c r="B24" s="55" t="str">
        <f>Segmented!G152</f>
        <v>ATTIC R0 - R19</v>
      </c>
      <c r="C24" s="55">
        <f>Segmented!H152</f>
        <v>189.74921960577254</v>
      </c>
      <c r="D24" s="55">
        <f>Segmented!I152</f>
        <v>45</v>
      </c>
      <c r="E24" s="55">
        <f>Segmented!J152</f>
        <v>239.1087012654321</v>
      </c>
      <c r="F24" s="55">
        <f>Segmented!K152</f>
        <v>0</v>
      </c>
      <c r="G24" s="55" t="s">
        <v>1947</v>
      </c>
      <c r="H24" s="55">
        <f>Segmented!M152</f>
        <v>0</v>
      </c>
      <c r="I24" s="55">
        <f>Segmented!N152</f>
        <v>0</v>
      </c>
      <c r="J24" s="55">
        <f>Segmented!O152</f>
        <v>0</v>
      </c>
      <c r="K24" s="55">
        <f>Segmented!P152</f>
        <v>0</v>
      </c>
      <c r="L24" s="55">
        <f>Segmented!Q152</f>
        <v>0</v>
      </c>
      <c r="M24" s="55">
        <f>Segmented!R152</f>
        <v>0</v>
      </c>
      <c r="N24" s="55">
        <f>Segmented!S152</f>
        <v>0</v>
      </c>
      <c r="O24" s="55">
        <f>Segmented!T152</f>
        <v>0</v>
      </c>
      <c r="P24" s="55"/>
      <c r="Q24" t="s">
        <v>345</v>
      </c>
    </row>
    <row r="25" spans="1:17" ht="25.5">
      <c r="A25" s="55" t="str">
        <f>Segmented!F153</f>
        <v>ATTIC R0 - R38_Electric FAF</v>
      </c>
      <c r="B25" s="55" t="str">
        <f>Segmented!G153</f>
        <v>ATTIC R0 - R38</v>
      </c>
      <c r="C25" s="55">
        <f>Segmented!H153</f>
        <v>258.13863950285889</v>
      </c>
      <c r="D25" s="55">
        <f>Segmented!I153</f>
        <v>45</v>
      </c>
      <c r="E25" s="55">
        <f>Segmented!J153</f>
        <v>478.21740253086421</v>
      </c>
      <c r="F25" s="55">
        <f>Segmented!K153</f>
        <v>0</v>
      </c>
      <c r="G25" s="55" t="s">
        <v>1947</v>
      </c>
      <c r="H25" s="55">
        <f>Segmented!M153</f>
        <v>0</v>
      </c>
      <c r="I25" s="55">
        <f>Segmented!N153</f>
        <v>0</v>
      </c>
      <c r="J25" s="55">
        <f>Segmented!O153</f>
        <v>0</v>
      </c>
      <c r="K25" s="55">
        <f>Segmented!P153</f>
        <v>0</v>
      </c>
      <c r="L25" s="55">
        <f>Segmented!Q153</f>
        <v>0</v>
      </c>
      <c r="M25" s="55">
        <f>Segmented!R153</f>
        <v>0</v>
      </c>
      <c r="N25" s="55">
        <f>Segmented!S153</f>
        <v>0</v>
      </c>
      <c r="O25" s="55">
        <f>Segmented!T153</f>
        <v>0</v>
      </c>
      <c r="P25" s="55"/>
      <c r="Q25" t="s">
        <v>345</v>
      </c>
    </row>
    <row r="26" spans="1:17" ht="25.5">
      <c r="A26" s="55" t="str">
        <f>Segmented!F154</f>
        <v>ATTIC R0 - R49_Electric FAF</v>
      </c>
      <c r="B26" s="55" t="str">
        <f>Segmented!G154</f>
        <v>ATTIC R0 - R49</v>
      </c>
      <c r="C26" s="55">
        <f>Segmented!H154</f>
        <v>273.95772266662885</v>
      </c>
      <c r="D26" s="55">
        <f>Segmented!I154</f>
        <v>45</v>
      </c>
      <c r="E26" s="55">
        <f>Segmented!J154</f>
        <v>616.64875589506175</v>
      </c>
      <c r="F26" s="55">
        <f>Segmented!K154</f>
        <v>0</v>
      </c>
      <c r="G26" s="55" t="s">
        <v>1947</v>
      </c>
      <c r="H26" s="55">
        <f>Segmented!M154</f>
        <v>0</v>
      </c>
      <c r="I26" s="55">
        <f>Segmented!N154</f>
        <v>0</v>
      </c>
      <c r="J26" s="55">
        <f>Segmented!O154</f>
        <v>0</v>
      </c>
      <c r="K26" s="55">
        <f>Segmented!P154</f>
        <v>0</v>
      </c>
      <c r="L26" s="55">
        <f>Segmented!Q154</f>
        <v>0</v>
      </c>
      <c r="M26" s="55">
        <f>Segmented!R154</f>
        <v>0</v>
      </c>
      <c r="N26" s="55">
        <f>Segmented!S154</f>
        <v>0</v>
      </c>
      <c r="O26" s="55">
        <f>Segmented!T154</f>
        <v>0</v>
      </c>
      <c r="P26" s="55"/>
      <c r="Q26" t="s">
        <v>345</v>
      </c>
    </row>
    <row r="27" spans="1:17" ht="25.5">
      <c r="A27" s="55" t="str">
        <f>Segmented!F155</f>
        <v>ATTIC R19 - R30_Electric FAF</v>
      </c>
      <c r="B27" s="55" t="str">
        <f>Segmented!G155</f>
        <v>ATTIC R19 - R30</v>
      </c>
      <c r="C27" s="55">
        <f>Segmented!H155</f>
        <v>49.583799360863814</v>
      </c>
      <c r="D27" s="55">
        <f>Segmented!I155</f>
        <v>45</v>
      </c>
      <c r="E27" s="55">
        <f>Segmented!J155</f>
        <v>138.43135336419752</v>
      </c>
      <c r="F27" s="55">
        <f>Segmented!K155</f>
        <v>0</v>
      </c>
      <c r="G27" s="55" t="s">
        <v>1947</v>
      </c>
      <c r="H27" s="55">
        <f>Segmented!M155</f>
        <v>0</v>
      </c>
      <c r="I27" s="55">
        <f>Segmented!N155</f>
        <v>0</v>
      </c>
      <c r="J27" s="55">
        <f>Segmented!O155</f>
        <v>0</v>
      </c>
      <c r="K27" s="55">
        <f>Segmented!P155</f>
        <v>0</v>
      </c>
      <c r="L27" s="55">
        <f>Segmented!Q155</f>
        <v>0</v>
      </c>
      <c r="M27" s="55">
        <f>Segmented!R155</f>
        <v>0</v>
      </c>
      <c r="N27" s="55">
        <f>Segmented!S155</f>
        <v>0</v>
      </c>
      <c r="O27" s="55">
        <f>Segmented!T155</f>
        <v>0</v>
      </c>
      <c r="P27" s="55"/>
      <c r="Q27" t="s">
        <v>345</v>
      </c>
    </row>
    <row r="28" spans="1:17" ht="25.5">
      <c r="A28" s="55" t="str">
        <f>Segmented!F156</f>
        <v>ATTIC R19 - R38_Electric FAF</v>
      </c>
      <c r="B28" s="55" t="str">
        <f>Segmented!G156</f>
        <v>ATTIC R19 - R38</v>
      </c>
      <c r="C28" s="55">
        <f>Segmented!H156</f>
        <v>68.389419897086313</v>
      </c>
      <c r="D28" s="55">
        <f>Segmented!I156</f>
        <v>45</v>
      </c>
      <c r="E28" s="55">
        <f>Segmented!J156</f>
        <v>239.1087012654321</v>
      </c>
      <c r="F28" s="55">
        <f>Segmented!K156</f>
        <v>0</v>
      </c>
      <c r="G28" s="55" t="s">
        <v>1947</v>
      </c>
      <c r="H28" s="55">
        <f>Segmented!M156</f>
        <v>0</v>
      </c>
      <c r="I28" s="55">
        <f>Segmented!N156</f>
        <v>0</v>
      </c>
      <c r="J28" s="55">
        <f>Segmented!O156</f>
        <v>0</v>
      </c>
      <c r="K28" s="55">
        <f>Segmented!P156</f>
        <v>0</v>
      </c>
      <c r="L28" s="55">
        <f>Segmented!Q156</f>
        <v>0</v>
      </c>
      <c r="M28" s="55">
        <f>Segmented!R156</f>
        <v>0</v>
      </c>
      <c r="N28" s="55">
        <f>Segmented!S156</f>
        <v>0</v>
      </c>
      <c r="O28" s="55">
        <f>Segmented!T156</f>
        <v>0</v>
      </c>
      <c r="P28" s="55"/>
      <c r="Q28" t="s">
        <v>345</v>
      </c>
    </row>
    <row r="29" spans="1:17" ht="25.5">
      <c r="A29" s="55" t="str">
        <f>Segmented!F157</f>
        <v>ATTIC R19 - R49_Electric FAF</v>
      </c>
      <c r="B29" s="55" t="str">
        <f>Segmented!G157</f>
        <v>ATTIC R19 - R49</v>
      </c>
      <c r="C29" s="55">
        <f>Segmented!H157</f>
        <v>84.208503060856287</v>
      </c>
      <c r="D29" s="55">
        <f>Segmented!I157</f>
        <v>45</v>
      </c>
      <c r="E29" s="55">
        <f>Segmented!J157</f>
        <v>377.54005462962965</v>
      </c>
      <c r="F29" s="55">
        <f>Segmented!K157</f>
        <v>0</v>
      </c>
      <c r="G29" s="55" t="s">
        <v>1947</v>
      </c>
      <c r="H29" s="55">
        <f>Segmented!M157</f>
        <v>0</v>
      </c>
      <c r="I29" s="55">
        <f>Segmented!N157</f>
        <v>0</v>
      </c>
      <c r="J29" s="55">
        <f>Segmented!O157</f>
        <v>0</v>
      </c>
      <c r="K29" s="55">
        <f>Segmented!P157</f>
        <v>0</v>
      </c>
      <c r="L29" s="55">
        <f>Segmented!Q157</f>
        <v>0</v>
      </c>
      <c r="M29" s="55">
        <f>Segmented!R157</f>
        <v>0</v>
      </c>
      <c r="N29" s="55">
        <f>Segmented!S157</f>
        <v>0</v>
      </c>
      <c r="O29" s="55">
        <f>Segmented!T157</f>
        <v>0</v>
      </c>
      <c r="P29" s="55"/>
      <c r="Q29" t="s">
        <v>345</v>
      </c>
    </row>
    <row r="30" spans="1:17" ht="25.5">
      <c r="A30" s="55" t="str">
        <f>Segmented!F158</f>
        <v>WINDOW CL22 Prime Window Replacement of Single Pane Base_Electric FAF</v>
      </c>
      <c r="B30" s="55" t="str">
        <f>Segmented!G158</f>
        <v>WINDOW CL22 Prime Window Replacement of Single Pane Base</v>
      </c>
      <c r="C30" s="55">
        <f>Segmented!H158</f>
        <v>4065.806191421078</v>
      </c>
      <c r="D30" s="55">
        <f>Segmented!I158</f>
        <v>45</v>
      </c>
      <c r="E30" s="55">
        <f>Segmented!J158</f>
        <v>4101.7368570659019</v>
      </c>
      <c r="F30" s="55">
        <f>Segmented!K158</f>
        <v>0</v>
      </c>
      <c r="G30" s="55" t="s">
        <v>1947</v>
      </c>
      <c r="H30" s="55">
        <f>Segmented!M158</f>
        <v>0</v>
      </c>
      <c r="I30" s="55">
        <f>Segmented!N158</f>
        <v>0</v>
      </c>
      <c r="J30" s="55">
        <f>Segmented!O158</f>
        <v>0</v>
      </c>
      <c r="K30" s="55">
        <f>Segmented!P158</f>
        <v>0</v>
      </c>
      <c r="L30" s="55">
        <f>Segmented!Q158</f>
        <v>0</v>
      </c>
      <c r="M30" s="55">
        <f>Segmented!R158</f>
        <v>0</v>
      </c>
      <c r="N30" s="55">
        <f>Segmented!S158</f>
        <v>0</v>
      </c>
      <c r="O30" s="55">
        <f>Segmented!T158</f>
        <v>0</v>
      </c>
      <c r="P30" s="55"/>
      <c r="Q30" t="s">
        <v>345</v>
      </c>
    </row>
    <row r="31" spans="1:17" ht="25.5">
      <c r="A31" s="55" t="str">
        <f>Segmented!F159</f>
        <v>WINDOW CL22 Prime Window Replacement of Double Pane Base_Electric FAF</v>
      </c>
      <c r="B31" s="55" t="str">
        <f>Segmented!G159</f>
        <v>WINDOW CL22 Prime Window Replacement of Double Pane Base</v>
      </c>
      <c r="C31" s="55">
        <f>Segmented!H159</f>
        <v>2379.0578507099417</v>
      </c>
      <c r="D31" s="55">
        <f>Segmented!I159</f>
        <v>45</v>
      </c>
      <c r="E31" s="55">
        <f>Segmented!J159</f>
        <v>4101.7368570659019</v>
      </c>
      <c r="F31" s="55">
        <f>Segmented!K159</f>
        <v>0</v>
      </c>
      <c r="G31" s="55" t="s">
        <v>1947</v>
      </c>
      <c r="H31" s="55">
        <f>Segmented!M159</f>
        <v>0</v>
      </c>
      <c r="I31" s="55">
        <f>Segmented!N159</f>
        <v>0</v>
      </c>
      <c r="J31" s="55">
        <f>Segmented!O159</f>
        <v>0</v>
      </c>
      <c r="K31" s="55">
        <f>Segmented!P159</f>
        <v>0</v>
      </c>
      <c r="L31" s="55">
        <f>Segmented!Q159</f>
        <v>0</v>
      </c>
      <c r="M31" s="55">
        <f>Segmented!R159</f>
        <v>0</v>
      </c>
      <c r="N31" s="55">
        <f>Segmented!S159</f>
        <v>0</v>
      </c>
      <c r="O31" s="55">
        <f>Segmented!T159</f>
        <v>0</v>
      </c>
      <c r="P31" s="55"/>
      <c r="Q31" t="s">
        <v>345</v>
      </c>
    </row>
    <row r="32" spans="1:17" ht="25.5">
      <c r="A32" s="55" t="str">
        <f>Segmented!F160</f>
        <v>WINDOW CL30 Prime Window Replacement of Single Pane Base_Electric FAF</v>
      </c>
      <c r="B32" s="55" t="str">
        <f>Segmented!G160</f>
        <v>WINDOW CL30 Prime Window Replacement of Single Pane Base</v>
      </c>
      <c r="C32" s="55">
        <f>Segmented!H160</f>
        <v>3743.6189487666979</v>
      </c>
      <c r="D32" s="55">
        <f>Segmented!I160</f>
        <v>45</v>
      </c>
      <c r="E32" s="55">
        <f>Segmented!J160</f>
        <v>3865.0968570659024</v>
      </c>
      <c r="F32" s="55">
        <f>Segmented!K160</f>
        <v>0</v>
      </c>
      <c r="G32" s="55" t="s">
        <v>1947</v>
      </c>
      <c r="H32" s="55">
        <f>Segmented!M160</f>
        <v>0</v>
      </c>
      <c r="I32" s="55">
        <f>Segmented!N160</f>
        <v>0</v>
      </c>
      <c r="J32" s="55">
        <f>Segmented!O160</f>
        <v>0</v>
      </c>
      <c r="K32" s="55">
        <f>Segmented!P160</f>
        <v>0</v>
      </c>
      <c r="L32" s="55">
        <f>Segmented!Q160</f>
        <v>0</v>
      </c>
      <c r="M32" s="55">
        <f>Segmented!R160</f>
        <v>0</v>
      </c>
      <c r="N32" s="55">
        <f>Segmented!S160</f>
        <v>0</v>
      </c>
      <c r="O32" s="55">
        <f>Segmented!T160</f>
        <v>0</v>
      </c>
      <c r="P32" s="55"/>
      <c r="Q32" t="s">
        <v>345</v>
      </c>
    </row>
    <row r="33" spans="1:17" ht="25.5">
      <c r="A33" s="55" t="str">
        <f>Segmented!F161</f>
        <v>WINDOW CL30 Prime Window Replacement of Double Pane Base_Electric FAF</v>
      </c>
      <c r="B33" s="55" t="str">
        <f>Segmented!G161</f>
        <v>WINDOW CL30 Prime Window Replacement of Double Pane Base</v>
      </c>
      <c r="C33" s="55">
        <f>Segmented!H161</f>
        <v>2056.8706080555621</v>
      </c>
      <c r="D33" s="55">
        <f>Segmented!I161</f>
        <v>45</v>
      </c>
      <c r="E33" s="55">
        <f>Segmented!J161</f>
        <v>3865.0968570659024</v>
      </c>
      <c r="F33" s="55">
        <f>Segmented!K161</f>
        <v>0</v>
      </c>
      <c r="G33" s="55" t="s">
        <v>1947</v>
      </c>
      <c r="H33" s="55">
        <f>Segmented!M161</f>
        <v>0</v>
      </c>
      <c r="I33" s="55">
        <f>Segmented!N161</f>
        <v>0</v>
      </c>
      <c r="J33" s="55">
        <f>Segmented!O161</f>
        <v>0</v>
      </c>
      <c r="K33" s="55">
        <f>Segmented!P161</f>
        <v>0</v>
      </c>
      <c r="L33" s="55">
        <f>Segmented!Q161</f>
        <v>0</v>
      </c>
      <c r="M33" s="55">
        <f>Segmented!R161</f>
        <v>0</v>
      </c>
      <c r="N33" s="55">
        <f>Segmented!S161</f>
        <v>0</v>
      </c>
      <c r="O33" s="55">
        <f>Segmented!T161</f>
        <v>0</v>
      </c>
      <c r="P33" s="55"/>
      <c r="Q33" t="s">
        <v>345</v>
      </c>
    </row>
    <row r="34" spans="1:17" ht="25.5">
      <c r="A34" s="55" t="str">
        <f>Segmented!F162</f>
        <v>WALL R0 - R11_Heat Pump</v>
      </c>
      <c r="B34" s="55" t="str">
        <f>Segmented!G162</f>
        <v>WALL R0 - R11</v>
      </c>
      <c r="C34" s="55">
        <f>Segmented!H162</f>
        <v>350.13094277933425</v>
      </c>
      <c r="D34" s="55">
        <f>Segmented!I162</f>
        <v>45</v>
      </c>
      <c r="E34" s="55">
        <f>Segmented!J162</f>
        <v>414.11354893012162</v>
      </c>
      <c r="F34" s="55">
        <f>Segmented!K162</f>
        <v>0</v>
      </c>
      <c r="G34" s="55" t="s">
        <v>1947</v>
      </c>
      <c r="H34" s="55">
        <f>Segmented!M162</f>
        <v>0</v>
      </c>
      <c r="I34" s="55">
        <f>Segmented!N162</f>
        <v>0</v>
      </c>
      <c r="J34" s="55">
        <f>Segmented!O162</f>
        <v>0</v>
      </c>
      <c r="K34" s="55">
        <f>Segmented!P162</f>
        <v>0</v>
      </c>
      <c r="L34" s="55">
        <f>Segmented!Q162</f>
        <v>0</v>
      </c>
      <c r="M34" s="55">
        <f>Segmented!R162</f>
        <v>0</v>
      </c>
      <c r="N34" s="55">
        <f>Segmented!S162</f>
        <v>0</v>
      </c>
      <c r="O34" s="55">
        <f>Segmented!T162</f>
        <v>0</v>
      </c>
      <c r="P34" s="55"/>
      <c r="Q34" t="s">
        <v>345</v>
      </c>
    </row>
    <row r="35" spans="1:17" ht="25.5">
      <c r="A35" s="55" t="str">
        <f>Segmented!F163</f>
        <v>FLOOR R0 - R19_Heat Pump</v>
      </c>
      <c r="B35" s="55" t="str">
        <f>Segmented!G163</f>
        <v>FLOOR R0 - R19</v>
      </c>
      <c r="C35" s="55">
        <f>Segmented!H163</f>
        <v>70.759871439695004</v>
      </c>
      <c r="D35" s="55">
        <f>Segmented!I163</f>
        <v>45</v>
      </c>
      <c r="E35" s="55">
        <f>Segmented!J163</f>
        <v>436.41697398915824</v>
      </c>
      <c r="F35" s="55">
        <f>Segmented!K163</f>
        <v>0</v>
      </c>
      <c r="G35" s="55" t="s">
        <v>1947</v>
      </c>
      <c r="H35" s="55">
        <f>Segmented!M163</f>
        <v>0</v>
      </c>
      <c r="I35" s="55">
        <f>Segmented!N163</f>
        <v>0</v>
      </c>
      <c r="J35" s="55">
        <f>Segmented!O163</f>
        <v>0</v>
      </c>
      <c r="K35" s="55">
        <f>Segmented!P163</f>
        <v>0</v>
      </c>
      <c r="L35" s="55">
        <f>Segmented!Q163</f>
        <v>0</v>
      </c>
      <c r="M35" s="55">
        <f>Segmented!R163</f>
        <v>0</v>
      </c>
      <c r="N35" s="55">
        <f>Segmented!S163</f>
        <v>0</v>
      </c>
      <c r="O35" s="55">
        <f>Segmented!T163</f>
        <v>0</v>
      </c>
      <c r="P35" s="55"/>
      <c r="Q35" t="s">
        <v>345</v>
      </c>
    </row>
    <row r="36" spans="1:17" ht="25.5">
      <c r="A36" s="55" t="str">
        <f>Segmented!F164</f>
        <v>FLOOR R0 - R30_Heat Pump</v>
      </c>
      <c r="B36" s="55" t="str">
        <f>Segmented!G164</f>
        <v>FLOOR R0 - R30</v>
      </c>
      <c r="C36" s="55">
        <f>Segmented!H164</f>
        <v>91.444720355577289</v>
      </c>
      <c r="D36" s="55">
        <f>Segmented!I164</f>
        <v>45</v>
      </c>
      <c r="E36" s="55">
        <f>Segmented!J164</f>
        <v>689.07943261446042</v>
      </c>
      <c r="F36" s="55">
        <f>Segmented!K164</f>
        <v>0</v>
      </c>
      <c r="G36" s="55" t="s">
        <v>1947</v>
      </c>
      <c r="H36" s="55">
        <f>Segmented!M164</f>
        <v>0</v>
      </c>
      <c r="I36" s="55">
        <f>Segmented!N164</f>
        <v>0</v>
      </c>
      <c r="J36" s="55">
        <f>Segmented!O164</f>
        <v>0</v>
      </c>
      <c r="K36" s="55">
        <f>Segmented!P164</f>
        <v>0</v>
      </c>
      <c r="L36" s="55">
        <f>Segmented!Q164</f>
        <v>0</v>
      </c>
      <c r="M36" s="55">
        <f>Segmented!R164</f>
        <v>0</v>
      </c>
      <c r="N36" s="55">
        <f>Segmented!S164</f>
        <v>0</v>
      </c>
      <c r="O36" s="55">
        <f>Segmented!T164</f>
        <v>0</v>
      </c>
      <c r="P36" s="55"/>
      <c r="Q36" t="s">
        <v>345</v>
      </c>
    </row>
    <row r="37" spans="1:17" ht="25.5">
      <c r="A37" s="55" t="str">
        <f>Segmented!F165</f>
        <v>ATTIC R0 - R19_Heat Pump</v>
      </c>
      <c r="B37" s="55" t="str">
        <f>Segmented!G165</f>
        <v>ATTIC R0 - R19</v>
      </c>
      <c r="C37" s="55">
        <f>Segmented!H165</f>
        <v>104.85086836591684</v>
      </c>
      <c r="D37" s="55">
        <f>Segmented!I165</f>
        <v>45</v>
      </c>
      <c r="E37" s="55">
        <f>Segmented!J165</f>
        <v>239.1087012654321</v>
      </c>
      <c r="F37" s="55">
        <f>Segmented!K165</f>
        <v>0</v>
      </c>
      <c r="G37" s="55" t="s">
        <v>1947</v>
      </c>
      <c r="H37" s="55">
        <f>Segmented!M165</f>
        <v>0</v>
      </c>
      <c r="I37" s="55">
        <f>Segmented!N165</f>
        <v>0</v>
      </c>
      <c r="J37" s="55">
        <f>Segmented!O165</f>
        <v>0</v>
      </c>
      <c r="K37" s="55">
        <f>Segmented!P165</f>
        <v>0</v>
      </c>
      <c r="L37" s="55">
        <f>Segmented!Q165</f>
        <v>0</v>
      </c>
      <c r="M37" s="55">
        <f>Segmented!R165</f>
        <v>0</v>
      </c>
      <c r="N37" s="55">
        <f>Segmented!S165</f>
        <v>0</v>
      </c>
      <c r="O37" s="55">
        <f>Segmented!T165</f>
        <v>0</v>
      </c>
      <c r="P37" s="55"/>
      <c r="Q37" t="s">
        <v>345</v>
      </c>
    </row>
    <row r="38" spans="1:17" ht="25.5">
      <c r="A38" s="55" t="str">
        <f>Segmented!F166</f>
        <v>ATTIC R0 - R38_Heat Pump</v>
      </c>
      <c r="B38" s="55" t="str">
        <f>Segmented!G166</f>
        <v>ATTIC R0 - R38</v>
      </c>
      <c r="C38" s="55">
        <f>Segmented!H166</f>
        <v>143.03235276320603</v>
      </c>
      <c r="D38" s="55">
        <f>Segmented!I166</f>
        <v>45</v>
      </c>
      <c r="E38" s="55">
        <f>Segmented!J166</f>
        <v>478.21740253086421</v>
      </c>
      <c r="F38" s="55">
        <f>Segmented!K166</f>
        <v>0</v>
      </c>
      <c r="G38" s="55" t="s">
        <v>1947</v>
      </c>
      <c r="H38" s="55">
        <f>Segmented!M166</f>
        <v>0</v>
      </c>
      <c r="I38" s="55">
        <f>Segmented!N166</f>
        <v>0</v>
      </c>
      <c r="J38" s="55">
        <f>Segmented!O166</f>
        <v>0</v>
      </c>
      <c r="K38" s="55">
        <f>Segmented!P166</f>
        <v>0</v>
      </c>
      <c r="L38" s="55">
        <f>Segmented!Q166</f>
        <v>0</v>
      </c>
      <c r="M38" s="55">
        <f>Segmented!R166</f>
        <v>0</v>
      </c>
      <c r="N38" s="55">
        <f>Segmented!S166</f>
        <v>0</v>
      </c>
      <c r="O38" s="55">
        <f>Segmented!T166</f>
        <v>0</v>
      </c>
      <c r="P38" s="55"/>
      <c r="Q38" t="s">
        <v>345</v>
      </c>
    </row>
    <row r="39" spans="1:17" ht="25.5">
      <c r="A39" s="55" t="str">
        <f>Segmented!F167</f>
        <v>ATTIC R0 - R49_Heat Pump</v>
      </c>
      <c r="B39" s="55" t="str">
        <f>Segmented!G167</f>
        <v>ATTIC R0 - R49</v>
      </c>
      <c r="C39" s="55">
        <f>Segmented!H167</f>
        <v>151.85277255595079</v>
      </c>
      <c r="D39" s="55">
        <f>Segmented!I167</f>
        <v>45</v>
      </c>
      <c r="E39" s="55">
        <f>Segmented!J167</f>
        <v>616.64875589506164</v>
      </c>
      <c r="F39" s="55">
        <f>Segmented!K167</f>
        <v>0</v>
      </c>
      <c r="G39" s="55" t="s">
        <v>1947</v>
      </c>
      <c r="H39" s="55">
        <f>Segmented!M167</f>
        <v>0</v>
      </c>
      <c r="I39" s="55">
        <f>Segmented!N167</f>
        <v>0</v>
      </c>
      <c r="J39" s="55">
        <f>Segmented!O167</f>
        <v>0</v>
      </c>
      <c r="K39" s="55">
        <f>Segmented!P167</f>
        <v>0</v>
      </c>
      <c r="L39" s="55">
        <f>Segmented!Q167</f>
        <v>0</v>
      </c>
      <c r="M39" s="55">
        <f>Segmented!R167</f>
        <v>0</v>
      </c>
      <c r="N39" s="55">
        <f>Segmented!S167</f>
        <v>0</v>
      </c>
      <c r="O39" s="55">
        <f>Segmented!T167</f>
        <v>0</v>
      </c>
      <c r="P39" s="55"/>
      <c r="Q39" t="s">
        <v>345</v>
      </c>
    </row>
    <row r="40" spans="1:17" ht="25.5">
      <c r="A40" s="55" t="str">
        <f>Segmented!F168</f>
        <v>ATTIC R19 - R30_Heat Pump</v>
      </c>
      <c r="B40" s="55" t="str">
        <f>Segmented!G168</f>
        <v>ATTIC R19 - R30</v>
      </c>
      <c r="C40" s="55">
        <f>Segmented!H168</f>
        <v>27.624173265655006</v>
      </c>
      <c r="D40" s="55">
        <f>Segmented!I168</f>
        <v>45</v>
      </c>
      <c r="E40" s="55">
        <f>Segmented!J168</f>
        <v>138.43135336419752</v>
      </c>
      <c r="F40" s="55">
        <f>Segmented!K168</f>
        <v>0</v>
      </c>
      <c r="G40" s="55" t="s">
        <v>1947</v>
      </c>
      <c r="H40" s="55">
        <f>Segmented!M168</f>
        <v>0</v>
      </c>
      <c r="I40" s="55">
        <f>Segmented!N168</f>
        <v>0</v>
      </c>
      <c r="J40" s="55">
        <f>Segmented!O168</f>
        <v>0</v>
      </c>
      <c r="K40" s="55">
        <f>Segmented!P168</f>
        <v>0</v>
      </c>
      <c r="L40" s="55">
        <f>Segmented!Q168</f>
        <v>0</v>
      </c>
      <c r="M40" s="55">
        <f>Segmented!R168</f>
        <v>0</v>
      </c>
      <c r="N40" s="55">
        <f>Segmented!S168</f>
        <v>0</v>
      </c>
      <c r="O40" s="55">
        <f>Segmented!T168</f>
        <v>0</v>
      </c>
      <c r="P40" s="55"/>
      <c r="Q40" t="s">
        <v>345</v>
      </c>
    </row>
    <row r="41" spans="1:17" ht="25.5">
      <c r="A41" s="55" t="str">
        <f>Segmented!F169</f>
        <v>ATTIC R19 - R38_Heat Pump</v>
      </c>
      <c r="B41" s="55" t="str">
        <f>Segmented!G169</f>
        <v>ATTIC R19 - R38</v>
      </c>
      <c r="C41" s="55">
        <f>Segmented!H169</f>
        <v>38.181484397289175</v>
      </c>
      <c r="D41" s="55">
        <f>Segmented!I169</f>
        <v>45</v>
      </c>
      <c r="E41" s="55">
        <f>Segmented!J169</f>
        <v>239.1087012654321</v>
      </c>
      <c r="F41" s="55">
        <f>Segmented!K169</f>
        <v>0</v>
      </c>
      <c r="G41" s="55" t="s">
        <v>1947</v>
      </c>
      <c r="H41" s="55">
        <f>Segmented!M169</f>
        <v>0</v>
      </c>
      <c r="I41" s="55">
        <f>Segmented!N169</f>
        <v>0</v>
      </c>
      <c r="J41" s="55">
        <f>Segmented!O169</f>
        <v>0</v>
      </c>
      <c r="K41" s="55">
        <f>Segmented!P169</f>
        <v>0</v>
      </c>
      <c r="L41" s="55">
        <f>Segmented!Q169</f>
        <v>0</v>
      </c>
      <c r="M41" s="55">
        <f>Segmented!R169</f>
        <v>0</v>
      </c>
      <c r="N41" s="55">
        <f>Segmented!S169</f>
        <v>0</v>
      </c>
      <c r="O41" s="55">
        <f>Segmented!T169</f>
        <v>0</v>
      </c>
      <c r="P41" s="55"/>
      <c r="Q41" t="s">
        <v>345</v>
      </c>
    </row>
    <row r="42" spans="1:17" ht="25.5">
      <c r="A42" s="55" t="str">
        <f>Segmented!F170</f>
        <v>ATTIC R19 - R49_Heat Pump</v>
      </c>
      <c r="B42" s="55" t="str">
        <f>Segmented!G170</f>
        <v>ATTIC R19 - R49</v>
      </c>
      <c r="C42" s="55">
        <f>Segmented!H170</f>
        <v>47.00190419003394</v>
      </c>
      <c r="D42" s="55">
        <f>Segmented!I170</f>
        <v>45</v>
      </c>
      <c r="E42" s="55">
        <f>Segmented!J170</f>
        <v>377.54005462962965</v>
      </c>
      <c r="F42" s="55">
        <f>Segmented!K170</f>
        <v>0</v>
      </c>
      <c r="G42" s="55" t="s">
        <v>1947</v>
      </c>
      <c r="H42" s="55">
        <f>Segmented!M170</f>
        <v>0</v>
      </c>
      <c r="I42" s="55">
        <f>Segmented!N170</f>
        <v>0</v>
      </c>
      <c r="J42" s="55">
        <f>Segmented!O170</f>
        <v>0</v>
      </c>
      <c r="K42" s="55">
        <f>Segmented!P170</f>
        <v>0</v>
      </c>
      <c r="L42" s="55">
        <f>Segmented!Q170</f>
        <v>0</v>
      </c>
      <c r="M42" s="55">
        <f>Segmented!R170</f>
        <v>0</v>
      </c>
      <c r="N42" s="55">
        <f>Segmented!S170</f>
        <v>0</v>
      </c>
      <c r="O42" s="55">
        <f>Segmented!T170</f>
        <v>0</v>
      </c>
      <c r="P42" s="55"/>
      <c r="Q42" t="s">
        <v>345</v>
      </c>
    </row>
    <row r="43" spans="1:17" ht="25.5">
      <c r="A43" s="55" t="str">
        <f>Segmented!F171</f>
        <v>WINDOW CL22 Prime Window Replacement of Single Pane Base_Heat Pump</v>
      </c>
      <c r="B43" s="55" t="str">
        <f>Segmented!G171</f>
        <v>WINDOW CL22 Prime Window Replacement of Single Pane Base</v>
      </c>
      <c r="C43" s="55">
        <f>Segmented!H171</f>
        <v>2671.270333683723</v>
      </c>
      <c r="D43" s="55">
        <f>Segmented!I171</f>
        <v>45</v>
      </c>
      <c r="E43" s="55">
        <f>Segmented!J171</f>
        <v>4101.7368570659019</v>
      </c>
      <c r="F43" s="55">
        <f>Segmented!K171</f>
        <v>0</v>
      </c>
      <c r="G43" s="55" t="s">
        <v>1947</v>
      </c>
      <c r="H43" s="55">
        <f>Segmented!M171</f>
        <v>0</v>
      </c>
      <c r="I43" s="55">
        <f>Segmented!N171</f>
        <v>0</v>
      </c>
      <c r="J43" s="55">
        <f>Segmented!O171</f>
        <v>0</v>
      </c>
      <c r="K43" s="55">
        <f>Segmented!P171</f>
        <v>0</v>
      </c>
      <c r="L43" s="55">
        <f>Segmented!Q171</f>
        <v>0</v>
      </c>
      <c r="M43" s="55">
        <f>Segmented!R171</f>
        <v>0</v>
      </c>
      <c r="N43" s="55">
        <f>Segmented!S171</f>
        <v>0</v>
      </c>
      <c r="O43" s="55">
        <f>Segmented!T171</f>
        <v>0</v>
      </c>
      <c r="P43" s="55"/>
      <c r="Q43" t="s">
        <v>345</v>
      </c>
    </row>
    <row r="44" spans="1:17" ht="25.5">
      <c r="A44" s="55" t="str">
        <f>Segmented!F172</f>
        <v>WINDOW CL22 Prime Window Replacement of Double Pane Base_Heat Pump</v>
      </c>
      <c r="B44" s="55" t="str">
        <f>Segmented!G172</f>
        <v>WINDOW CL22 Prime Window Replacement of Double Pane Base</v>
      </c>
      <c r="C44" s="55">
        <f>Segmented!H172</f>
        <v>1729.8965551925849</v>
      </c>
      <c r="D44" s="55">
        <f>Segmented!I172</f>
        <v>45</v>
      </c>
      <c r="E44" s="55">
        <f>Segmented!J172</f>
        <v>4101.7368570659019</v>
      </c>
      <c r="F44" s="55">
        <f>Segmented!K172</f>
        <v>0</v>
      </c>
      <c r="G44" s="55" t="s">
        <v>1947</v>
      </c>
      <c r="H44" s="55">
        <f>Segmented!M172</f>
        <v>0</v>
      </c>
      <c r="I44" s="55">
        <f>Segmented!N172</f>
        <v>0</v>
      </c>
      <c r="J44" s="55">
        <f>Segmented!O172</f>
        <v>0</v>
      </c>
      <c r="K44" s="55">
        <f>Segmented!P172</f>
        <v>0</v>
      </c>
      <c r="L44" s="55">
        <f>Segmented!Q172</f>
        <v>0</v>
      </c>
      <c r="M44" s="55">
        <f>Segmented!R172</f>
        <v>0</v>
      </c>
      <c r="N44" s="55">
        <f>Segmented!S172</f>
        <v>0</v>
      </c>
      <c r="O44" s="55">
        <f>Segmented!T172</f>
        <v>0</v>
      </c>
      <c r="P44" s="55"/>
      <c r="Q44" t="s">
        <v>345</v>
      </c>
    </row>
    <row r="45" spans="1:17" ht="25.5">
      <c r="A45" s="55" t="str">
        <f>Segmented!F173</f>
        <v>WINDOW CL30 Prime Window Replacement of Single Pane Base_Heat Pump</v>
      </c>
      <c r="B45" s="55" t="str">
        <f>Segmented!G173</f>
        <v>WINDOW CL30 Prime Window Replacement of Single Pane Base</v>
      </c>
      <c r="C45" s="55">
        <f>Segmented!H173</f>
        <v>2474.6671090026025</v>
      </c>
      <c r="D45" s="55">
        <f>Segmented!I173</f>
        <v>45</v>
      </c>
      <c r="E45" s="55">
        <f>Segmented!J173</f>
        <v>3865.0968570659024</v>
      </c>
      <c r="F45" s="55">
        <f>Segmented!K173</f>
        <v>0</v>
      </c>
      <c r="G45" s="55" t="s">
        <v>1947</v>
      </c>
      <c r="H45" s="55">
        <f>Segmented!M173</f>
        <v>0</v>
      </c>
      <c r="I45" s="55">
        <f>Segmented!N173</f>
        <v>0</v>
      </c>
      <c r="J45" s="55">
        <f>Segmented!O173</f>
        <v>0</v>
      </c>
      <c r="K45" s="55">
        <f>Segmented!P173</f>
        <v>0</v>
      </c>
      <c r="L45" s="55">
        <f>Segmented!Q173</f>
        <v>0</v>
      </c>
      <c r="M45" s="55">
        <f>Segmented!R173</f>
        <v>0</v>
      </c>
      <c r="N45" s="55">
        <f>Segmented!S173</f>
        <v>0</v>
      </c>
      <c r="O45" s="55">
        <f>Segmented!T173</f>
        <v>0</v>
      </c>
      <c r="P45" s="55"/>
      <c r="Q45" t="s">
        <v>345</v>
      </c>
    </row>
    <row r="46" spans="1:17" ht="25.5">
      <c r="A46" s="55" t="str">
        <f>Segmented!F174</f>
        <v>WINDOW CL30 Prime Window Replacement of Double Pane Base_Heat Pump</v>
      </c>
      <c r="B46" s="55" t="str">
        <f>Segmented!G174</f>
        <v>WINDOW CL30 Prime Window Replacement of Double Pane Base</v>
      </c>
      <c r="C46" s="55">
        <f>Segmented!H174</f>
        <v>1533.293330511465</v>
      </c>
      <c r="D46" s="55">
        <f>Segmented!I174</f>
        <v>45</v>
      </c>
      <c r="E46" s="55">
        <f>Segmented!J174</f>
        <v>3865.0968570659024</v>
      </c>
      <c r="F46" s="55">
        <f>Segmented!K174</f>
        <v>0</v>
      </c>
      <c r="G46" s="55" t="s">
        <v>1947</v>
      </c>
      <c r="H46" s="55">
        <f>Segmented!M174</f>
        <v>0</v>
      </c>
      <c r="I46" s="55">
        <f>Segmented!N174</f>
        <v>0</v>
      </c>
      <c r="J46" s="55">
        <f>Segmented!O174</f>
        <v>0</v>
      </c>
      <c r="K46" s="55">
        <f>Segmented!P174</f>
        <v>0</v>
      </c>
      <c r="L46" s="55">
        <f>Segmented!Q174</f>
        <v>0</v>
      </c>
      <c r="M46" s="55">
        <f>Segmented!R174</f>
        <v>0</v>
      </c>
      <c r="N46" s="55">
        <f>Segmented!S174</f>
        <v>0</v>
      </c>
      <c r="O46" s="55">
        <f>Segmented!T174</f>
        <v>0</v>
      </c>
      <c r="P46" s="55"/>
      <c r="Q46" t="s">
        <v>345</v>
      </c>
    </row>
    <row r="49" spans="1:131">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row>
    <row r="50" spans="1:131">
      <c r="A50" s="571" t="s">
        <v>1948</v>
      </c>
      <c r="B50" s="572"/>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row>
    <row r="51" spans="1:131">
      <c r="A51" s="27" t="s">
        <v>1949</v>
      </c>
      <c r="B51" s="27" t="s">
        <v>1950</v>
      </c>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row>
    <row r="52" spans="1:131">
      <c r="A52" s="27" t="s">
        <v>1951</v>
      </c>
      <c r="B52" s="27" t="s">
        <v>2184</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row>
    <row r="53" spans="1:131">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row>
    <row r="54" spans="1:131" ht="13.5" thickBot="1">
      <c r="A54" s="36" t="s">
        <v>1952</v>
      </c>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3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row>
    <row r="55" spans="1:131">
      <c r="A55" s="27"/>
      <c r="B55" s="574" t="s">
        <v>1953</v>
      </c>
      <c r="C55" s="575"/>
      <c r="D55" s="575" t="s">
        <v>1953</v>
      </c>
      <c r="E55" s="576"/>
      <c r="F55" s="27"/>
      <c r="G55" s="574" t="s">
        <v>1954</v>
      </c>
      <c r="H55" s="575"/>
      <c r="I55" s="575"/>
      <c r="J55" s="575"/>
      <c r="K55" s="575"/>
      <c r="L55" s="575"/>
      <c r="M55" s="575"/>
      <c r="N55" s="575"/>
      <c r="O55" s="576"/>
      <c r="P55" s="27"/>
      <c r="Q55" s="574" t="s">
        <v>1955</v>
      </c>
      <c r="R55" s="575"/>
      <c r="S55" s="575"/>
      <c r="T55" s="575"/>
      <c r="U55" s="576"/>
      <c r="V55" s="27"/>
      <c r="W55" s="574" t="s">
        <v>1956</v>
      </c>
      <c r="X55" s="576"/>
      <c r="Y55" s="27"/>
      <c r="Z55" s="574" t="s">
        <v>1957</v>
      </c>
      <c r="AA55" s="575"/>
      <c r="AB55" s="576"/>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row>
    <row r="56" spans="1:131">
      <c r="A56" s="27"/>
      <c r="B56" s="577" t="s">
        <v>1958</v>
      </c>
      <c r="C56" s="206" t="s">
        <v>1776</v>
      </c>
      <c r="D56" s="206" t="s">
        <v>1958</v>
      </c>
      <c r="E56" s="578" t="s">
        <v>1776</v>
      </c>
      <c r="F56" s="27"/>
      <c r="G56" s="577" t="s">
        <v>1959</v>
      </c>
      <c r="H56" s="206" t="s">
        <v>2166</v>
      </c>
      <c r="I56" s="206"/>
      <c r="J56" s="206"/>
      <c r="K56" s="206" t="s">
        <v>1960</v>
      </c>
      <c r="L56" s="206"/>
      <c r="M56" s="206"/>
      <c r="N56" s="206"/>
      <c r="O56" s="578"/>
      <c r="P56" s="27"/>
      <c r="Q56" s="577"/>
      <c r="R56" s="206" t="s">
        <v>1961</v>
      </c>
      <c r="S56" s="206" t="s">
        <v>1962</v>
      </c>
      <c r="T56" s="206" t="s">
        <v>1963</v>
      </c>
      <c r="U56" s="578" t="s">
        <v>1964</v>
      </c>
      <c r="V56" s="27"/>
      <c r="W56" s="577" t="s">
        <v>1965</v>
      </c>
      <c r="X56" s="578">
        <v>20</v>
      </c>
      <c r="Y56" s="27"/>
      <c r="Z56" s="577"/>
      <c r="AA56" s="206" t="s">
        <v>1776</v>
      </c>
      <c r="AB56" s="578" t="s">
        <v>1966</v>
      </c>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row>
    <row r="57" spans="1:131">
      <c r="A57" s="27"/>
      <c r="B57" s="577" t="s">
        <v>1967</v>
      </c>
      <c r="C57" s="206" t="s">
        <v>1968</v>
      </c>
      <c r="D57" s="206" t="s">
        <v>1967</v>
      </c>
      <c r="E57" s="578" t="s">
        <v>1968</v>
      </c>
      <c r="F57" s="27"/>
      <c r="G57" s="577" t="s">
        <v>1969</v>
      </c>
      <c r="H57" s="206" t="s">
        <v>1970</v>
      </c>
      <c r="I57" s="206"/>
      <c r="J57" s="206"/>
      <c r="K57" s="206" t="s">
        <v>1971</v>
      </c>
      <c r="L57" s="206"/>
      <c r="M57" s="206"/>
      <c r="N57" s="206"/>
      <c r="O57" s="578"/>
      <c r="P57" s="27"/>
      <c r="Q57" s="577" t="s">
        <v>1972</v>
      </c>
      <c r="R57" s="206">
        <v>4.3096045197740109E-2</v>
      </c>
      <c r="S57" s="206">
        <v>4.387844424080023E-2</v>
      </c>
      <c r="T57" s="206">
        <v>5.3289007766645871E-2</v>
      </c>
      <c r="U57" s="578">
        <v>5.447903102274565E-2</v>
      </c>
      <c r="V57" s="27"/>
      <c r="W57" s="577" t="s">
        <v>1973</v>
      </c>
      <c r="X57" s="578">
        <v>2016</v>
      </c>
      <c r="Y57" s="27"/>
      <c r="Z57" s="577" t="s">
        <v>1974</v>
      </c>
      <c r="AA57" s="206">
        <v>0.03</v>
      </c>
      <c r="AB57" s="578">
        <v>0.01</v>
      </c>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row>
    <row r="58" spans="1:131">
      <c r="A58" s="27"/>
      <c r="B58" s="577" t="s">
        <v>1975</v>
      </c>
      <c r="C58" s="206" t="s">
        <v>1976</v>
      </c>
      <c r="D58" s="206" t="s">
        <v>1975</v>
      </c>
      <c r="E58" s="578" t="s">
        <v>1976</v>
      </c>
      <c r="F58" s="27"/>
      <c r="G58" s="577" t="s">
        <v>1977</v>
      </c>
      <c r="H58" s="206" t="s">
        <v>1978</v>
      </c>
      <c r="I58" s="206"/>
      <c r="J58" s="206"/>
      <c r="K58" s="206" t="s">
        <v>1979</v>
      </c>
      <c r="L58" s="206"/>
      <c r="M58" s="206"/>
      <c r="N58" s="206"/>
      <c r="O58" s="578"/>
      <c r="P58" s="27"/>
      <c r="Q58" s="577" t="s">
        <v>1980</v>
      </c>
      <c r="R58" s="206">
        <v>12</v>
      </c>
      <c r="S58" s="206">
        <v>12</v>
      </c>
      <c r="T58" s="206">
        <v>1</v>
      </c>
      <c r="U58" s="578">
        <v>1</v>
      </c>
      <c r="V58" s="27"/>
      <c r="W58" s="577" t="s">
        <v>1981</v>
      </c>
      <c r="X58" s="578">
        <v>2016</v>
      </c>
      <c r="Y58" s="27"/>
      <c r="Z58" s="577" t="s">
        <v>1982</v>
      </c>
      <c r="AA58" s="206">
        <v>26</v>
      </c>
      <c r="AB58" s="578">
        <v>0</v>
      </c>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row>
    <row r="59" spans="1:131" ht="13.5" thickBot="1">
      <c r="A59" s="27"/>
      <c r="B59" s="579" t="s">
        <v>1983</v>
      </c>
      <c r="C59" s="580" t="s">
        <v>1976</v>
      </c>
      <c r="D59" s="580" t="s">
        <v>1983</v>
      </c>
      <c r="E59" s="581" t="s">
        <v>1976</v>
      </c>
      <c r="F59" s="27"/>
      <c r="G59" s="577" t="s">
        <v>1984</v>
      </c>
      <c r="H59" s="206" t="s">
        <v>1985</v>
      </c>
      <c r="I59" s="206"/>
      <c r="J59" s="206"/>
      <c r="K59" s="206" t="s">
        <v>1971</v>
      </c>
      <c r="L59" s="206"/>
      <c r="M59" s="206"/>
      <c r="N59" s="206"/>
      <c r="O59" s="578"/>
      <c r="P59" s="27"/>
      <c r="Q59" s="577"/>
      <c r="R59" s="206" t="s">
        <v>1961</v>
      </c>
      <c r="S59" s="206" t="s">
        <v>1962</v>
      </c>
      <c r="T59" s="206" t="s">
        <v>1963</v>
      </c>
      <c r="U59" s="578" t="s">
        <v>1964</v>
      </c>
      <c r="V59" s="27"/>
      <c r="W59" s="577" t="s">
        <v>1986</v>
      </c>
      <c r="X59" s="578">
        <v>2012</v>
      </c>
      <c r="Y59" s="27"/>
      <c r="Z59" s="577" t="s">
        <v>1987</v>
      </c>
      <c r="AA59" s="206">
        <v>0.9</v>
      </c>
      <c r="AB59" s="578" t="s">
        <v>1988</v>
      </c>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row>
    <row r="60" spans="1:131">
      <c r="A60" s="27"/>
      <c r="B60" s="27"/>
      <c r="C60" s="27"/>
      <c r="D60" s="27"/>
      <c r="E60" s="27"/>
      <c r="F60" s="27"/>
      <c r="G60" s="577" t="s">
        <v>1989</v>
      </c>
      <c r="H60" s="206" t="s">
        <v>1978</v>
      </c>
      <c r="I60" s="206"/>
      <c r="J60" s="206"/>
      <c r="K60" s="206"/>
      <c r="L60" s="206"/>
      <c r="M60" s="206"/>
      <c r="N60" s="206"/>
      <c r="O60" s="578"/>
      <c r="P60" s="27"/>
      <c r="Q60" s="577" t="s">
        <v>1990</v>
      </c>
      <c r="R60" s="206">
        <v>0.35</v>
      </c>
      <c r="S60" s="206">
        <v>0.19500000000000001</v>
      </c>
      <c r="T60" s="206">
        <v>4.8749999999999988E-2</v>
      </c>
      <c r="U60" s="578">
        <v>0.40625</v>
      </c>
      <c r="V60" s="27"/>
      <c r="W60" s="577" t="s">
        <v>1991</v>
      </c>
      <c r="X60" s="578">
        <v>0.04</v>
      </c>
      <c r="Y60" s="27"/>
      <c r="Z60" s="577" t="s">
        <v>1992</v>
      </c>
      <c r="AA60" s="206">
        <v>5.5E-2</v>
      </c>
      <c r="AB60" s="578">
        <v>0</v>
      </c>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row>
    <row r="61" spans="1:131">
      <c r="A61" s="27"/>
      <c r="B61" s="27" t="s">
        <v>1993</v>
      </c>
      <c r="C61" s="27" t="s">
        <v>1776</v>
      </c>
      <c r="D61" s="27"/>
      <c r="E61" s="27"/>
      <c r="F61" s="27"/>
      <c r="G61" s="577" t="s">
        <v>1994</v>
      </c>
      <c r="H61" s="206" t="s">
        <v>1995</v>
      </c>
      <c r="I61" s="206"/>
      <c r="J61" s="206"/>
      <c r="K61" s="206" t="s">
        <v>1996</v>
      </c>
      <c r="L61" s="206"/>
      <c r="M61" s="206"/>
      <c r="N61" s="206"/>
      <c r="O61" s="578"/>
      <c r="P61" s="27"/>
      <c r="Q61" s="577" t="s">
        <v>1997</v>
      </c>
      <c r="R61" s="206">
        <v>1</v>
      </c>
      <c r="S61" s="206">
        <v>0</v>
      </c>
      <c r="T61" s="206">
        <v>0</v>
      </c>
      <c r="U61" s="578">
        <v>0</v>
      </c>
      <c r="V61" s="27"/>
      <c r="W61" s="577" t="s">
        <v>1998</v>
      </c>
      <c r="X61" s="578">
        <v>0</v>
      </c>
      <c r="Y61" s="27"/>
      <c r="Z61" s="577" t="s">
        <v>1999</v>
      </c>
      <c r="AA61" s="206">
        <v>31</v>
      </c>
      <c r="AB61" s="578">
        <v>0</v>
      </c>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row>
    <row r="62" spans="1:131">
      <c r="A62" s="27"/>
      <c r="B62" s="27" t="s">
        <v>2000</v>
      </c>
      <c r="C62" s="27" t="s">
        <v>2001</v>
      </c>
      <c r="D62" s="27"/>
      <c r="E62" s="27"/>
      <c r="F62" s="27"/>
      <c r="G62" s="577" t="s">
        <v>2002</v>
      </c>
      <c r="H62" s="206" t="s">
        <v>1996</v>
      </c>
      <c r="I62" s="206"/>
      <c r="J62" s="206"/>
      <c r="K62" s="206" t="s">
        <v>2003</v>
      </c>
      <c r="L62" s="206"/>
      <c r="M62" s="206"/>
      <c r="N62" s="206"/>
      <c r="O62" s="578"/>
      <c r="P62" s="27"/>
      <c r="Q62" s="577" t="s">
        <v>2004</v>
      </c>
      <c r="R62" s="206">
        <v>1</v>
      </c>
      <c r="S62" s="206">
        <v>0</v>
      </c>
      <c r="T62" s="206">
        <v>0</v>
      </c>
      <c r="U62" s="578">
        <v>0</v>
      </c>
      <c r="V62" s="27"/>
      <c r="W62" s="577" t="s">
        <v>2005</v>
      </c>
      <c r="X62" s="578">
        <v>0.2</v>
      </c>
      <c r="Y62" s="27"/>
      <c r="Z62" s="577" t="s">
        <v>2006</v>
      </c>
      <c r="AA62" s="206">
        <v>0.7</v>
      </c>
      <c r="AB62" s="578" t="s">
        <v>1988</v>
      </c>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row>
    <row r="63" spans="1:131">
      <c r="A63" s="27"/>
      <c r="B63" s="27" t="s">
        <v>2007</v>
      </c>
      <c r="C63" s="27" t="s">
        <v>2008</v>
      </c>
      <c r="D63" s="27"/>
      <c r="E63" s="27"/>
      <c r="F63" s="27"/>
      <c r="G63" s="577" t="s">
        <v>2009</v>
      </c>
      <c r="H63" s="206" t="s">
        <v>2003</v>
      </c>
      <c r="I63" s="206"/>
      <c r="J63" s="206"/>
      <c r="K63" s="206" t="s">
        <v>2010</v>
      </c>
      <c r="L63" s="206"/>
      <c r="M63" s="206"/>
      <c r="N63" s="206"/>
      <c r="O63" s="578"/>
      <c r="P63" s="27"/>
      <c r="Q63" s="577" t="s">
        <v>2011</v>
      </c>
      <c r="R63" s="206"/>
      <c r="S63" s="206">
        <v>0.3</v>
      </c>
      <c r="T63" s="206">
        <v>7.4999999999999983E-2</v>
      </c>
      <c r="U63" s="578">
        <v>0.625</v>
      </c>
      <c r="V63" s="27"/>
      <c r="W63" s="577" t="s">
        <v>2012</v>
      </c>
      <c r="X63" s="578">
        <v>0.1</v>
      </c>
      <c r="Y63" s="27"/>
      <c r="Z63" s="577" t="s">
        <v>2013</v>
      </c>
      <c r="AA63" s="206">
        <v>0</v>
      </c>
      <c r="AB63" s="578">
        <v>0</v>
      </c>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row>
    <row r="64" spans="1:131" ht="13.5" thickBot="1">
      <c r="A64" s="27"/>
      <c r="B64" s="27" t="s">
        <v>2014</v>
      </c>
      <c r="C64" s="27" t="s">
        <v>2015</v>
      </c>
      <c r="D64" s="27"/>
      <c r="E64" s="27"/>
      <c r="F64" s="27"/>
      <c r="G64" s="579" t="s">
        <v>2016</v>
      </c>
      <c r="H64" s="580" t="s">
        <v>2010</v>
      </c>
      <c r="I64" s="580"/>
      <c r="J64" s="580"/>
      <c r="K64" s="580"/>
      <c r="L64" s="580"/>
      <c r="M64" s="580"/>
      <c r="N64" s="580"/>
      <c r="O64" s="581"/>
      <c r="P64" s="27"/>
      <c r="Q64" s="579" t="s">
        <v>2017</v>
      </c>
      <c r="R64" s="580"/>
      <c r="S64" s="580">
        <v>20</v>
      </c>
      <c r="T64" s="580"/>
      <c r="U64" s="581"/>
      <c r="V64" s="27"/>
      <c r="W64" s="579" t="s">
        <v>2018</v>
      </c>
      <c r="X64" s="581">
        <v>2018</v>
      </c>
      <c r="Y64" s="27"/>
      <c r="Z64" s="579" t="s">
        <v>2019</v>
      </c>
      <c r="AA64" s="580">
        <v>0</v>
      </c>
      <c r="AB64" s="581">
        <v>0</v>
      </c>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row>
    <row r="65" spans="1:13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row>
    <row r="66" spans="1:13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row>
    <row r="67" spans="1:13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row>
    <row r="68" spans="1:13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row>
    <row r="69" spans="1:13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row>
    <row r="72" spans="1:131" ht="13.5" thickBot="1">
      <c r="A72" s="36" t="s">
        <v>2020</v>
      </c>
      <c r="B72" s="37"/>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row>
    <row r="73" spans="1:131" ht="26.25" thickBot="1">
      <c r="A73" s="582" t="s">
        <v>2021</v>
      </c>
      <c r="B73" s="583"/>
      <c r="C73" s="584" t="s">
        <v>2022</v>
      </c>
      <c r="D73" s="585"/>
      <c r="E73" s="585"/>
      <c r="F73" s="585"/>
      <c r="G73" s="585"/>
      <c r="H73" s="585"/>
      <c r="I73" s="585"/>
      <c r="J73" s="585"/>
      <c r="K73" s="586"/>
      <c r="L73" s="584" t="s">
        <v>2023</v>
      </c>
      <c r="M73" s="585"/>
      <c r="N73" s="585"/>
      <c r="O73" s="585"/>
      <c r="P73" s="585"/>
      <c r="Q73" s="586"/>
      <c r="R73" s="584" t="s">
        <v>2024</v>
      </c>
      <c r="S73" s="585"/>
      <c r="T73" s="585"/>
      <c r="U73" s="586"/>
      <c r="V73" s="584" t="s">
        <v>2025</v>
      </c>
      <c r="W73" s="585"/>
      <c r="X73" s="585"/>
      <c r="Y73" s="586"/>
      <c r="Z73" s="584" t="s">
        <v>2026</v>
      </c>
      <c r="AA73" s="585"/>
      <c r="AB73" s="585"/>
      <c r="AC73" s="586"/>
      <c r="AD73" s="584" t="s">
        <v>2027</v>
      </c>
      <c r="AE73" s="585"/>
      <c r="AF73" s="585"/>
      <c r="AG73" s="586"/>
      <c r="AH73" s="584" t="s">
        <v>2028</v>
      </c>
      <c r="AI73" s="585"/>
      <c r="AJ73" s="585"/>
      <c r="AK73" s="585"/>
      <c r="AL73" s="586"/>
      <c r="AM73" s="584" t="s">
        <v>2029</v>
      </c>
      <c r="AN73" s="585"/>
      <c r="AO73" s="585"/>
      <c r="AP73" s="585"/>
      <c r="AQ73" s="585"/>
      <c r="AR73" s="585"/>
      <c r="AS73" s="586"/>
      <c r="AT73" s="584" t="s">
        <v>2030</v>
      </c>
      <c r="AU73" s="585"/>
      <c r="AV73" s="585"/>
      <c r="AW73" s="585"/>
      <c r="AX73" s="585"/>
      <c r="AY73" s="585"/>
      <c r="AZ73" s="586"/>
      <c r="BA73" s="584" t="s">
        <v>2031</v>
      </c>
      <c r="BB73" s="585"/>
      <c r="BC73" s="585"/>
      <c r="BD73" s="585"/>
      <c r="BE73" s="585"/>
      <c r="BF73" s="586"/>
      <c r="BG73" s="584" t="s">
        <v>2032</v>
      </c>
      <c r="BH73" s="586"/>
      <c r="BI73" s="584" t="s">
        <v>2033</v>
      </c>
      <c r="BJ73" s="585"/>
      <c r="BK73" s="585"/>
      <c r="BL73" s="585"/>
      <c r="BM73" s="586"/>
      <c r="BN73" s="584" t="s">
        <v>2034</v>
      </c>
      <c r="BO73" s="585"/>
      <c r="BP73" s="585"/>
      <c r="BQ73" s="585"/>
      <c r="BR73" s="585"/>
      <c r="BS73" s="585"/>
      <c r="BT73" s="585"/>
      <c r="BU73" s="585"/>
      <c r="BV73" s="585"/>
      <c r="BW73" s="585"/>
      <c r="BX73" s="585"/>
      <c r="BY73" s="585"/>
      <c r="BZ73" s="585"/>
      <c r="CA73" s="585"/>
      <c r="CB73" s="585"/>
      <c r="CC73" s="586"/>
      <c r="CD73" s="584" t="s">
        <v>2035</v>
      </c>
      <c r="CE73" s="586"/>
      <c r="CF73" s="584" t="s">
        <v>2036</v>
      </c>
      <c r="CG73" s="585"/>
      <c r="CH73" s="585"/>
      <c r="CI73" s="585"/>
      <c r="CJ73" s="585"/>
      <c r="CK73" s="586"/>
      <c r="CL73" s="587"/>
      <c r="CM73" s="584" t="s">
        <v>4</v>
      </c>
      <c r="CN73" s="585"/>
      <c r="CO73" s="585"/>
      <c r="CP73" s="586"/>
      <c r="CQ73" s="584" t="s">
        <v>2037</v>
      </c>
      <c r="CR73" s="585"/>
      <c r="CS73" s="585"/>
      <c r="CT73" s="585"/>
      <c r="CU73" s="586"/>
      <c r="CV73" s="584" t="s">
        <v>2038</v>
      </c>
      <c r="CW73" s="586"/>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row>
    <row r="74" spans="1:131" ht="216.75">
      <c r="A74" s="45" t="s">
        <v>31</v>
      </c>
      <c r="B74" s="46" t="s">
        <v>32</v>
      </c>
      <c r="C74" s="47" t="s">
        <v>304</v>
      </c>
      <c r="D74" s="47" t="s">
        <v>2039</v>
      </c>
      <c r="E74" s="47" t="s">
        <v>2040</v>
      </c>
      <c r="F74" s="47" t="s">
        <v>2041</v>
      </c>
      <c r="G74" s="47" t="s">
        <v>2042</v>
      </c>
      <c r="H74" s="47" t="s">
        <v>2043</v>
      </c>
      <c r="I74" s="47" t="s">
        <v>2044</v>
      </c>
      <c r="J74" s="47" t="s">
        <v>2045</v>
      </c>
      <c r="K74" s="47" t="s">
        <v>2046</v>
      </c>
      <c r="L74" s="47" t="s">
        <v>2047</v>
      </c>
      <c r="M74" s="47" t="s">
        <v>2048</v>
      </c>
      <c r="N74" s="47" t="s">
        <v>2049</v>
      </c>
      <c r="O74" s="47" t="s">
        <v>2050</v>
      </c>
      <c r="P74" s="47" t="s">
        <v>2051</v>
      </c>
      <c r="Q74" s="47" t="s">
        <v>2052</v>
      </c>
      <c r="R74" s="47" t="s">
        <v>2053</v>
      </c>
      <c r="S74" s="47" t="s">
        <v>2054</v>
      </c>
      <c r="T74" s="47" t="s">
        <v>1810</v>
      </c>
      <c r="U74" s="47" t="s">
        <v>1961</v>
      </c>
      <c r="V74" s="47" t="s">
        <v>2053</v>
      </c>
      <c r="W74" s="47" t="s">
        <v>2054</v>
      </c>
      <c r="X74" s="47" t="s">
        <v>1810</v>
      </c>
      <c r="Y74" s="47" t="s">
        <v>1961</v>
      </c>
      <c r="Z74" s="47" t="s">
        <v>2053</v>
      </c>
      <c r="AA74" s="47" t="s">
        <v>2054</v>
      </c>
      <c r="AB74" s="47" t="s">
        <v>1810</v>
      </c>
      <c r="AC74" s="47" t="s">
        <v>1961</v>
      </c>
      <c r="AD74" s="47" t="s">
        <v>2053</v>
      </c>
      <c r="AE74" s="47" t="s">
        <v>2054</v>
      </c>
      <c r="AF74" s="47" t="s">
        <v>1810</v>
      </c>
      <c r="AG74" s="47" t="s">
        <v>1961</v>
      </c>
      <c r="AH74" s="47" t="s">
        <v>2053</v>
      </c>
      <c r="AI74" s="47" t="s">
        <v>2054</v>
      </c>
      <c r="AJ74" s="47" t="s">
        <v>1810</v>
      </c>
      <c r="AK74" s="47" t="s">
        <v>1961</v>
      </c>
      <c r="AL74" s="47" t="s">
        <v>2055</v>
      </c>
      <c r="AM74" s="47" t="s">
        <v>2056</v>
      </c>
      <c r="AN74" s="47" t="s">
        <v>2057</v>
      </c>
      <c r="AO74" s="47" t="s">
        <v>2058</v>
      </c>
      <c r="AP74" s="47" t="s">
        <v>2059</v>
      </c>
      <c r="AQ74" s="47" t="s">
        <v>2060</v>
      </c>
      <c r="AR74" s="47" t="s">
        <v>2061</v>
      </c>
      <c r="AS74" s="47" t="s">
        <v>2062</v>
      </c>
      <c r="AT74" s="47" t="s">
        <v>2063</v>
      </c>
      <c r="AU74" s="47" t="s">
        <v>2064</v>
      </c>
      <c r="AV74" s="47" t="s">
        <v>2065</v>
      </c>
      <c r="AW74" s="47" t="s">
        <v>2066</v>
      </c>
      <c r="AX74" s="47" t="s">
        <v>2067</v>
      </c>
      <c r="AY74" s="47" t="s">
        <v>2068</v>
      </c>
      <c r="AZ74" s="47" t="s">
        <v>2069</v>
      </c>
      <c r="BA74" s="47" t="s">
        <v>2070</v>
      </c>
      <c r="BB74" s="47" t="s">
        <v>2071</v>
      </c>
      <c r="BC74" s="47" t="s">
        <v>2072</v>
      </c>
      <c r="BD74" s="47" t="s">
        <v>2073</v>
      </c>
      <c r="BE74" s="47" t="s">
        <v>2074</v>
      </c>
      <c r="BF74" s="47" t="s">
        <v>2075</v>
      </c>
      <c r="BG74" s="47" t="s">
        <v>2076</v>
      </c>
      <c r="BH74" s="47" t="s">
        <v>2077</v>
      </c>
      <c r="BI74" s="47" t="s">
        <v>2078</v>
      </c>
      <c r="BJ74" s="47" t="s">
        <v>2079</v>
      </c>
      <c r="BK74" s="47" t="s">
        <v>2080</v>
      </c>
      <c r="BL74" s="47" t="s">
        <v>2081</v>
      </c>
      <c r="BM74" s="47" t="s">
        <v>2082</v>
      </c>
      <c r="BN74" s="47" t="s">
        <v>2083</v>
      </c>
      <c r="BO74" s="47" t="s">
        <v>2084</v>
      </c>
      <c r="BP74" s="47" t="s">
        <v>2085</v>
      </c>
      <c r="BQ74" s="47" t="s">
        <v>2086</v>
      </c>
      <c r="BR74" s="47" t="s">
        <v>2087</v>
      </c>
      <c r="BS74" s="47" t="s">
        <v>2088</v>
      </c>
      <c r="BT74" s="47" t="s">
        <v>2089</v>
      </c>
      <c r="BU74" s="47" t="s">
        <v>2090</v>
      </c>
      <c r="BV74" s="47" t="s">
        <v>2091</v>
      </c>
      <c r="BW74" s="47" t="s">
        <v>2092</v>
      </c>
      <c r="BX74" s="47" t="s">
        <v>2093</v>
      </c>
      <c r="BY74" s="47" t="s">
        <v>2094</v>
      </c>
      <c r="BZ74" s="47" t="s">
        <v>2095</v>
      </c>
      <c r="CA74" s="47" t="s">
        <v>2096</v>
      </c>
      <c r="CB74" s="47" t="s">
        <v>2097</v>
      </c>
      <c r="CC74" s="47" t="s">
        <v>2098</v>
      </c>
      <c r="CD74" s="47" t="s">
        <v>42</v>
      </c>
      <c r="CE74" s="47" t="s">
        <v>41</v>
      </c>
      <c r="CF74" s="47" t="s">
        <v>2099</v>
      </c>
      <c r="CG74" s="47" t="s">
        <v>2100</v>
      </c>
      <c r="CH74" s="47" t="s">
        <v>2101</v>
      </c>
      <c r="CI74" s="47" t="s">
        <v>2102</v>
      </c>
      <c r="CJ74" s="47" t="s">
        <v>2103</v>
      </c>
      <c r="CK74" s="47" t="s">
        <v>2104</v>
      </c>
      <c r="CL74" s="47"/>
      <c r="CM74" s="47" t="s">
        <v>2105</v>
      </c>
      <c r="CN74" s="47" t="s">
        <v>2106</v>
      </c>
      <c r="CO74" s="47" t="s">
        <v>2107</v>
      </c>
      <c r="CP74" s="47" t="s">
        <v>2108</v>
      </c>
      <c r="CQ74" s="47" t="s">
        <v>2109</v>
      </c>
      <c r="CR74" s="47" t="s">
        <v>2110</v>
      </c>
      <c r="CS74" s="47" t="s">
        <v>2111</v>
      </c>
      <c r="CT74" s="47" t="s">
        <v>2112</v>
      </c>
      <c r="CU74" s="47" t="s">
        <v>2113</v>
      </c>
      <c r="CV74" s="47" t="s">
        <v>2114</v>
      </c>
      <c r="CW74" s="588" t="s">
        <v>2115</v>
      </c>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row>
    <row r="75" spans="1:131">
      <c r="A75" s="27" t="s">
        <v>234</v>
      </c>
      <c r="B75" s="27" t="s">
        <v>69</v>
      </c>
      <c r="C75" s="38">
        <v>45</v>
      </c>
      <c r="D75" s="38">
        <v>704.9921890197345</v>
      </c>
      <c r="E75" s="38">
        <v>0</v>
      </c>
      <c r="F75" s="38">
        <v>414.11354893012162</v>
      </c>
      <c r="G75" s="38">
        <v>0</v>
      </c>
      <c r="H75" s="38">
        <v>0</v>
      </c>
      <c r="I75" s="38" t="s">
        <v>1947</v>
      </c>
      <c r="J75" s="38"/>
      <c r="K75" s="38"/>
      <c r="L75" s="38">
        <v>805.93621817691815</v>
      </c>
      <c r="M75" s="38">
        <v>0.42014353020344541</v>
      </c>
      <c r="N75" s="38">
        <v>0.3986181500981455</v>
      </c>
      <c r="O75" s="38">
        <v>0</v>
      </c>
      <c r="P75" s="38">
        <v>0</v>
      </c>
      <c r="Q75" s="38">
        <v>0</v>
      </c>
      <c r="R75" s="38">
        <v>54.164281954737625</v>
      </c>
      <c r="S75" s="38">
        <v>13.410580420351993</v>
      </c>
      <c r="T75" s="38">
        <v>111.88109929019546</v>
      </c>
      <c r="U75" s="38">
        <v>96.781931863617586</v>
      </c>
      <c r="V75" s="38" t="s">
        <v>2116</v>
      </c>
      <c r="W75" s="38" t="s">
        <v>2116</v>
      </c>
      <c r="X75" s="38" t="s">
        <v>2116</v>
      </c>
      <c r="Y75" s="38" t="s">
        <v>2116</v>
      </c>
      <c r="Z75" s="38">
        <v>0</v>
      </c>
      <c r="AA75" s="38">
        <v>0</v>
      </c>
      <c r="AB75" s="38">
        <v>0</v>
      </c>
      <c r="AC75" s="38">
        <v>0</v>
      </c>
      <c r="AD75" s="38">
        <v>0</v>
      </c>
      <c r="AE75" s="38">
        <v>0</v>
      </c>
      <c r="AF75" s="38">
        <v>0</v>
      </c>
      <c r="AG75" s="38">
        <v>0</v>
      </c>
      <c r="AH75" s="38">
        <v>54.164281954737625</v>
      </c>
      <c r="AI75" s="38">
        <v>13.410580420351993</v>
      </c>
      <c r="AJ75" s="38">
        <v>111.88109929019546</v>
      </c>
      <c r="AK75" s="38">
        <v>96.781931863617586</v>
      </c>
      <c r="AL75" s="38">
        <v>276.23789352890265</v>
      </c>
      <c r="AM75" s="38">
        <v>424.71606129015839</v>
      </c>
      <c r="AN75" s="38">
        <v>148.4570798669819</v>
      </c>
      <c r="AO75" s="38">
        <v>57.317314115714034</v>
      </c>
      <c r="AP75" s="38">
        <v>0</v>
      </c>
      <c r="AQ75" s="38">
        <v>630.49045527285432</v>
      </c>
      <c r="AR75" s="38">
        <v>54.164281954737625</v>
      </c>
      <c r="AS75" s="49">
        <v>11.640336260706338</v>
      </c>
      <c r="AT75" s="38">
        <v>424.71606129015839</v>
      </c>
      <c r="AU75" s="38">
        <v>167.93787315269441</v>
      </c>
      <c r="AV75" s="38">
        <v>59.26539344428528</v>
      </c>
      <c r="AW75" s="38">
        <v>0</v>
      </c>
      <c r="AX75" s="38">
        <v>651.91932788713802</v>
      </c>
      <c r="AY75" s="38">
        <v>13.410580420351993</v>
      </c>
      <c r="AZ75" s="49">
        <v>48.612312625766783</v>
      </c>
      <c r="BA75" s="38">
        <v>424.71606129015839</v>
      </c>
      <c r="BB75" s="38">
        <v>316.39495301967634</v>
      </c>
      <c r="BC75" s="38">
        <v>74.111101430983467</v>
      </c>
      <c r="BD75" s="38">
        <v>0</v>
      </c>
      <c r="BE75" s="38">
        <v>815.22211574081814</v>
      </c>
      <c r="BF75" s="38">
        <v>67.574862375089623</v>
      </c>
      <c r="BG75" s="38">
        <v>-29.48352712374928</v>
      </c>
      <c r="BH75" s="49">
        <v>12.063984847142457</v>
      </c>
      <c r="BI75" s="38">
        <v>4.9451837274895469</v>
      </c>
      <c r="BJ75" s="38">
        <v>1.2243822252888545</v>
      </c>
      <c r="BK75" s="38">
        <v>10.214712937316495</v>
      </c>
      <c r="BL75" s="38">
        <v>8.8361631926905169</v>
      </c>
      <c r="BM75" s="38">
        <v>25.220442082785414</v>
      </c>
      <c r="BN75" s="38">
        <v>424.71606129015839</v>
      </c>
      <c r="BO75" s="38">
        <v>0</v>
      </c>
      <c r="BP75" s="38">
        <v>316.39495301967634</v>
      </c>
      <c r="BQ75" s="38">
        <v>0</v>
      </c>
      <c r="BR75" s="38">
        <v>0</v>
      </c>
      <c r="BS75" s="38">
        <v>0</v>
      </c>
      <c r="BT75" s="38">
        <v>0</v>
      </c>
      <c r="BU75" s="38">
        <v>0</v>
      </c>
      <c r="BV75" s="38">
        <v>0</v>
      </c>
      <c r="BW75" s="38">
        <v>74.111101430983467</v>
      </c>
      <c r="BX75" s="38">
        <v>276.23789352890265</v>
      </c>
      <c r="BY75" s="38"/>
      <c r="BZ75" s="38">
        <v>0</v>
      </c>
      <c r="CA75" s="38">
        <v>0</v>
      </c>
      <c r="CB75" s="38">
        <v>815.22211574081825</v>
      </c>
      <c r="CC75" s="38">
        <v>276.23789352890265</v>
      </c>
      <c r="CD75" s="49">
        <v>2.9511596158168718</v>
      </c>
      <c r="CE75" s="38">
        <v>-10.432650993742282</v>
      </c>
      <c r="CF75" s="38">
        <v>7.6564794461925132</v>
      </c>
      <c r="CG75" s="38">
        <v>0</v>
      </c>
      <c r="CH75" s="38">
        <v>7.6564794461925132</v>
      </c>
      <c r="CI75" s="38">
        <v>0.38281970363403617</v>
      </c>
      <c r="CJ75" s="38">
        <v>0</v>
      </c>
      <c r="CK75" s="38">
        <v>0.38281970363403617</v>
      </c>
      <c r="CL75" s="38"/>
      <c r="CM75" s="38">
        <v>0</v>
      </c>
      <c r="CN75" s="38"/>
      <c r="CO75" s="38">
        <v>0</v>
      </c>
      <c r="CP75" s="38">
        <v>0</v>
      </c>
      <c r="CQ75" s="38">
        <v>0</v>
      </c>
      <c r="CR75" s="38">
        <v>0</v>
      </c>
      <c r="CS75" s="38">
        <v>0</v>
      </c>
      <c r="CT75" s="38">
        <v>0</v>
      </c>
      <c r="CU75" s="38">
        <v>111.88109929019546</v>
      </c>
      <c r="CV75" s="38">
        <v>9999</v>
      </c>
      <c r="CW75" s="50">
        <v>0</v>
      </c>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row>
    <row r="76" spans="1:131">
      <c r="A76" s="27" t="s">
        <v>235</v>
      </c>
      <c r="B76" s="27" t="s">
        <v>70</v>
      </c>
      <c r="C76" s="38">
        <v>45</v>
      </c>
      <c r="D76" s="38">
        <v>240.0970997130473</v>
      </c>
      <c r="E76" s="38">
        <v>0</v>
      </c>
      <c r="F76" s="38">
        <v>436.41697398915824</v>
      </c>
      <c r="G76" s="38">
        <v>0</v>
      </c>
      <c r="H76" s="38">
        <v>0</v>
      </c>
      <c r="I76" s="38" t="s">
        <v>1947</v>
      </c>
      <c r="J76" s="38"/>
      <c r="K76" s="38"/>
      <c r="L76" s="38">
        <v>274.47530845276236</v>
      </c>
      <c r="M76" s="38">
        <v>0.1430870364752716</v>
      </c>
      <c r="N76" s="38">
        <v>0.13575620158944174</v>
      </c>
      <c r="O76" s="38">
        <v>0</v>
      </c>
      <c r="P76" s="38">
        <v>0</v>
      </c>
      <c r="Q76" s="38">
        <v>0</v>
      </c>
      <c r="R76" s="38">
        <v>57.081474610170091</v>
      </c>
      <c r="S76" s="38">
        <v>14.132850619374087</v>
      </c>
      <c r="T76" s="38">
        <v>117.90681788836326</v>
      </c>
      <c r="U76" s="38">
        <v>101.99443594605039</v>
      </c>
      <c r="V76" s="38" t="s">
        <v>2116</v>
      </c>
      <c r="W76" s="38" t="s">
        <v>2116</v>
      </c>
      <c r="X76" s="38" t="s">
        <v>2116</v>
      </c>
      <c r="Y76" s="38" t="s">
        <v>2116</v>
      </c>
      <c r="Z76" s="38">
        <v>0</v>
      </c>
      <c r="AA76" s="38">
        <v>0</v>
      </c>
      <c r="AB76" s="38">
        <v>0</v>
      </c>
      <c r="AC76" s="38">
        <v>0</v>
      </c>
      <c r="AD76" s="38">
        <v>0</v>
      </c>
      <c r="AE76" s="38">
        <v>0</v>
      </c>
      <c r="AF76" s="38">
        <v>0</v>
      </c>
      <c r="AG76" s="38">
        <v>0</v>
      </c>
      <c r="AH76" s="38">
        <v>57.081474610170091</v>
      </c>
      <c r="AI76" s="38">
        <v>14.132850619374087</v>
      </c>
      <c r="AJ76" s="38">
        <v>117.90681788836326</v>
      </c>
      <c r="AK76" s="38">
        <v>101.99443594605039</v>
      </c>
      <c r="AL76" s="38">
        <v>291.1155790639578</v>
      </c>
      <c r="AM76" s="38">
        <v>144.64428983121886</v>
      </c>
      <c r="AN76" s="38">
        <v>50.559587557264116</v>
      </c>
      <c r="AO76" s="38">
        <v>19.520387738848299</v>
      </c>
      <c r="AP76" s="38">
        <v>0</v>
      </c>
      <c r="AQ76" s="38">
        <v>214.72426512733125</v>
      </c>
      <c r="AR76" s="38">
        <v>57.081474610170091</v>
      </c>
      <c r="AS76" s="49">
        <v>3.7617154531090944</v>
      </c>
      <c r="AT76" s="38">
        <v>144.64428983121886</v>
      </c>
      <c r="AU76" s="38">
        <v>57.194103571565748</v>
      </c>
      <c r="AV76" s="38">
        <v>20.18383934027846</v>
      </c>
      <c r="AW76" s="38">
        <v>0</v>
      </c>
      <c r="AX76" s="38">
        <v>222.02223274306309</v>
      </c>
      <c r="AY76" s="38">
        <v>14.132850619374087</v>
      </c>
      <c r="AZ76" s="49">
        <v>15.709656793421621</v>
      </c>
      <c r="BA76" s="38">
        <v>144.64428983121886</v>
      </c>
      <c r="BB76" s="38">
        <v>107.75369112882987</v>
      </c>
      <c r="BC76" s="38">
        <v>25.239798096004872</v>
      </c>
      <c r="BD76" s="38">
        <v>0</v>
      </c>
      <c r="BE76" s="38">
        <v>277.6377790560536</v>
      </c>
      <c r="BF76" s="38">
        <v>71.214325229544173</v>
      </c>
      <c r="BG76" s="38">
        <v>-16.561850485706735</v>
      </c>
      <c r="BH76" s="49">
        <v>3.8986226178672267</v>
      </c>
      <c r="BI76" s="38">
        <v>15.302486904312397</v>
      </c>
      <c r="BJ76" s="38">
        <v>3.7887556865085497</v>
      </c>
      <c r="BK76" s="38">
        <v>31.608635708657097</v>
      </c>
      <c r="BL76" s="38">
        <v>27.34282060924696</v>
      </c>
      <c r="BM76" s="38">
        <v>78.042698908724986</v>
      </c>
      <c r="BN76" s="38">
        <v>144.64428983121886</v>
      </c>
      <c r="BO76" s="38">
        <v>0</v>
      </c>
      <c r="BP76" s="38">
        <v>107.75369112882987</v>
      </c>
      <c r="BQ76" s="38">
        <v>0</v>
      </c>
      <c r="BR76" s="38">
        <v>0</v>
      </c>
      <c r="BS76" s="38">
        <v>0</v>
      </c>
      <c r="BT76" s="38">
        <v>0</v>
      </c>
      <c r="BU76" s="38">
        <v>0</v>
      </c>
      <c r="BV76" s="38">
        <v>0</v>
      </c>
      <c r="BW76" s="38">
        <v>25.239798096004872</v>
      </c>
      <c r="BX76" s="38">
        <v>291.1155790639578</v>
      </c>
      <c r="BY76" s="38"/>
      <c r="BZ76" s="38">
        <v>0</v>
      </c>
      <c r="CA76" s="38">
        <v>0</v>
      </c>
      <c r="CB76" s="38">
        <v>277.6377790560536</v>
      </c>
      <c r="CC76" s="38">
        <v>291.1155790639578</v>
      </c>
      <c r="CD76" s="50">
        <v>0.95370292427756631</v>
      </c>
      <c r="CE76" s="38">
        <v>42.389605832197311</v>
      </c>
      <c r="CF76" s="38">
        <v>2.607544505705047</v>
      </c>
      <c r="CG76" s="38">
        <v>0</v>
      </c>
      <c r="CH76" s="38">
        <v>2.607544505705047</v>
      </c>
      <c r="CI76" s="38">
        <v>0.13037577151506213</v>
      </c>
      <c r="CJ76" s="38">
        <v>0</v>
      </c>
      <c r="CK76" s="38">
        <v>0.13037577151506213</v>
      </c>
      <c r="CL76" s="38"/>
      <c r="CM76" s="38">
        <v>0</v>
      </c>
      <c r="CN76" s="38"/>
      <c r="CO76" s="38">
        <v>0</v>
      </c>
      <c r="CP76" s="38">
        <v>0</v>
      </c>
      <c r="CQ76" s="38">
        <v>0</v>
      </c>
      <c r="CR76" s="38">
        <v>0</v>
      </c>
      <c r="CS76" s="38">
        <v>0</v>
      </c>
      <c r="CT76" s="38">
        <v>0</v>
      </c>
      <c r="CU76" s="38">
        <v>117.90681788836326</v>
      </c>
      <c r="CV76" s="38">
        <v>9999</v>
      </c>
      <c r="CW76" s="50">
        <v>0</v>
      </c>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row>
    <row r="77" spans="1:131">
      <c r="A77" s="27" t="s">
        <v>236</v>
      </c>
      <c r="B77" s="27" t="s">
        <v>71</v>
      </c>
      <c r="C77" s="38">
        <v>45</v>
      </c>
      <c r="D77" s="38">
        <v>312.51710368259592</v>
      </c>
      <c r="E77" s="38">
        <v>0</v>
      </c>
      <c r="F77" s="38">
        <v>689.0794326144603</v>
      </c>
      <c r="G77" s="38">
        <v>0</v>
      </c>
      <c r="H77" s="38">
        <v>0</v>
      </c>
      <c r="I77" s="38" t="s">
        <v>1947</v>
      </c>
      <c r="J77" s="38"/>
      <c r="K77" s="38"/>
      <c r="L77" s="38">
        <v>357.26474219206523</v>
      </c>
      <c r="M77" s="38">
        <v>0.1862460907158881</v>
      </c>
      <c r="N77" s="38">
        <v>0.17670407088793938</v>
      </c>
      <c r="O77" s="38">
        <v>0</v>
      </c>
      <c r="P77" s="38">
        <v>0</v>
      </c>
      <c r="Q77" s="38">
        <v>0</v>
      </c>
      <c r="R77" s="38">
        <v>90.128644121321173</v>
      </c>
      <c r="S77" s="38">
        <v>22.315027293748557</v>
      </c>
      <c r="T77" s="38">
        <v>186.16865982373147</v>
      </c>
      <c r="U77" s="38">
        <v>161.04384623060582</v>
      </c>
      <c r="V77" s="38" t="s">
        <v>2116</v>
      </c>
      <c r="W77" s="38" t="s">
        <v>2116</v>
      </c>
      <c r="X77" s="38" t="s">
        <v>2116</v>
      </c>
      <c r="Y77" s="38" t="s">
        <v>2116</v>
      </c>
      <c r="Z77" s="38">
        <v>0</v>
      </c>
      <c r="AA77" s="38">
        <v>0</v>
      </c>
      <c r="AB77" s="38">
        <v>0</v>
      </c>
      <c r="AC77" s="38">
        <v>0</v>
      </c>
      <c r="AD77" s="38">
        <v>0</v>
      </c>
      <c r="AE77" s="38">
        <v>0</v>
      </c>
      <c r="AF77" s="38">
        <v>0</v>
      </c>
      <c r="AG77" s="38">
        <v>0</v>
      </c>
      <c r="AH77" s="38">
        <v>90.128644121321173</v>
      </c>
      <c r="AI77" s="38">
        <v>22.315027293748557</v>
      </c>
      <c r="AJ77" s="38">
        <v>186.16865982373147</v>
      </c>
      <c r="AK77" s="38">
        <v>161.04384623060582</v>
      </c>
      <c r="AL77" s="38">
        <v>459.656177469407</v>
      </c>
      <c r="AM77" s="38">
        <v>188.27305526099201</v>
      </c>
      <c r="AN77" s="38">
        <v>65.809773985887759</v>
      </c>
      <c r="AO77" s="38">
        <v>25.408282924687978</v>
      </c>
      <c r="AP77" s="38">
        <v>0</v>
      </c>
      <c r="AQ77" s="38">
        <v>279.49111217156775</v>
      </c>
      <c r="AR77" s="38">
        <v>90.128644121321173</v>
      </c>
      <c r="AS77" s="49">
        <v>3.1010242625568387</v>
      </c>
      <c r="AT77" s="38">
        <v>188.27305526099201</v>
      </c>
      <c r="AU77" s="38">
        <v>74.445445685393395</v>
      </c>
      <c r="AV77" s="38">
        <v>26.271850094638541</v>
      </c>
      <c r="AW77" s="38">
        <v>0</v>
      </c>
      <c r="AX77" s="38">
        <v>288.99035104102393</v>
      </c>
      <c r="AY77" s="38">
        <v>22.315027293748557</v>
      </c>
      <c r="AZ77" s="49">
        <v>12.950481630017237</v>
      </c>
      <c r="BA77" s="38">
        <v>188.27305526099201</v>
      </c>
      <c r="BB77" s="38">
        <v>140.25521967128117</v>
      </c>
      <c r="BC77" s="38">
        <v>32.852827493227316</v>
      </c>
      <c r="BD77" s="38">
        <v>0</v>
      </c>
      <c r="BE77" s="38">
        <v>361.3811024255005</v>
      </c>
      <c r="BF77" s="38">
        <v>112.44367141506973</v>
      </c>
      <c r="BG77" s="38">
        <v>-12.49435061195487</v>
      </c>
      <c r="BH77" s="49">
        <v>3.2138856538356335</v>
      </c>
      <c r="BI77" s="38">
        <v>18.562770422018396</v>
      </c>
      <c r="BJ77" s="38">
        <v>4.5959720425544202</v>
      </c>
      <c r="BK77" s="38">
        <v>38.343038728408523</v>
      </c>
      <c r="BL77" s="38">
        <v>33.168367000323926</v>
      </c>
      <c r="BM77" s="38">
        <v>94.670148193305252</v>
      </c>
      <c r="BN77" s="38">
        <v>188.27305526099201</v>
      </c>
      <c r="BO77" s="38">
        <v>0</v>
      </c>
      <c r="BP77" s="38">
        <v>140.25521967128117</v>
      </c>
      <c r="BQ77" s="38">
        <v>0</v>
      </c>
      <c r="BR77" s="38">
        <v>0</v>
      </c>
      <c r="BS77" s="38">
        <v>0</v>
      </c>
      <c r="BT77" s="38">
        <v>0</v>
      </c>
      <c r="BU77" s="38">
        <v>0</v>
      </c>
      <c r="BV77" s="38">
        <v>0</v>
      </c>
      <c r="BW77" s="38">
        <v>32.852827493227316</v>
      </c>
      <c r="BX77" s="38">
        <v>459.656177469407</v>
      </c>
      <c r="BY77" s="38"/>
      <c r="BZ77" s="38">
        <v>0</v>
      </c>
      <c r="CA77" s="38">
        <v>0</v>
      </c>
      <c r="CB77" s="38">
        <v>361.3811024255005</v>
      </c>
      <c r="CC77" s="38">
        <v>459.656177469407</v>
      </c>
      <c r="CD77" s="50">
        <v>0.78619872883042607</v>
      </c>
      <c r="CE77" s="38">
        <v>59.01705511677757</v>
      </c>
      <c r="CF77" s="38">
        <v>3.3940528961838408</v>
      </c>
      <c r="CG77" s="38">
        <v>0</v>
      </c>
      <c r="CH77" s="38">
        <v>3.3940528961838408</v>
      </c>
      <c r="CI77" s="38">
        <v>0.16970075254123099</v>
      </c>
      <c r="CJ77" s="38">
        <v>0</v>
      </c>
      <c r="CK77" s="38">
        <v>0.16970075254123099</v>
      </c>
      <c r="CL77" s="38"/>
      <c r="CM77" s="38">
        <v>0</v>
      </c>
      <c r="CN77" s="38"/>
      <c r="CO77" s="38">
        <v>0</v>
      </c>
      <c r="CP77" s="38">
        <v>0</v>
      </c>
      <c r="CQ77" s="38">
        <v>0</v>
      </c>
      <c r="CR77" s="38">
        <v>0</v>
      </c>
      <c r="CS77" s="38">
        <v>0</v>
      </c>
      <c r="CT77" s="38">
        <v>0</v>
      </c>
      <c r="CU77" s="38">
        <v>186.16865982373147</v>
      </c>
      <c r="CV77" s="38">
        <v>9999</v>
      </c>
      <c r="CW77" s="50">
        <v>0</v>
      </c>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row>
    <row r="78" spans="1:131">
      <c r="A78" s="27" t="s">
        <v>1672</v>
      </c>
      <c r="B78" s="27" t="s">
        <v>1201</v>
      </c>
      <c r="C78" s="38">
        <v>45</v>
      </c>
      <c r="D78" s="38">
        <v>187.44992932580061</v>
      </c>
      <c r="E78" s="38">
        <v>0</v>
      </c>
      <c r="F78" s="38">
        <v>239.1087012654321</v>
      </c>
      <c r="G78" s="38">
        <v>0</v>
      </c>
      <c r="H78" s="38">
        <v>0</v>
      </c>
      <c r="I78" s="38" t="s">
        <v>1947</v>
      </c>
      <c r="J78" s="38"/>
      <c r="K78" s="38"/>
      <c r="L78" s="38">
        <v>214.28987369126358</v>
      </c>
      <c r="M78" s="38">
        <v>0.11171169875347886</v>
      </c>
      <c r="N78" s="38">
        <v>0.10598832898812036</v>
      </c>
      <c r="O78" s="38">
        <v>0</v>
      </c>
      <c r="P78" s="38">
        <v>0</v>
      </c>
      <c r="Q78" s="38">
        <v>0</v>
      </c>
      <c r="R78" s="38">
        <v>31.274395987843899</v>
      </c>
      <c r="S78" s="38">
        <v>7.7432541770496002</v>
      </c>
      <c r="T78" s="38">
        <v>64.600021942150065</v>
      </c>
      <c r="U78" s="38">
        <v>55.881779511092674</v>
      </c>
      <c r="V78" s="38" t="s">
        <v>2116</v>
      </c>
      <c r="W78" s="38" t="s">
        <v>2116</v>
      </c>
      <c r="X78" s="38" t="s">
        <v>2116</v>
      </c>
      <c r="Y78" s="38" t="s">
        <v>2116</v>
      </c>
      <c r="Z78" s="38">
        <v>0</v>
      </c>
      <c r="AA78" s="38">
        <v>0</v>
      </c>
      <c r="AB78" s="38">
        <v>0</v>
      </c>
      <c r="AC78" s="38">
        <v>0</v>
      </c>
      <c r="AD78" s="38">
        <v>0</v>
      </c>
      <c r="AE78" s="38">
        <v>0</v>
      </c>
      <c r="AF78" s="38">
        <v>0</v>
      </c>
      <c r="AG78" s="38">
        <v>0</v>
      </c>
      <c r="AH78" s="38">
        <v>31.274395987843899</v>
      </c>
      <c r="AI78" s="38">
        <v>7.7432541770496002</v>
      </c>
      <c r="AJ78" s="38">
        <v>64.600021942150065</v>
      </c>
      <c r="AK78" s="38">
        <v>55.881779511092674</v>
      </c>
      <c r="AL78" s="38">
        <v>159.49945161813622</v>
      </c>
      <c r="AM78" s="38">
        <v>112.92748616558646</v>
      </c>
      <c r="AN78" s="38">
        <v>39.473159507872936</v>
      </c>
      <c r="AO78" s="38">
        <v>15.240064567345939</v>
      </c>
      <c r="AP78" s="38">
        <v>0</v>
      </c>
      <c r="AQ78" s="38">
        <v>167.64071024080533</v>
      </c>
      <c r="AR78" s="38">
        <v>31.274395987843899</v>
      </c>
      <c r="AS78" s="49">
        <v>5.360318079555106</v>
      </c>
      <c r="AT78" s="38">
        <v>112.92748616558646</v>
      </c>
      <c r="AU78" s="38">
        <v>44.652895370896985</v>
      </c>
      <c r="AV78" s="38">
        <v>15.758038153648345</v>
      </c>
      <c r="AW78" s="38">
        <v>0</v>
      </c>
      <c r="AX78" s="38">
        <v>173.33841969013181</v>
      </c>
      <c r="AY78" s="38">
        <v>7.7432541770496002</v>
      </c>
      <c r="AZ78" s="49">
        <v>22.385732887846217</v>
      </c>
      <c r="BA78" s="38">
        <v>112.92748616558646</v>
      </c>
      <c r="BB78" s="38">
        <v>84.126054878769921</v>
      </c>
      <c r="BC78" s="38">
        <v>19.705354104435639</v>
      </c>
      <c r="BD78" s="38">
        <v>0</v>
      </c>
      <c r="BE78" s="38">
        <v>216.75889514879202</v>
      </c>
      <c r="BF78" s="38">
        <v>39.017650164893496</v>
      </c>
      <c r="BG78" s="38">
        <v>-22.255413833040294</v>
      </c>
      <c r="BH78" s="49">
        <v>5.5554061875264571</v>
      </c>
      <c r="BI78" s="38">
        <v>10.738840606960609</v>
      </c>
      <c r="BJ78" s="38">
        <v>2.6588386365267844</v>
      </c>
      <c r="BK78" s="38">
        <v>22.182021968147826</v>
      </c>
      <c r="BL78" s="38">
        <v>19.188396899374094</v>
      </c>
      <c r="BM78" s="38">
        <v>54.768098111009309</v>
      </c>
      <c r="BN78" s="38">
        <v>112.92748616558646</v>
      </c>
      <c r="BO78" s="38">
        <v>0</v>
      </c>
      <c r="BP78" s="38">
        <v>84.126054878769921</v>
      </c>
      <c r="BQ78" s="38">
        <v>0</v>
      </c>
      <c r="BR78" s="38">
        <v>0</v>
      </c>
      <c r="BS78" s="38">
        <v>0</v>
      </c>
      <c r="BT78" s="38">
        <v>0</v>
      </c>
      <c r="BU78" s="38">
        <v>0</v>
      </c>
      <c r="BV78" s="38">
        <v>0</v>
      </c>
      <c r="BW78" s="38">
        <v>19.705354104435639</v>
      </c>
      <c r="BX78" s="38">
        <v>159.49945161813622</v>
      </c>
      <c r="BY78" s="38"/>
      <c r="BZ78" s="38">
        <v>0</v>
      </c>
      <c r="CA78" s="38">
        <v>0</v>
      </c>
      <c r="CB78" s="38">
        <v>216.75889514879202</v>
      </c>
      <c r="CC78" s="38">
        <v>159.49945161813622</v>
      </c>
      <c r="CD78" s="49">
        <v>1.3589946106381785</v>
      </c>
      <c r="CE78" s="38">
        <v>19.115005034481619</v>
      </c>
      <c r="CF78" s="38">
        <v>2.0357764999763108</v>
      </c>
      <c r="CG78" s="38">
        <v>0</v>
      </c>
      <c r="CH78" s="38">
        <v>2.0357764999763108</v>
      </c>
      <c r="CI78" s="38">
        <v>0.10178769000335022</v>
      </c>
      <c r="CJ78" s="38">
        <v>0</v>
      </c>
      <c r="CK78" s="38">
        <v>0.10178769000335022</v>
      </c>
      <c r="CL78" s="38"/>
      <c r="CM78" s="38">
        <v>0</v>
      </c>
      <c r="CN78" s="38"/>
      <c r="CO78" s="38">
        <v>0</v>
      </c>
      <c r="CP78" s="38">
        <v>0</v>
      </c>
      <c r="CQ78" s="38">
        <v>0</v>
      </c>
      <c r="CR78" s="38">
        <v>0</v>
      </c>
      <c r="CS78" s="38">
        <v>0</v>
      </c>
      <c r="CT78" s="38">
        <v>0</v>
      </c>
      <c r="CU78" s="38">
        <v>64.600021942150065</v>
      </c>
      <c r="CV78" s="38">
        <v>9999</v>
      </c>
      <c r="CW78" s="50">
        <v>0</v>
      </c>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row>
    <row r="79" spans="1:131">
      <c r="A79" s="27" t="s">
        <v>230</v>
      </c>
      <c r="B79" s="27" t="s">
        <v>65</v>
      </c>
      <c r="C79" s="38">
        <v>45</v>
      </c>
      <c r="D79" s="38">
        <v>255.17049569415468</v>
      </c>
      <c r="E79" s="38">
        <v>0</v>
      </c>
      <c r="F79" s="38">
        <v>478.21740253086421</v>
      </c>
      <c r="G79" s="38">
        <v>0</v>
      </c>
      <c r="H79" s="38">
        <v>0</v>
      </c>
      <c r="I79" s="38" t="s">
        <v>1947</v>
      </c>
      <c r="J79" s="38"/>
      <c r="K79" s="38"/>
      <c r="L79" s="38">
        <v>291.70698270576145</v>
      </c>
      <c r="M79" s="38">
        <v>0.15207010025710255</v>
      </c>
      <c r="N79" s="38">
        <v>0.14427903250199481</v>
      </c>
      <c r="O79" s="38">
        <v>0</v>
      </c>
      <c r="P79" s="38">
        <v>0</v>
      </c>
      <c r="Q79" s="38">
        <v>0</v>
      </c>
      <c r="R79" s="38">
        <v>62.548791975687799</v>
      </c>
      <c r="S79" s="38">
        <v>15.4865083540992</v>
      </c>
      <c r="T79" s="38">
        <v>129.20004388430013</v>
      </c>
      <c r="U79" s="38">
        <v>111.76355902218535</v>
      </c>
      <c r="V79" s="38" t="s">
        <v>2116</v>
      </c>
      <c r="W79" s="38" t="s">
        <v>2116</v>
      </c>
      <c r="X79" s="38" t="s">
        <v>2116</v>
      </c>
      <c r="Y79" s="38" t="s">
        <v>2116</v>
      </c>
      <c r="Z79" s="38">
        <v>0</v>
      </c>
      <c r="AA79" s="38">
        <v>0</v>
      </c>
      <c r="AB79" s="38">
        <v>0</v>
      </c>
      <c r="AC79" s="38">
        <v>0</v>
      </c>
      <c r="AD79" s="38">
        <v>0</v>
      </c>
      <c r="AE79" s="38">
        <v>0</v>
      </c>
      <c r="AF79" s="38">
        <v>0</v>
      </c>
      <c r="AG79" s="38">
        <v>0</v>
      </c>
      <c r="AH79" s="38">
        <v>62.548791975687799</v>
      </c>
      <c r="AI79" s="38">
        <v>15.4865083540992</v>
      </c>
      <c r="AJ79" s="38">
        <v>129.20004388430013</v>
      </c>
      <c r="AK79" s="38">
        <v>111.76355902218535</v>
      </c>
      <c r="AL79" s="38">
        <v>318.99890323627244</v>
      </c>
      <c r="AM79" s="38">
        <v>153.72511862772561</v>
      </c>
      <c r="AN79" s="38">
        <v>53.733739534955419</v>
      </c>
      <c r="AO79" s="38">
        <v>20.745885816268103</v>
      </c>
      <c r="AP79" s="38">
        <v>0</v>
      </c>
      <c r="AQ79" s="38">
        <v>228.20474397894912</v>
      </c>
      <c r="AR79" s="38">
        <v>62.548791975687799</v>
      </c>
      <c r="AS79" s="49">
        <v>3.648427679748802</v>
      </c>
      <c r="AT79" s="38">
        <v>153.72511862772561</v>
      </c>
      <c r="AU79" s="38">
        <v>60.784773229587557</v>
      </c>
      <c r="AV79" s="38">
        <v>21.450989185731316</v>
      </c>
      <c r="AW79" s="38">
        <v>0</v>
      </c>
      <c r="AX79" s="38">
        <v>235.96088104304448</v>
      </c>
      <c r="AY79" s="38">
        <v>15.4865083540992</v>
      </c>
      <c r="AZ79" s="49">
        <v>15.236544975006378</v>
      </c>
      <c r="BA79" s="38">
        <v>153.72511862772561</v>
      </c>
      <c r="BB79" s="38">
        <v>114.51851276454298</v>
      </c>
      <c r="BC79" s="38">
        <v>26.824363139226861</v>
      </c>
      <c r="BD79" s="38">
        <v>0</v>
      </c>
      <c r="BE79" s="38">
        <v>295.06799453149546</v>
      </c>
      <c r="BF79" s="38">
        <v>78.035300329786992</v>
      </c>
      <c r="BG79" s="38">
        <v>-15.969045980960688</v>
      </c>
      <c r="BH79" s="49">
        <v>3.7812117501246361</v>
      </c>
      <c r="BI79" s="38">
        <v>15.777646293626075</v>
      </c>
      <c r="BJ79" s="38">
        <v>3.9064008019409187</v>
      </c>
      <c r="BK79" s="38">
        <v>32.590119315490405</v>
      </c>
      <c r="BL79" s="38">
        <v>28.191845870568493</v>
      </c>
      <c r="BM79" s="38">
        <v>80.466012281625893</v>
      </c>
      <c r="BN79" s="38">
        <v>153.72511862772561</v>
      </c>
      <c r="BO79" s="38">
        <v>0</v>
      </c>
      <c r="BP79" s="38">
        <v>114.51851276454298</v>
      </c>
      <c r="BQ79" s="38">
        <v>0</v>
      </c>
      <c r="BR79" s="38">
        <v>0</v>
      </c>
      <c r="BS79" s="38">
        <v>0</v>
      </c>
      <c r="BT79" s="38">
        <v>0</v>
      </c>
      <c r="BU79" s="38">
        <v>0</v>
      </c>
      <c r="BV79" s="38">
        <v>0</v>
      </c>
      <c r="BW79" s="38">
        <v>26.824363139226861</v>
      </c>
      <c r="BX79" s="38">
        <v>318.99890323627244</v>
      </c>
      <c r="BY79" s="38"/>
      <c r="BZ79" s="38">
        <v>0</v>
      </c>
      <c r="CA79" s="38">
        <v>0</v>
      </c>
      <c r="CB79" s="38">
        <v>295.0679945314954</v>
      </c>
      <c r="CC79" s="38">
        <v>318.99890323627244</v>
      </c>
      <c r="CD79" s="50">
        <v>0.92498121949011158</v>
      </c>
      <c r="CE79" s="38">
        <v>44.812919205098218</v>
      </c>
      <c r="CF79" s="38">
        <v>2.7712472364745082</v>
      </c>
      <c r="CG79" s="38">
        <v>0</v>
      </c>
      <c r="CH79" s="38">
        <v>2.7712472364745082</v>
      </c>
      <c r="CI79" s="38">
        <v>0.13856081678523668</v>
      </c>
      <c r="CJ79" s="38">
        <v>0</v>
      </c>
      <c r="CK79" s="38">
        <v>0.13856081678523668</v>
      </c>
      <c r="CL79" s="38"/>
      <c r="CM79" s="38">
        <v>0</v>
      </c>
      <c r="CN79" s="38"/>
      <c r="CO79" s="38">
        <v>0</v>
      </c>
      <c r="CP79" s="38">
        <v>0</v>
      </c>
      <c r="CQ79" s="38">
        <v>0</v>
      </c>
      <c r="CR79" s="38">
        <v>0</v>
      </c>
      <c r="CS79" s="38">
        <v>0</v>
      </c>
      <c r="CT79" s="38">
        <v>0</v>
      </c>
      <c r="CU79" s="38">
        <v>129.20004388430013</v>
      </c>
      <c r="CV79" s="38">
        <v>9999</v>
      </c>
      <c r="CW79" s="50">
        <v>0</v>
      </c>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row>
    <row r="80" spans="1:131">
      <c r="A80" s="27" t="s">
        <v>231</v>
      </c>
      <c r="B80" s="27" t="s">
        <v>66</v>
      </c>
      <c r="C80" s="38">
        <v>45</v>
      </c>
      <c r="D80" s="38">
        <v>270.85865359604821</v>
      </c>
      <c r="E80" s="38">
        <v>0</v>
      </c>
      <c r="F80" s="38">
        <v>616.64875589506175</v>
      </c>
      <c r="G80" s="38">
        <v>0</v>
      </c>
      <c r="H80" s="38">
        <v>0</v>
      </c>
      <c r="I80" s="38" t="s">
        <v>1947</v>
      </c>
      <c r="J80" s="38"/>
      <c r="K80" s="38"/>
      <c r="L80" s="38">
        <v>309.64144332325418</v>
      </c>
      <c r="M80" s="38">
        <v>0.16141953440112555</v>
      </c>
      <c r="N80" s="38">
        <v>0.15314946337867696</v>
      </c>
      <c r="O80" s="38">
        <v>0</v>
      </c>
      <c r="P80" s="38">
        <v>0</v>
      </c>
      <c r="Q80" s="38">
        <v>0</v>
      </c>
      <c r="R80" s="38">
        <v>80.65502123180795</v>
      </c>
      <c r="S80" s="38">
        <v>19.969444982917388</v>
      </c>
      <c r="T80" s="38">
        <v>166.60005658765019</v>
      </c>
      <c r="U80" s="38">
        <v>144.116168212818</v>
      </c>
      <c r="V80" s="38" t="s">
        <v>2116</v>
      </c>
      <c r="W80" s="38" t="s">
        <v>2116</v>
      </c>
      <c r="X80" s="38" t="s">
        <v>2116</v>
      </c>
      <c r="Y80" s="38" t="s">
        <v>2116</v>
      </c>
      <c r="Z80" s="38">
        <v>0</v>
      </c>
      <c r="AA80" s="38">
        <v>0</v>
      </c>
      <c r="AB80" s="38">
        <v>0</v>
      </c>
      <c r="AC80" s="38">
        <v>0</v>
      </c>
      <c r="AD80" s="38">
        <v>0</v>
      </c>
      <c r="AE80" s="38">
        <v>0</v>
      </c>
      <c r="AF80" s="38">
        <v>0</v>
      </c>
      <c r="AG80" s="38">
        <v>0</v>
      </c>
      <c r="AH80" s="38">
        <v>80.65502123180795</v>
      </c>
      <c r="AI80" s="38">
        <v>19.969444982917388</v>
      </c>
      <c r="AJ80" s="38">
        <v>166.60005658765019</v>
      </c>
      <c r="AK80" s="38">
        <v>144.116168212818</v>
      </c>
      <c r="AL80" s="38">
        <v>411.34069101519356</v>
      </c>
      <c r="AM80" s="38">
        <v>163.17630509016715</v>
      </c>
      <c r="AN80" s="38">
        <v>57.037347925064886</v>
      </c>
      <c r="AO80" s="38">
        <v>22.021365301523204</v>
      </c>
      <c r="AP80" s="38">
        <v>0</v>
      </c>
      <c r="AQ80" s="38">
        <v>242.23501831675526</v>
      </c>
      <c r="AR80" s="38">
        <v>80.65502123180795</v>
      </c>
      <c r="AS80" s="49">
        <v>3.003347028085896</v>
      </c>
      <c r="AT80" s="38">
        <v>163.17630509016715</v>
      </c>
      <c r="AU80" s="38">
        <v>64.521886793059807</v>
      </c>
      <c r="AV80" s="38">
        <v>22.769819188322696</v>
      </c>
      <c r="AW80" s="38">
        <v>0</v>
      </c>
      <c r="AX80" s="38">
        <v>250.46801107154965</v>
      </c>
      <c r="AY80" s="38">
        <v>19.969444982917388</v>
      </c>
      <c r="AZ80" s="49">
        <v>12.54256246409499</v>
      </c>
      <c r="BA80" s="38">
        <v>163.17630509016715</v>
      </c>
      <c r="BB80" s="38">
        <v>121.55923471812469</v>
      </c>
      <c r="BC80" s="38">
        <v>28.473553980829184</v>
      </c>
      <c r="BD80" s="38">
        <v>0</v>
      </c>
      <c r="BE80" s="38">
        <v>313.20909378912103</v>
      </c>
      <c r="BF80" s="38">
        <v>100.62446621472535</v>
      </c>
      <c r="BG80" s="38">
        <v>-11.741163618706887</v>
      </c>
      <c r="BH80" s="49">
        <v>3.1126534685983369</v>
      </c>
      <c r="BI80" s="38">
        <v>19.166483566715272</v>
      </c>
      <c r="BJ80" s="38">
        <v>4.7454458911055122</v>
      </c>
      <c r="BK80" s="38">
        <v>39.590061449785516</v>
      </c>
      <c r="BL80" s="38">
        <v>34.247094942919936</v>
      </c>
      <c r="BM80" s="38">
        <v>97.749085850526242</v>
      </c>
      <c r="BN80" s="38">
        <v>163.17630509016715</v>
      </c>
      <c r="BO80" s="38">
        <v>0</v>
      </c>
      <c r="BP80" s="38">
        <v>121.55923471812469</v>
      </c>
      <c r="BQ80" s="38">
        <v>0</v>
      </c>
      <c r="BR80" s="38">
        <v>0</v>
      </c>
      <c r="BS80" s="38">
        <v>0</v>
      </c>
      <c r="BT80" s="38">
        <v>0</v>
      </c>
      <c r="BU80" s="38">
        <v>0</v>
      </c>
      <c r="BV80" s="38">
        <v>0</v>
      </c>
      <c r="BW80" s="38">
        <v>28.473553980829184</v>
      </c>
      <c r="BX80" s="38">
        <v>411.34069101519356</v>
      </c>
      <c r="BY80" s="38"/>
      <c r="BZ80" s="38">
        <v>0</v>
      </c>
      <c r="CA80" s="38">
        <v>0</v>
      </c>
      <c r="CB80" s="38">
        <v>313.20909378912103</v>
      </c>
      <c r="CC80" s="38">
        <v>411.34069101519356</v>
      </c>
      <c r="CD80" s="50">
        <v>0.76143474407094858</v>
      </c>
      <c r="CE80" s="38">
        <v>62.095992773998567</v>
      </c>
      <c r="CF80" s="38">
        <v>2.9416265121534133</v>
      </c>
      <c r="CG80" s="38">
        <v>0</v>
      </c>
      <c r="CH80" s="38">
        <v>2.9416265121534133</v>
      </c>
      <c r="CI80" s="38">
        <v>0.14707968557854575</v>
      </c>
      <c r="CJ80" s="38">
        <v>0</v>
      </c>
      <c r="CK80" s="38">
        <v>0.14707968557854575</v>
      </c>
      <c r="CL80" s="38"/>
      <c r="CM80" s="38">
        <v>0</v>
      </c>
      <c r="CN80" s="38"/>
      <c r="CO80" s="38">
        <v>0</v>
      </c>
      <c r="CP80" s="38">
        <v>0</v>
      </c>
      <c r="CQ80" s="38">
        <v>0</v>
      </c>
      <c r="CR80" s="38">
        <v>0</v>
      </c>
      <c r="CS80" s="38">
        <v>0</v>
      </c>
      <c r="CT80" s="38">
        <v>0</v>
      </c>
      <c r="CU80" s="38">
        <v>166.60005658765019</v>
      </c>
      <c r="CV80" s="38">
        <v>9999</v>
      </c>
      <c r="CW80" s="50">
        <v>0</v>
      </c>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row>
    <row r="81" spans="1:131">
      <c r="A81" s="27" t="s">
        <v>1673</v>
      </c>
      <c r="B81" s="27" t="s">
        <v>1202</v>
      </c>
      <c r="C81" s="38">
        <v>45</v>
      </c>
      <c r="D81" s="38">
        <v>49.083580521539076</v>
      </c>
      <c r="E81" s="38">
        <v>0</v>
      </c>
      <c r="F81" s="38">
        <v>138.43135336419752</v>
      </c>
      <c r="G81" s="38">
        <v>0</v>
      </c>
      <c r="H81" s="38">
        <v>0</v>
      </c>
      <c r="I81" s="38" t="s">
        <v>1947</v>
      </c>
      <c r="J81" s="38"/>
      <c r="K81" s="38"/>
      <c r="L81" s="38">
        <v>56.111593683209037</v>
      </c>
      <c r="M81" s="38">
        <v>2.925159897731467E-2</v>
      </c>
      <c r="N81" s="38">
        <v>2.7752940206180899E-2</v>
      </c>
      <c r="O81" s="38">
        <v>0</v>
      </c>
      <c r="P81" s="38">
        <v>0</v>
      </c>
      <c r="Q81" s="38">
        <v>0</v>
      </c>
      <c r="R81" s="38">
        <v>18.106229256120152</v>
      </c>
      <c r="S81" s="38">
        <v>4.4829366288181891</v>
      </c>
      <c r="T81" s="38">
        <v>37.400012703350043</v>
      </c>
      <c r="U81" s="38">
        <v>32.352609190632599</v>
      </c>
      <c r="V81" s="38" t="s">
        <v>2116</v>
      </c>
      <c r="W81" s="38" t="s">
        <v>2116</v>
      </c>
      <c r="X81" s="38" t="s">
        <v>2116</v>
      </c>
      <c r="Y81" s="38" t="s">
        <v>2116</v>
      </c>
      <c r="Z81" s="38">
        <v>0</v>
      </c>
      <c r="AA81" s="38">
        <v>0</v>
      </c>
      <c r="AB81" s="38">
        <v>0</v>
      </c>
      <c r="AC81" s="38">
        <v>0</v>
      </c>
      <c r="AD81" s="38">
        <v>0</v>
      </c>
      <c r="AE81" s="38">
        <v>0</v>
      </c>
      <c r="AF81" s="38">
        <v>0</v>
      </c>
      <c r="AG81" s="38">
        <v>0</v>
      </c>
      <c r="AH81" s="38">
        <v>18.106229256120152</v>
      </c>
      <c r="AI81" s="38">
        <v>4.4829366288181891</v>
      </c>
      <c r="AJ81" s="38">
        <v>37.400012703350043</v>
      </c>
      <c r="AK81" s="38">
        <v>32.352609190632599</v>
      </c>
      <c r="AL81" s="38">
        <v>92.341787778920974</v>
      </c>
      <c r="AM81" s="38">
        <v>29.569951721185483</v>
      </c>
      <c r="AN81" s="38">
        <v>10.336008181559565</v>
      </c>
      <c r="AO81" s="38">
        <v>3.990595990274505</v>
      </c>
      <c r="AP81" s="38">
        <v>0</v>
      </c>
      <c r="AQ81" s="38">
        <v>43.896555893019553</v>
      </c>
      <c r="AR81" s="38">
        <v>18.106229256120152</v>
      </c>
      <c r="AS81" s="49">
        <v>2.4243897098663942</v>
      </c>
      <c r="AT81" s="38">
        <v>29.569951721185483</v>
      </c>
      <c r="AU81" s="38">
        <v>11.692316947465567</v>
      </c>
      <c r="AV81" s="38">
        <v>4.126226866865105</v>
      </c>
      <c r="AW81" s="38">
        <v>0</v>
      </c>
      <c r="AX81" s="38">
        <v>45.388495535516149</v>
      </c>
      <c r="AY81" s="38">
        <v>4.4829366288181891</v>
      </c>
      <c r="AZ81" s="49">
        <v>10.124723879374056</v>
      </c>
      <c r="BA81" s="38">
        <v>29.569951721185483</v>
      </c>
      <c r="BB81" s="38">
        <v>22.028325129025134</v>
      </c>
      <c r="BC81" s="38">
        <v>5.159827685021062</v>
      </c>
      <c r="BD81" s="38">
        <v>0</v>
      </c>
      <c r="BE81" s="38">
        <v>56.758104535231674</v>
      </c>
      <c r="BF81" s="38">
        <v>22.589165884938339</v>
      </c>
      <c r="BG81" s="38">
        <v>-6.0308660968135275</v>
      </c>
      <c r="BH81" s="49">
        <v>2.5126250709892739</v>
      </c>
      <c r="BI81" s="38">
        <v>23.74354305526391</v>
      </c>
      <c r="BJ81" s="38">
        <v>5.8786839244502485</v>
      </c>
      <c r="BK81" s="38">
        <v>49.044381319166718</v>
      </c>
      <c r="BL81" s="38">
        <v>42.425485638223741</v>
      </c>
      <c r="BM81" s="38">
        <v>121.09209393710459</v>
      </c>
      <c r="BN81" s="38">
        <v>29.569951721185483</v>
      </c>
      <c r="BO81" s="38">
        <v>0</v>
      </c>
      <c r="BP81" s="38">
        <v>22.028325129025134</v>
      </c>
      <c r="BQ81" s="38">
        <v>0</v>
      </c>
      <c r="BR81" s="38">
        <v>0</v>
      </c>
      <c r="BS81" s="38">
        <v>0</v>
      </c>
      <c r="BT81" s="38">
        <v>0</v>
      </c>
      <c r="BU81" s="38">
        <v>0</v>
      </c>
      <c r="BV81" s="38">
        <v>0</v>
      </c>
      <c r="BW81" s="38">
        <v>5.159827685021062</v>
      </c>
      <c r="BX81" s="38">
        <v>92.341787778920974</v>
      </c>
      <c r="BY81" s="38"/>
      <c r="BZ81" s="38">
        <v>0</v>
      </c>
      <c r="CA81" s="38">
        <v>0</v>
      </c>
      <c r="CB81" s="38">
        <v>56.758104535231681</v>
      </c>
      <c r="CC81" s="38">
        <v>92.341787778920974</v>
      </c>
      <c r="CD81" s="50">
        <v>0.61465243310123518</v>
      </c>
      <c r="CE81" s="38">
        <v>85.439000860576911</v>
      </c>
      <c r="CF81" s="38">
        <v>0.53306608393952015</v>
      </c>
      <c r="CG81" s="38">
        <v>0</v>
      </c>
      <c r="CH81" s="38">
        <v>0.53306608393952015</v>
      </c>
      <c r="CI81" s="38">
        <v>2.6653006999524297E-2</v>
      </c>
      <c r="CJ81" s="38">
        <v>0</v>
      </c>
      <c r="CK81" s="38">
        <v>2.6653006999524297E-2</v>
      </c>
      <c r="CL81" s="38"/>
      <c r="CM81" s="38">
        <v>0</v>
      </c>
      <c r="CN81" s="38"/>
      <c r="CO81" s="38">
        <v>0</v>
      </c>
      <c r="CP81" s="38">
        <v>0</v>
      </c>
      <c r="CQ81" s="38">
        <v>0</v>
      </c>
      <c r="CR81" s="38">
        <v>0</v>
      </c>
      <c r="CS81" s="38">
        <v>0</v>
      </c>
      <c r="CT81" s="38">
        <v>0</v>
      </c>
      <c r="CU81" s="38">
        <v>37.400012703350043</v>
      </c>
      <c r="CV81" s="38">
        <v>9999</v>
      </c>
      <c r="CW81" s="50">
        <v>0</v>
      </c>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row>
    <row r="82" spans="1:131">
      <c r="A82" s="27" t="s">
        <v>232</v>
      </c>
      <c r="B82" s="27" t="s">
        <v>67</v>
      </c>
      <c r="C82" s="38">
        <v>45</v>
      </c>
      <c r="D82" s="38">
        <v>67.720566368354085</v>
      </c>
      <c r="E82" s="38">
        <v>0</v>
      </c>
      <c r="F82" s="38">
        <v>239.1087012654321</v>
      </c>
      <c r="G82" s="38">
        <v>0</v>
      </c>
      <c r="H82" s="38">
        <v>0</v>
      </c>
      <c r="I82" s="38" t="s">
        <v>1947</v>
      </c>
      <c r="J82" s="38"/>
      <c r="K82" s="38"/>
      <c r="L82" s="38">
        <v>77.417109014497882</v>
      </c>
      <c r="M82" s="38">
        <v>4.035840150362368E-2</v>
      </c>
      <c r="N82" s="38">
        <v>3.8290703513874452E-2</v>
      </c>
      <c r="O82" s="38">
        <v>0</v>
      </c>
      <c r="P82" s="38">
        <v>0</v>
      </c>
      <c r="Q82" s="38">
        <v>0</v>
      </c>
      <c r="R82" s="38">
        <v>31.274395987843899</v>
      </c>
      <c r="S82" s="38">
        <v>7.7432541770496002</v>
      </c>
      <c r="T82" s="38">
        <v>64.600021942150065</v>
      </c>
      <c r="U82" s="38">
        <v>55.881779511092674</v>
      </c>
      <c r="V82" s="38" t="s">
        <v>2116</v>
      </c>
      <c r="W82" s="38" t="s">
        <v>2116</v>
      </c>
      <c r="X82" s="38" t="s">
        <v>2116</v>
      </c>
      <c r="Y82" s="38" t="s">
        <v>2116</v>
      </c>
      <c r="Z82" s="38">
        <v>0</v>
      </c>
      <c r="AA82" s="38">
        <v>0</v>
      </c>
      <c r="AB82" s="38">
        <v>0</v>
      </c>
      <c r="AC82" s="38">
        <v>0</v>
      </c>
      <c r="AD82" s="38">
        <v>0</v>
      </c>
      <c r="AE82" s="38">
        <v>0</v>
      </c>
      <c r="AF82" s="38">
        <v>0</v>
      </c>
      <c r="AG82" s="38">
        <v>0</v>
      </c>
      <c r="AH82" s="38">
        <v>31.274395987843899</v>
      </c>
      <c r="AI82" s="38">
        <v>7.7432541770496002</v>
      </c>
      <c r="AJ82" s="38">
        <v>64.600021942150065</v>
      </c>
      <c r="AK82" s="38">
        <v>55.881779511092674</v>
      </c>
      <c r="AL82" s="38">
        <v>159.49945161813622</v>
      </c>
      <c r="AM82" s="38">
        <v>40.797632462139177</v>
      </c>
      <c r="AN82" s="38">
        <v>14.260580027082488</v>
      </c>
      <c r="AO82" s="38">
        <v>5.5058212489221665</v>
      </c>
      <c r="AP82" s="38">
        <v>0</v>
      </c>
      <c r="AQ82" s="38">
        <v>60.564033738143834</v>
      </c>
      <c r="AR82" s="38">
        <v>31.274395987843899</v>
      </c>
      <c r="AS82" s="49">
        <v>1.9365372799424991</v>
      </c>
      <c r="AT82" s="38">
        <v>40.797632462139177</v>
      </c>
      <c r="AU82" s="38">
        <v>16.131877858690597</v>
      </c>
      <c r="AV82" s="38">
        <v>5.6929510320829779</v>
      </c>
      <c r="AW82" s="38">
        <v>0</v>
      </c>
      <c r="AX82" s="38">
        <v>62.622461352912758</v>
      </c>
      <c r="AY82" s="38">
        <v>7.7432541770496002</v>
      </c>
      <c r="AZ82" s="49">
        <v>8.0873570621665554</v>
      </c>
      <c r="BA82" s="38">
        <v>40.797632462139177</v>
      </c>
      <c r="BB82" s="38">
        <v>30.392457885773084</v>
      </c>
      <c r="BC82" s="38">
        <v>7.1190090347912269</v>
      </c>
      <c r="BD82" s="38">
        <v>0</v>
      </c>
      <c r="BE82" s="38">
        <v>78.309099382703494</v>
      </c>
      <c r="BF82" s="38">
        <v>39.017650164893496</v>
      </c>
      <c r="BG82" s="38">
        <v>1.4315646869820362</v>
      </c>
      <c r="BH82" s="49">
        <v>2.0070173127228164</v>
      </c>
      <c r="BI82" s="38">
        <v>29.725015911214811</v>
      </c>
      <c r="BJ82" s="38">
        <v>7.3596418522949083</v>
      </c>
      <c r="BK82" s="38">
        <v>61.399640806544021</v>
      </c>
      <c r="BL82" s="38">
        <v>53.113313067976705</v>
      </c>
      <c r="BM82" s="38">
        <v>151.59761163803043</v>
      </c>
      <c r="BN82" s="38">
        <v>40.797632462139177</v>
      </c>
      <c r="BO82" s="38">
        <v>0</v>
      </c>
      <c r="BP82" s="38">
        <v>30.392457885773084</v>
      </c>
      <c r="BQ82" s="38">
        <v>0</v>
      </c>
      <c r="BR82" s="38">
        <v>0</v>
      </c>
      <c r="BS82" s="38">
        <v>0</v>
      </c>
      <c r="BT82" s="38">
        <v>0</v>
      </c>
      <c r="BU82" s="38">
        <v>0</v>
      </c>
      <c r="BV82" s="38">
        <v>0</v>
      </c>
      <c r="BW82" s="38">
        <v>7.1190090347912269</v>
      </c>
      <c r="BX82" s="38">
        <v>159.49945161813622</v>
      </c>
      <c r="BY82" s="38"/>
      <c r="BZ82" s="38">
        <v>0</v>
      </c>
      <c r="CA82" s="38">
        <v>0</v>
      </c>
      <c r="CB82" s="38">
        <v>78.309099382703494</v>
      </c>
      <c r="CC82" s="38">
        <v>159.49945161813622</v>
      </c>
      <c r="CD82" s="50">
        <v>0.4909678283420455</v>
      </c>
      <c r="CE82" s="38">
        <v>115.94451856150275</v>
      </c>
      <c r="CF82" s="38">
        <v>0.73547073649819539</v>
      </c>
      <c r="CG82" s="38">
        <v>0</v>
      </c>
      <c r="CH82" s="38">
        <v>0.73547073649819539</v>
      </c>
      <c r="CI82" s="38">
        <v>3.6773126781886496E-2</v>
      </c>
      <c r="CJ82" s="38">
        <v>0</v>
      </c>
      <c r="CK82" s="38">
        <v>3.6773126781886496E-2</v>
      </c>
      <c r="CL82" s="38"/>
      <c r="CM82" s="38">
        <v>0</v>
      </c>
      <c r="CN82" s="38"/>
      <c r="CO82" s="38">
        <v>0</v>
      </c>
      <c r="CP82" s="38">
        <v>0</v>
      </c>
      <c r="CQ82" s="38">
        <v>0</v>
      </c>
      <c r="CR82" s="38">
        <v>0</v>
      </c>
      <c r="CS82" s="38">
        <v>0</v>
      </c>
      <c r="CT82" s="38">
        <v>0</v>
      </c>
      <c r="CU82" s="38">
        <v>64.600021942150065</v>
      </c>
      <c r="CV82" s="38">
        <v>9999</v>
      </c>
      <c r="CW82" s="50">
        <v>0</v>
      </c>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row>
    <row r="83" spans="1:131">
      <c r="A83" s="27" t="s">
        <v>233</v>
      </c>
      <c r="B83" s="27" t="s">
        <v>68</v>
      </c>
      <c r="C83" s="38">
        <v>45</v>
      </c>
      <c r="D83" s="38">
        <v>83.408724270247603</v>
      </c>
      <c r="E83" s="38">
        <v>0</v>
      </c>
      <c r="F83" s="38">
        <v>377.54005462962965</v>
      </c>
      <c r="G83" s="38">
        <v>0</v>
      </c>
      <c r="H83" s="38">
        <v>0</v>
      </c>
      <c r="I83" s="38" t="s">
        <v>1947</v>
      </c>
      <c r="J83" s="38"/>
      <c r="K83" s="38"/>
      <c r="L83" s="38">
        <v>95.351569631990586</v>
      </c>
      <c r="M83" s="38">
        <v>4.9707835647646678E-2</v>
      </c>
      <c r="N83" s="38">
        <v>4.7161134390556615E-2</v>
      </c>
      <c r="O83" s="38">
        <v>0</v>
      </c>
      <c r="P83" s="38">
        <v>0</v>
      </c>
      <c r="Q83" s="38">
        <v>0</v>
      </c>
      <c r="R83" s="38">
        <v>49.380625243964055</v>
      </c>
      <c r="S83" s="38">
        <v>12.226190805867789</v>
      </c>
      <c r="T83" s="38">
        <v>102.00003464550014</v>
      </c>
      <c r="U83" s="38">
        <v>88.234388701725294</v>
      </c>
      <c r="V83" s="38" t="s">
        <v>2116</v>
      </c>
      <c r="W83" s="38" t="s">
        <v>2116</v>
      </c>
      <c r="X83" s="38" t="s">
        <v>2116</v>
      </c>
      <c r="Y83" s="38" t="s">
        <v>2116</v>
      </c>
      <c r="Z83" s="38">
        <v>0</v>
      </c>
      <c r="AA83" s="38">
        <v>0</v>
      </c>
      <c r="AB83" s="38">
        <v>0</v>
      </c>
      <c r="AC83" s="38">
        <v>0</v>
      </c>
      <c r="AD83" s="38">
        <v>0</v>
      </c>
      <c r="AE83" s="38">
        <v>0</v>
      </c>
      <c r="AF83" s="38">
        <v>0</v>
      </c>
      <c r="AG83" s="38">
        <v>0</v>
      </c>
      <c r="AH83" s="38">
        <v>49.380625243964055</v>
      </c>
      <c r="AI83" s="38">
        <v>12.226190805867789</v>
      </c>
      <c r="AJ83" s="38">
        <v>102.00003464550014</v>
      </c>
      <c r="AK83" s="38">
        <v>88.234388701725294</v>
      </c>
      <c r="AL83" s="38">
        <v>251.84123939705728</v>
      </c>
      <c r="AM83" s="38">
        <v>50.248818924580682</v>
      </c>
      <c r="AN83" s="38">
        <v>17.56418841719195</v>
      </c>
      <c r="AO83" s="38">
        <v>6.7813007341772638</v>
      </c>
      <c r="AP83" s="38">
        <v>0</v>
      </c>
      <c r="AQ83" s="38">
        <v>74.594308075949897</v>
      </c>
      <c r="AR83" s="38">
        <v>49.380625243964055</v>
      </c>
      <c r="AS83" s="49">
        <v>1.5105986954887289</v>
      </c>
      <c r="AT83" s="38">
        <v>50.248818924580682</v>
      </c>
      <c r="AU83" s="38">
        <v>19.868991422162836</v>
      </c>
      <c r="AV83" s="38">
        <v>7.0117810346743523</v>
      </c>
      <c r="AW83" s="38">
        <v>0</v>
      </c>
      <c r="AX83" s="38">
        <v>77.129591381417868</v>
      </c>
      <c r="AY83" s="38">
        <v>12.226190805867789</v>
      </c>
      <c r="AZ83" s="49">
        <v>6.3085545290525484</v>
      </c>
      <c r="BA83" s="38">
        <v>50.248818924580682</v>
      </c>
      <c r="BB83" s="38">
        <v>37.433179839354786</v>
      </c>
      <c r="BC83" s="38">
        <v>8.7681998763935471</v>
      </c>
      <c r="BD83" s="38">
        <v>0</v>
      </c>
      <c r="BE83" s="38">
        <v>96.45019864032902</v>
      </c>
      <c r="BF83" s="38">
        <v>61.606816049831842</v>
      </c>
      <c r="BG83" s="38">
        <v>11.888204613863104</v>
      </c>
      <c r="BH83" s="49">
        <v>1.5655767466105284</v>
      </c>
      <c r="BI83" s="38">
        <v>38.106481642583269</v>
      </c>
      <c r="BJ83" s="38">
        <v>9.4348160478075211</v>
      </c>
      <c r="BK83" s="38">
        <v>78.712297152144941</v>
      </c>
      <c r="BL83" s="38">
        <v>68.089500622875093</v>
      </c>
      <c r="BM83" s="38">
        <v>194.34309546541081</v>
      </c>
      <c r="BN83" s="38">
        <v>50.248818924580682</v>
      </c>
      <c r="BO83" s="38">
        <v>0</v>
      </c>
      <c r="BP83" s="38">
        <v>37.433179839354786</v>
      </c>
      <c r="BQ83" s="38">
        <v>0</v>
      </c>
      <c r="BR83" s="38">
        <v>0</v>
      </c>
      <c r="BS83" s="38">
        <v>0</v>
      </c>
      <c r="BT83" s="38">
        <v>0</v>
      </c>
      <c r="BU83" s="38">
        <v>0</v>
      </c>
      <c r="BV83" s="38">
        <v>0</v>
      </c>
      <c r="BW83" s="38">
        <v>8.7681998763935471</v>
      </c>
      <c r="BX83" s="38">
        <v>251.84123939705728</v>
      </c>
      <c r="BY83" s="38"/>
      <c r="BZ83" s="38">
        <v>0</v>
      </c>
      <c r="CA83" s="38">
        <v>0</v>
      </c>
      <c r="CB83" s="38">
        <v>96.45019864032902</v>
      </c>
      <c r="CC83" s="38">
        <v>251.84123939705728</v>
      </c>
      <c r="CD83" s="50">
        <v>0.38298016191170325</v>
      </c>
      <c r="CE83" s="38">
        <v>158.69000238888316</v>
      </c>
      <c r="CF83" s="38">
        <v>0.90585001217710448</v>
      </c>
      <c r="CG83" s="38">
        <v>0</v>
      </c>
      <c r="CH83" s="38">
        <v>0.90585001217710448</v>
      </c>
      <c r="CI83" s="38">
        <v>4.5291995575195532E-2</v>
      </c>
      <c r="CJ83" s="38">
        <v>0</v>
      </c>
      <c r="CK83" s="38">
        <v>4.5291995575195532E-2</v>
      </c>
      <c r="CL83" s="38"/>
      <c r="CM83" s="38">
        <v>0</v>
      </c>
      <c r="CN83" s="38"/>
      <c r="CO83" s="38">
        <v>0</v>
      </c>
      <c r="CP83" s="38">
        <v>0</v>
      </c>
      <c r="CQ83" s="38">
        <v>0</v>
      </c>
      <c r="CR83" s="38">
        <v>0</v>
      </c>
      <c r="CS83" s="38">
        <v>0</v>
      </c>
      <c r="CT83" s="38">
        <v>0</v>
      </c>
      <c r="CU83" s="38">
        <v>102.00003464550014</v>
      </c>
      <c r="CV83" s="38">
        <v>9999</v>
      </c>
      <c r="CW83" s="50">
        <v>0</v>
      </c>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row>
    <row r="84" spans="1:131">
      <c r="A84" s="27" t="s">
        <v>239</v>
      </c>
      <c r="B84" s="27" t="s">
        <v>74</v>
      </c>
      <c r="C84" s="38">
        <v>45</v>
      </c>
      <c r="D84" s="38">
        <v>4603.3966563064459</v>
      </c>
      <c r="E84" s="38">
        <v>0</v>
      </c>
      <c r="F84" s="38">
        <v>4101.7368570659019</v>
      </c>
      <c r="G84" s="38">
        <v>0</v>
      </c>
      <c r="H84" s="38">
        <v>0</v>
      </c>
      <c r="I84" s="38" t="s">
        <v>1947</v>
      </c>
      <c r="J84" s="38"/>
      <c r="K84" s="38"/>
      <c r="L84" s="38">
        <v>5262.5321950170346</v>
      </c>
      <c r="M84" s="38">
        <v>2.7434166679159997</v>
      </c>
      <c r="N84" s="38">
        <v>2.6028621137722956</v>
      </c>
      <c r="O84" s="38">
        <v>0</v>
      </c>
      <c r="P84" s="38">
        <v>0</v>
      </c>
      <c r="Q84" s="38">
        <v>0</v>
      </c>
      <c r="R84" s="38">
        <v>536.48964687157786</v>
      </c>
      <c r="S84" s="38">
        <v>132.82992581845238</v>
      </c>
      <c r="T84" s="38">
        <v>1108.1666604564084</v>
      </c>
      <c r="U84" s="38">
        <v>958.61151621008025</v>
      </c>
      <c r="V84" s="38" t="s">
        <v>2116</v>
      </c>
      <c r="W84" s="38" t="s">
        <v>2116</v>
      </c>
      <c r="X84" s="38" t="s">
        <v>2116</v>
      </c>
      <c r="Y84" s="38" t="s">
        <v>2116</v>
      </c>
      <c r="Z84" s="38">
        <v>0</v>
      </c>
      <c r="AA84" s="38">
        <v>0</v>
      </c>
      <c r="AB84" s="38">
        <v>0</v>
      </c>
      <c r="AC84" s="38">
        <v>0</v>
      </c>
      <c r="AD84" s="38">
        <v>0</v>
      </c>
      <c r="AE84" s="38">
        <v>0</v>
      </c>
      <c r="AF84" s="38">
        <v>0</v>
      </c>
      <c r="AG84" s="38">
        <v>0</v>
      </c>
      <c r="AH84" s="38">
        <v>536.48964687157786</v>
      </c>
      <c r="AI84" s="38">
        <v>132.82992581845238</v>
      </c>
      <c r="AJ84" s="38">
        <v>1108.1666604564084</v>
      </c>
      <c r="AK84" s="38">
        <v>958.61151621008025</v>
      </c>
      <c r="AL84" s="38">
        <v>2736.0977493565188</v>
      </c>
      <c r="AM84" s="38">
        <v>2773.2739835618677</v>
      </c>
      <c r="AN84" s="38">
        <v>969.38212324725896</v>
      </c>
      <c r="AO84" s="38">
        <v>374.26561068091269</v>
      </c>
      <c r="AP84" s="38">
        <v>0</v>
      </c>
      <c r="AQ84" s="38">
        <v>4116.9217174900396</v>
      </c>
      <c r="AR84" s="38">
        <v>536.48964687157786</v>
      </c>
      <c r="AS84" s="49">
        <v>7.6738139151369813</v>
      </c>
      <c r="AT84" s="38">
        <v>2773.2739835618677</v>
      </c>
      <c r="AU84" s="38">
        <v>1096.5861122706549</v>
      </c>
      <c r="AV84" s="38">
        <v>386.98600958325227</v>
      </c>
      <c r="AW84" s="38">
        <v>0</v>
      </c>
      <c r="AX84" s="38">
        <v>4256.8461054157742</v>
      </c>
      <c r="AY84" s="38">
        <v>132.82992581845238</v>
      </c>
      <c r="AZ84" s="49">
        <v>32.047342337854595</v>
      </c>
      <c r="BA84" s="38">
        <v>2773.2739835618677</v>
      </c>
      <c r="BB84" s="38">
        <v>2065.9682355179139</v>
      </c>
      <c r="BC84" s="38">
        <v>483.92422190797816</v>
      </c>
      <c r="BD84" s="38">
        <v>0</v>
      </c>
      <c r="BE84" s="38">
        <v>5323.1664409877594</v>
      </c>
      <c r="BF84" s="38">
        <v>669.31957269003021</v>
      </c>
      <c r="BG84" s="38">
        <v>-26.294536423064205</v>
      </c>
      <c r="BH84" s="49">
        <v>7.9531014155072084</v>
      </c>
      <c r="BI84" s="38">
        <v>7.501302754475768</v>
      </c>
      <c r="BJ84" s="38">
        <v>1.8572538989876934</v>
      </c>
      <c r="BK84" s="38">
        <v>15.49460212508019</v>
      </c>
      <c r="BL84" s="38">
        <v>13.403492963844972</v>
      </c>
      <c r="BM84" s="38">
        <v>38.25665174238862</v>
      </c>
      <c r="BN84" s="38">
        <v>2773.2739835618677</v>
      </c>
      <c r="BO84" s="38">
        <v>0</v>
      </c>
      <c r="BP84" s="38">
        <v>2065.9682355179139</v>
      </c>
      <c r="BQ84" s="38">
        <v>0</v>
      </c>
      <c r="BR84" s="38">
        <v>0</v>
      </c>
      <c r="BS84" s="38">
        <v>0</v>
      </c>
      <c r="BT84" s="38">
        <v>0</v>
      </c>
      <c r="BU84" s="38">
        <v>0</v>
      </c>
      <c r="BV84" s="38">
        <v>0</v>
      </c>
      <c r="BW84" s="38">
        <v>483.92422190797816</v>
      </c>
      <c r="BX84" s="38">
        <v>2736.0977493565188</v>
      </c>
      <c r="BY84" s="38"/>
      <c r="BZ84" s="38">
        <v>0</v>
      </c>
      <c r="CA84" s="38">
        <v>0</v>
      </c>
      <c r="CB84" s="38">
        <v>5323.1664409877594</v>
      </c>
      <c r="CC84" s="38">
        <v>2736.0977493565188</v>
      </c>
      <c r="CD84" s="49">
        <v>1.9455322611334602</v>
      </c>
      <c r="CE84" s="38">
        <v>2.6035586658609491</v>
      </c>
      <c r="CF84" s="38">
        <v>49.994613317190961</v>
      </c>
      <c r="CG84" s="38">
        <v>0</v>
      </c>
      <c r="CH84" s="38">
        <v>49.994613317190961</v>
      </c>
      <c r="CI84" s="38">
        <v>2.4997027926330913</v>
      </c>
      <c r="CJ84" s="38">
        <v>0</v>
      </c>
      <c r="CK84" s="38">
        <v>2.4997027926330913</v>
      </c>
      <c r="CL84" s="38"/>
      <c r="CM84" s="38">
        <v>0</v>
      </c>
      <c r="CN84" s="38"/>
      <c r="CO84" s="38">
        <v>0</v>
      </c>
      <c r="CP84" s="38">
        <v>0</v>
      </c>
      <c r="CQ84" s="38">
        <v>0</v>
      </c>
      <c r="CR84" s="38">
        <v>0</v>
      </c>
      <c r="CS84" s="38">
        <v>0</v>
      </c>
      <c r="CT84" s="38">
        <v>0</v>
      </c>
      <c r="CU84" s="38">
        <v>1108.1666604564084</v>
      </c>
      <c r="CV84" s="38">
        <v>9999</v>
      </c>
      <c r="CW84" s="50">
        <v>0</v>
      </c>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row>
    <row r="85" spans="1:131">
      <c r="A85" s="27" t="s">
        <v>240</v>
      </c>
      <c r="B85" s="27" t="s">
        <v>75</v>
      </c>
      <c r="C85" s="38">
        <v>45</v>
      </c>
      <c r="D85" s="38">
        <v>2715.9795695095759</v>
      </c>
      <c r="E85" s="38">
        <v>0</v>
      </c>
      <c r="F85" s="38">
        <v>4101.7368570659019</v>
      </c>
      <c r="G85" s="38">
        <v>0</v>
      </c>
      <c r="H85" s="38">
        <v>0</v>
      </c>
      <c r="I85" s="38" t="s">
        <v>1947</v>
      </c>
      <c r="J85" s="38"/>
      <c r="K85" s="38"/>
      <c r="L85" s="38">
        <v>3104.8660353810656</v>
      </c>
      <c r="M85" s="38">
        <v>1.618601258378261</v>
      </c>
      <c r="N85" s="38">
        <v>1.5356748181956934</v>
      </c>
      <c r="O85" s="38">
        <v>0</v>
      </c>
      <c r="P85" s="38">
        <v>0</v>
      </c>
      <c r="Q85" s="38">
        <v>0</v>
      </c>
      <c r="R85" s="38">
        <v>536.48964687157786</v>
      </c>
      <c r="S85" s="38">
        <v>132.82992581845238</v>
      </c>
      <c r="T85" s="38">
        <v>1108.1666604564084</v>
      </c>
      <c r="U85" s="38">
        <v>958.61151621008025</v>
      </c>
      <c r="V85" s="38" t="s">
        <v>2116</v>
      </c>
      <c r="W85" s="38" t="s">
        <v>2116</v>
      </c>
      <c r="X85" s="38" t="s">
        <v>2116</v>
      </c>
      <c r="Y85" s="38" t="s">
        <v>2116</v>
      </c>
      <c r="Z85" s="38">
        <v>0</v>
      </c>
      <c r="AA85" s="38">
        <v>0</v>
      </c>
      <c r="AB85" s="38">
        <v>0</v>
      </c>
      <c r="AC85" s="38">
        <v>0</v>
      </c>
      <c r="AD85" s="38">
        <v>0</v>
      </c>
      <c r="AE85" s="38">
        <v>0</v>
      </c>
      <c r="AF85" s="38">
        <v>0</v>
      </c>
      <c r="AG85" s="38">
        <v>0</v>
      </c>
      <c r="AH85" s="38">
        <v>536.48964687157786</v>
      </c>
      <c r="AI85" s="38">
        <v>132.82992581845238</v>
      </c>
      <c r="AJ85" s="38">
        <v>1108.1666604564084</v>
      </c>
      <c r="AK85" s="38">
        <v>958.61151621008025</v>
      </c>
      <c r="AL85" s="38">
        <v>2736.0977493565188</v>
      </c>
      <c r="AM85" s="38">
        <v>1636.2169159782798</v>
      </c>
      <c r="AN85" s="38">
        <v>571.93030241713404</v>
      </c>
      <c r="AO85" s="38">
        <v>220.81472183954139</v>
      </c>
      <c r="AP85" s="38">
        <v>0</v>
      </c>
      <c r="AQ85" s="38">
        <v>2428.9619402349554</v>
      </c>
      <c r="AR85" s="38">
        <v>536.48964687157786</v>
      </c>
      <c r="AS85" s="49">
        <v>4.5275094391828734</v>
      </c>
      <c r="AT85" s="38">
        <v>1636.2169159782798</v>
      </c>
      <c r="AU85" s="38">
        <v>646.9799801098801</v>
      </c>
      <c r="AV85" s="38">
        <v>228.31968960881599</v>
      </c>
      <c r="AW85" s="38">
        <v>0</v>
      </c>
      <c r="AX85" s="38">
        <v>2511.5165856969761</v>
      </c>
      <c r="AY85" s="38">
        <v>132.82992581845238</v>
      </c>
      <c r="AZ85" s="49">
        <v>18.907761712745629</v>
      </c>
      <c r="BA85" s="38">
        <v>1636.2169159782798</v>
      </c>
      <c r="BB85" s="38">
        <v>1218.9102825270143</v>
      </c>
      <c r="BC85" s="38">
        <v>285.51271985052938</v>
      </c>
      <c r="BD85" s="38">
        <v>0</v>
      </c>
      <c r="BE85" s="38">
        <v>3140.6399183558233</v>
      </c>
      <c r="BF85" s="38">
        <v>669.31957269003021</v>
      </c>
      <c r="BG85" s="38">
        <v>-19.79098980813405</v>
      </c>
      <c r="BH85" s="49">
        <v>4.6922875805550222</v>
      </c>
      <c r="BI85" s="38">
        <v>12.714186956911252</v>
      </c>
      <c r="BJ85" s="38">
        <v>3.1479163114823701</v>
      </c>
      <c r="BK85" s="38">
        <v>26.262273992831457</v>
      </c>
      <c r="BL85" s="38">
        <v>22.717989260770608</v>
      </c>
      <c r="BM85" s="38">
        <v>64.842366521995686</v>
      </c>
      <c r="BN85" s="38">
        <v>1636.2169159782798</v>
      </c>
      <c r="BO85" s="38">
        <v>0</v>
      </c>
      <c r="BP85" s="38">
        <v>1218.9102825270143</v>
      </c>
      <c r="BQ85" s="38">
        <v>0</v>
      </c>
      <c r="BR85" s="38">
        <v>0</v>
      </c>
      <c r="BS85" s="38">
        <v>0</v>
      </c>
      <c r="BT85" s="38">
        <v>0</v>
      </c>
      <c r="BU85" s="38">
        <v>0</v>
      </c>
      <c r="BV85" s="38">
        <v>0</v>
      </c>
      <c r="BW85" s="38">
        <v>285.51271985052938</v>
      </c>
      <c r="BX85" s="38">
        <v>2736.0977493565188</v>
      </c>
      <c r="BY85" s="38"/>
      <c r="BZ85" s="38">
        <v>0</v>
      </c>
      <c r="CA85" s="38">
        <v>0</v>
      </c>
      <c r="CB85" s="38">
        <v>3140.6399183558233</v>
      </c>
      <c r="CC85" s="38">
        <v>2736.0977493565188</v>
      </c>
      <c r="CD85" s="49">
        <v>1.1478536975129801</v>
      </c>
      <c r="CE85" s="38">
        <v>29.189273445468004</v>
      </c>
      <c r="CF85" s="38">
        <v>29.496556237230543</v>
      </c>
      <c r="CG85" s="38">
        <v>0</v>
      </c>
      <c r="CH85" s="38">
        <v>29.496556237230543</v>
      </c>
      <c r="CI85" s="38">
        <v>1.4748113668060063</v>
      </c>
      <c r="CJ85" s="38">
        <v>0</v>
      </c>
      <c r="CK85" s="38">
        <v>1.4748113668060063</v>
      </c>
      <c r="CL85" s="38"/>
      <c r="CM85" s="38">
        <v>0</v>
      </c>
      <c r="CN85" s="38"/>
      <c r="CO85" s="38">
        <v>0</v>
      </c>
      <c r="CP85" s="38">
        <v>0</v>
      </c>
      <c r="CQ85" s="38">
        <v>0</v>
      </c>
      <c r="CR85" s="38">
        <v>0</v>
      </c>
      <c r="CS85" s="38">
        <v>0</v>
      </c>
      <c r="CT85" s="38">
        <v>0</v>
      </c>
      <c r="CU85" s="38">
        <v>1108.1666604564084</v>
      </c>
      <c r="CV85" s="38">
        <v>9999</v>
      </c>
      <c r="CW85" s="50">
        <v>0</v>
      </c>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row>
    <row r="86" spans="1:131">
      <c r="A86" s="27" t="s">
        <v>237</v>
      </c>
      <c r="B86" s="27" t="s">
        <v>72</v>
      </c>
      <c r="C86" s="38">
        <v>45</v>
      </c>
      <c r="D86" s="38">
        <v>4233.5666119273837</v>
      </c>
      <c r="E86" s="38">
        <v>0</v>
      </c>
      <c r="F86" s="38">
        <v>3865.0968570659024</v>
      </c>
      <c r="G86" s="38">
        <v>0</v>
      </c>
      <c r="H86" s="38">
        <v>0</v>
      </c>
      <c r="I86" s="38" t="s">
        <v>1947</v>
      </c>
      <c r="J86" s="38"/>
      <c r="K86" s="38"/>
      <c r="L86" s="38">
        <v>4839.7481812685928</v>
      </c>
      <c r="M86" s="38">
        <v>2.5230146509280265</v>
      </c>
      <c r="N86" s="38">
        <v>2.3937520407286779</v>
      </c>
      <c r="O86" s="38">
        <v>0</v>
      </c>
      <c r="P86" s="38">
        <v>0</v>
      </c>
      <c r="Q86" s="38">
        <v>0</v>
      </c>
      <c r="R86" s="38">
        <v>505.53814645609174</v>
      </c>
      <c r="S86" s="38">
        <v>125.16661762950061</v>
      </c>
      <c r="T86" s="38">
        <v>1044.2336077841831</v>
      </c>
      <c r="U86" s="38">
        <v>903.30669361884679</v>
      </c>
      <c r="V86" s="38" t="s">
        <v>2116</v>
      </c>
      <c r="W86" s="38" t="s">
        <v>2116</v>
      </c>
      <c r="X86" s="38" t="s">
        <v>2116</v>
      </c>
      <c r="Y86" s="38" t="s">
        <v>2116</v>
      </c>
      <c r="Z86" s="38">
        <v>0</v>
      </c>
      <c r="AA86" s="38">
        <v>0</v>
      </c>
      <c r="AB86" s="38">
        <v>0</v>
      </c>
      <c r="AC86" s="38">
        <v>0</v>
      </c>
      <c r="AD86" s="38">
        <v>0</v>
      </c>
      <c r="AE86" s="38">
        <v>0</v>
      </c>
      <c r="AF86" s="38">
        <v>0</v>
      </c>
      <c r="AG86" s="38">
        <v>0</v>
      </c>
      <c r="AH86" s="38">
        <v>505.53814645609174</v>
      </c>
      <c r="AI86" s="38">
        <v>125.16661762950061</v>
      </c>
      <c r="AJ86" s="38">
        <v>1044.2336077841831</v>
      </c>
      <c r="AK86" s="38">
        <v>903.30669361884679</v>
      </c>
      <c r="AL86" s="38">
        <v>2578.2450654886225</v>
      </c>
      <c r="AM86" s="38">
        <v>2550.4732742180568</v>
      </c>
      <c r="AN86" s="38">
        <v>891.50340446041184</v>
      </c>
      <c r="AO86" s="38">
        <v>344.19766786784686</v>
      </c>
      <c r="AP86" s="38">
        <v>0</v>
      </c>
      <c r="AQ86" s="38">
        <v>3786.1743465463155</v>
      </c>
      <c r="AR86" s="38">
        <v>505.53814645609174</v>
      </c>
      <c r="AS86" s="49">
        <v>7.4893939717270408</v>
      </c>
      <c r="AT86" s="38">
        <v>2550.4732742180568</v>
      </c>
      <c r="AU86" s="38">
        <v>1008.4880140954887</v>
      </c>
      <c r="AV86" s="38">
        <v>355.89612883135459</v>
      </c>
      <c r="AW86" s="38">
        <v>0</v>
      </c>
      <c r="AX86" s="38">
        <v>3914.8574171449</v>
      </c>
      <c r="AY86" s="38">
        <v>125.16661762950061</v>
      </c>
      <c r="AZ86" s="49">
        <v>31.27716871548828</v>
      </c>
      <c r="BA86" s="38">
        <v>2550.4732742180568</v>
      </c>
      <c r="BB86" s="38">
        <v>1899.9914185559005</v>
      </c>
      <c r="BC86" s="38">
        <v>445.04646927739577</v>
      </c>
      <c r="BD86" s="38">
        <v>0</v>
      </c>
      <c r="BE86" s="38">
        <v>4895.5111620513535</v>
      </c>
      <c r="BF86" s="38">
        <v>630.70476408559239</v>
      </c>
      <c r="BG86" s="38">
        <v>-26.064089941687261</v>
      </c>
      <c r="BH86" s="49">
        <v>7.7619695312575567</v>
      </c>
      <c r="BI86" s="38">
        <v>7.6860159415111386</v>
      </c>
      <c r="BJ86" s="38">
        <v>1.9029871933292923</v>
      </c>
      <c r="BK86" s="38">
        <v>15.876143496498765</v>
      </c>
      <c r="BL86" s="38">
        <v>13.733542554401858</v>
      </c>
      <c r="BM86" s="38">
        <v>39.19868918574106</v>
      </c>
      <c r="BN86" s="38">
        <v>2550.4732742180568</v>
      </c>
      <c r="BO86" s="38">
        <v>0</v>
      </c>
      <c r="BP86" s="38">
        <v>1899.9914185559005</v>
      </c>
      <c r="BQ86" s="38">
        <v>0</v>
      </c>
      <c r="BR86" s="38">
        <v>0</v>
      </c>
      <c r="BS86" s="38">
        <v>0</v>
      </c>
      <c r="BT86" s="38">
        <v>0</v>
      </c>
      <c r="BU86" s="38">
        <v>0</v>
      </c>
      <c r="BV86" s="38">
        <v>0</v>
      </c>
      <c r="BW86" s="38">
        <v>445.04646927739577</v>
      </c>
      <c r="BX86" s="38">
        <v>2578.2450654886225</v>
      </c>
      <c r="BY86" s="38"/>
      <c r="BZ86" s="38">
        <v>0</v>
      </c>
      <c r="CA86" s="38">
        <v>0</v>
      </c>
      <c r="CB86" s="38">
        <v>4895.5111620513526</v>
      </c>
      <c r="CC86" s="38">
        <v>2578.2450654886225</v>
      </c>
      <c r="CD86" s="49">
        <v>1.8987765079358614</v>
      </c>
      <c r="CE86" s="38">
        <v>3.5455961092133763</v>
      </c>
      <c r="CF86" s="38">
        <v>45.978120400709159</v>
      </c>
      <c r="CG86" s="38">
        <v>0</v>
      </c>
      <c r="CH86" s="38">
        <v>45.978120400709159</v>
      </c>
      <c r="CI86" s="38">
        <v>2.2988803861025815</v>
      </c>
      <c r="CJ86" s="38">
        <v>0</v>
      </c>
      <c r="CK86" s="38">
        <v>2.2988803861025815</v>
      </c>
      <c r="CL86" s="38"/>
      <c r="CM86" s="38">
        <v>0</v>
      </c>
      <c r="CN86" s="38"/>
      <c r="CO86" s="38">
        <v>0</v>
      </c>
      <c r="CP86" s="38">
        <v>0</v>
      </c>
      <c r="CQ86" s="38">
        <v>0</v>
      </c>
      <c r="CR86" s="38">
        <v>0</v>
      </c>
      <c r="CS86" s="38">
        <v>0</v>
      </c>
      <c r="CT86" s="38">
        <v>0</v>
      </c>
      <c r="CU86" s="38">
        <v>1044.2336077841831</v>
      </c>
      <c r="CV86" s="38">
        <v>9999</v>
      </c>
      <c r="CW86" s="50">
        <v>0</v>
      </c>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row>
    <row r="87" spans="1:131">
      <c r="A87" s="27" t="s">
        <v>238</v>
      </c>
      <c r="B87" s="27" t="s">
        <v>73</v>
      </c>
      <c r="C87" s="38">
        <v>45</v>
      </c>
      <c r="D87" s="38">
        <v>2346.1495251305123</v>
      </c>
      <c r="E87" s="38">
        <v>0</v>
      </c>
      <c r="F87" s="38">
        <v>3865.0968570659024</v>
      </c>
      <c r="G87" s="38">
        <v>0</v>
      </c>
      <c r="H87" s="38">
        <v>0</v>
      </c>
      <c r="I87" s="38" t="s">
        <v>1947</v>
      </c>
      <c r="J87" s="38"/>
      <c r="K87" s="38"/>
      <c r="L87" s="38">
        <v>2682.0820216326224</v>
      </c>
      <c r="M87" s="38">
        <v>1.3981992413902868</v>
      </c>
      <c r="N87" s="38">
        <v>1.3265647451520746</v>
      </c>
      <c r="O87" s="38">
        <v>0</v>
      </c>
      <c r="P87" s="38">
        <v>0</v>
      </c>
      <c r="Q87" s="38">
        <v>0</v>
      </c>
      <c r="R87" s="38">
        <v>505.53814645609174</v>
      </c>
      <c r="S87" s="38">
        <v>125.16661762950061</v>
      </c>
      <c r="T87" s="38">
        <v>1044.2336077841831</v>
      </c>
      <c r="U87" s="38">
        <v>903.30669361884679</v>
      </c>
      <c r="V87" s="38" t="s">
        <v>2116</v>
      </c>
      <c r="W87" s="38" t="s">
        <v>2116</v>
      </c>
      <c r="X87" s="38" t="s">
        <v>2116</v>
      </c>
      <c r="Y87" s="38" t="s">
        <v>2116</v>
      </c>
      <c r="Z87" s="38">
        <v>0</v>
      </c>
      <c r="AA87" s="38">
        <v>0</v>
      </c>
      <c r="AB87" s="38">
        <v>0</v>
      </c>
      <c r="AC87" s="38">
        <v>0</v>
      </c>
      <c r="AD87" s="38">
        <v>0</v>
      </c>
      <c r="AE87" s="38">
        <v>0</v>
      </c>
      <c r="AF87" s="38">
        <v>0</v>
      </c>
      <c r="AG87" s="38">
        <v>0</v>
      </c>
      <c r="AH87" s="38">
        <v>505.53814645609174</v>
      </c>
      <c r="AI87" s="38">
        <v>125.16661762950061</v>
      </c>
      <c r="AJ87" s="38">
        <v>1044.2336077841831</v>
      </c>
      <c r="AK87" s="38">
        <v>903.30669361884679</v>
      </c>
      <c r="AL87" s="38">
        <v>2578.2450654886225</v>
      </c>
      <c r="AM87" s="38">
        <v>1413.4162066344734</v>
      </c>
      <c r="AN87" s="38">
        <v>494.0515836302863</v>
      </c>
      <c r="AO87" s="38">
        <v>190.74677902647599</v>
      </c>
      <c r="AP87" s="38">
        <v>0</v>
      </c>
      <c r="AQ87" s="38">
        <v>2098.2145692912359</v>
      </c>
      <c r="AR87" s="38">
        <v>505.53814645609174</v>
      </c>
      <c r="AS87" s="49">
        <v>4.1504574560793808</v>
      </c>
      <c r="AT87" s="38">
        <v>1413.4162066344734</v>
      </c>
      <c r="AU87" s="38">
        <v>558.88188193471296</v>
      </c>
      <c r="AV87" s="38">
        <v>197.22980885691865</v>
      </c>
      <c r="AW87" s="38">
        <v>0</v>
      </c>
      <c r="AX87" s="38">
        <v>2169.527897426105</v>
      </c>
      <c r="AY87" s="38">
        <v>125.16661762950061</v>
      </c>
      <c r="AZ87" s="49">
        <v>17.333119153607036</v>
      </c>
      <c r="BA87" s="38">
        <v>1413.4162066344734</v>
      </c>
      <c r="BB87" s="38">
        <v>1052.9334655649993</v>
      </c>
      <c r="BC87" s="38">
        <v>246.63496721994727</v>
      </c>
      <c r="BD87" s="38">
        <v>0</v>
      </c>
      <c r="BE87" s="38">
        <v>2712.9846394194196</v>
      </c>
      <c r="BF87" s="38">
        <v>630.70476408559239</v>
      </c>
      <c r="BG87" s="38">
        <v>-18.349982989770012</v>
      </c>
      <c r="BH87" s="49">
        <v>4.3015128375520613</v>
      </c>
      <c r="BI87" s="38">
        <v>13.869218530269535</v>
      </c>
      <c r="BJ87" s="38">
        <v>3.4338915564881263</v>
      </c>
      <c r="BK87" s="38">
        <v>28.648093530699544</v>
      </c>
      <c r="BL87" s="38">
        <v>24.7818251134549</v>
      </c>
      <c r="BM87" s="38">
        <v>70.73302873091211</v>
      </c>
      <c r="BN87" s="38">
        <v>1413.4162066344734</v>
      </c>
      <c r="BO87" s="38">
        <v>0</v>
      </c>
      <c r="BP87" s="38">
        <v>1052.9334655649993</v>
      </c>
      <c r="BQ87" s="38">
        <v>0</v>
      </c>
      <c r="BR87" s="38">
        <v>0</v>
      </c>
      <c r="BS87" s="38">
        <v>0</v>
      </c>
      <c r="BT87" s="38">
        <v>0</v>
      </c>
      <c r="BU87" s="38">
        <v>0</v>
      </c>
      <c r="BV87" s="38">
        <v>0</v>
      </c>
      <c r="BW87" s="38">
        <v>246.63496721994727</v>
      </c>
      <c r="BX87" s="38">
        <v>2578.2450654886225</v>
      </c>
      <c r="BY87" s="38"/>
      <c r="BZ87" s="38">
        <v>0</v>
      </c>
      <c r="CA87" s="38">
        <v>0</v>
      </c>
      <c r="CB87" s="38">
        <v>2712.9846394194201</v>
      </c>
      <c r="CC87" s="38">
        <v>2578.2450654886225</v>
      </c>
      <c r="CD87" s="49">
        <v>1.0522601888138443</v>
      </c>
      <c r="CE87" s="38">
        <v>35.079935654384428</v>
      </c>
      <c r="CF87" s="38">
        <v>25.480063320748705</v>
      </c>
      <c r="CG87" s="38">
        <v>0</v>
      </c>
      <c r="CH87" s="38">
        <v>25.480063320748705</v>
      </c>
      <c r="CI87" s="38">
        <v>1.2739889602754957</v>
      </c>
      <c r="CJ87" s="38">
        <v>0</v>
      </c>
      <c r="CK87" s="38">
        <v>1.2739889602754957</v>
      </c>
      <c r="CL87" s="38"/>
      <c r="CM87" s="38">
        <v>0</v>
      </c>
      <c r="CN87" s="38"/>
      <c r="CO87" s="38">
        <v>0</v>
      </c>
      <c r="CP87" s="38">
        <v>0</v>
      </c>
      <c r="CQ87" s="38">
        <v>0</v>
      </c>
      <c r="CR87" s="38">
        <v>0</v>
      </c>
      <c r="CS87" s="38">
        <v>0</v>
      </c>
      <c r="CT87" s="38">
        <v>0</v>
      </c>
      <c r="CU87" s="38">
        <v>1044.2336077841831</v>
      </c>
      <c r="CV87" s="38">
        <v>9999</v>
      </c>
      <c r="CW87" s="50">
        <v>0</v>
      </c>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row>
    <row r="88" spans="1:131">
      <c r="A88" s="27" t="s">
        <v>223</v>
      </c>
      <c r="B88" s="27" t="s">
        <v>69</v>
      </c>
      <c r="C88" s="38">
        <v>45</v>
      </c>
      <c r="D88" s="38">
        <v>623.13432819793707</v>
      </c>
      <c r="E88" s="38">
        <v>0</v>
      </c>
      <c r="F88" s="38">
        <v>414.11354893012168</v>
      </c>
      <c r="G88" s="38">
        <v>0</v>
      </c>
      <c r="H88" s="38">
        <v>0</v>
      </c>
      <c r="I88" s="38" t="s">
        <v>1947</v>
      </c>
      <c r="J88" s="38"/>
      <c r="K88" s="38"/>
      <c r="L88" s="38">
        <v>712.3575717659503</v>
      </c>
      <c r="M88" s="38">
        <v>0.37135993918466664</v>
      </c>
      <c r="N88" s="38">
        <v>0.352333908144845</v>
      </c>
      <c r="O88" s="38">
        <v>0</v>
      </c>
      <c r="P88" s="38">
        <v>0</v>
      </c>
      <c r="Q88" s="38">
        <v>0</v>
      </c>
      <c r="R88" s="38">
        <v>54.164281954737632</v>
      </c>
      <c r="S88" s="38">
        <v>13.410580420351994</v>
      </c>
      <c r="T88" s="38">
        <v>111.88109929019546</v>
      </c>
      <c r="U88" s="38">
        <v>96.781931863617615</v>
      </c>
      <c r="V88" s="38" t="s">
        <v>2116</v>
      </c>
      <c r="W88" s="38" t="s">
        <v>2116</v>
      </c>
      <c r="X88" s="38" t="s">
        <v>2116</v>
      </c>
      <c r="Y88" s="38" t="s">
        <v>2116</v>
      </c>
      <c r="Z88" s="38">
        <v>0</v>
      </c>
      <c r="AA88" s="38">
        <v>0</v>
      </c>
      <c r="AB88" s="38">
        <v>0</v>
      </c>
      <c r="AC88" s="38">
        <v>0</v>
      </c>
      <c r="AD88" s="38">
        <v>0</v>
      </c>
      <c r="AE88" s="38">
        <v>0</v>
      </c>
      <c r="AF88" s="38">
        <v>0</v>
      </c>
      <c r="AG88" s="38">
        <v>0</v>
      </c>
      <c r="AH88" s="38">
        <v>54.164281954737632</v>
      </c>
      <c r="AI88" s="38">
        <v>13.410580420351994</v>
      </c>
      <c r="AJ88" s="38">
        <v>111.88109929019546</v>
      </c>
      <c r="AK88" s="38">
        <v>96.781931863617615</v>
      </c>
      <c r="AL88" s="38">
        <v>276.2378935289027</v>
      </c>
      <c r="AM88" s="38">
        <v>375.40154578862786</v>
      </c>
      <c r="AN88" s="38">
        <v>131.21947188914129</v>
      </c>
      <c r="AO88" s="38">
        <v>50.662101767776917</v>
      </c>
      <c r="AP88" s="38">
        <v>0</v>
      </c>
      <c r="AQ88" s="38">
        <v>557.28311944554605</v>
      </c>
      <c r="AR88" s="38">
        <v>54.164281954737632</v>
      </c>
      <c r="AS88" s="49">
        <v>10.288756710764476</v>
      </c>
      <c r="AT88" s="38">
        <v>375.40154578862786</v>
      </c>
      <c r="AU88" s="38">
        <v>148.43831661667565</v>
      </c>
      <c r="AV88" s="38">
        <v>52.383986240530355</v>
      </c>
      <c r="AW88" s="38">
        <v>0</v>
      </c>
      <c r="AX88" s="38">
        <v>576.22384864583387</v>
      </c>
      <c r="AY88" s="38">
        <v>13.410580420351994</v>
      </c>
      <c r="AZ88" s="49">
        <v>42.967853037244559</v>
      </c>
      <c r="BA88" s="38">
        <v>375.40154578862786</v>
      </c>
      <c r="BB88" s="38">
        <v>279.65778850581694</v>
      </c>
      <c r="BC88" s="38">
        <v>65.505933429444482</v>
      </c>
      <c r="BD88" s="38">
        <v>0</v>
      </c>
      <c r="BE88" s="38">
        <v>720.56526772388929</v>
      </c>
      <c r="BF88" s="38">
        <v>67.574862375089623</v>
      </c>
      <c r="BG88" s="38">
        <v>-28.673063876516633</v>
      </c>
      <c r="BH88" s="49">
        <v>10.663214728048251</v>
      </c>
      <c r="BI88" s="38">
        <v>5.5948063577717173</v>
      </c>
      <c r="BJ88" s="38">
        <v>1.3852228422393322</v>
      </c>
      <c r="BK88" s="38">
        <v>11.556565748371812</v>
      </c>
      <c r="BL88" s="38">
        <v>9.9969232152007734</v>
      </c>
      <c r="BM88" s="38">
        <v>28.533518163583636</v>
      </c>
      <c r="BN88" s="38">
        <v>375.40154578862786</v>
      </c>
      <c r="BO88" s="38">
        <v>0</v>
      </c>
      <c r="BP88" s="38">
        <v>279.65778850581694</v>
      </c>
      <c r="BQ88" s="38">
        <v>0</v>
      </c>
      <c r="BR88" s="38">
        <v>0</v>
      </c>
      <c r="BS88" s="38">
        <v>0</v>
      </c>
      <c r="BT88" s="38">
        <v>0</v>
      </c>
      <c r="BU88" s="38">
        <v>0</v>
      </c>
      <c r="BV88" s="38">
        <v>0</v>
      </c>
      <c r="BW88" s="38">
        <v>65.505933429444482</v>
      </c>
      <c r="BX88" s="38">
        <v>276.2378935289027</v>
      </c>
      <c r="BY88" s="38"/>
      <c r="BZ88" s="38">
        <v>0</v>
      </c>
      <c r="CA88" s="38">
        <v>0</v>
      </c>
      <c r="CB88" s="38">
        <v>720.56526772388929</v>
      </c>
      <c r="CC88" s="38">
        <v>276.2378935289027</v>
      </c>
      <c r="CD88" s="49">
        <v>2.6084953751954987</v>
      </c>
      <c r="CE88" s="38">
        <v>-7.119574912944052</v>
      </c>
      <c r="CF88" s="38">
        <v>6.767472392422401</v>
      </c>
      <c r="CG88" s="38">
        <v>0</v>
      </c>
      <c r="CH88" s="38">
        <v>6.767472392422401</v>
      </c>
      <c r="CI88" s="38">
        <v>0.33836984658882635</v>
      </c>
      <c r="CJ88" s="38">
        <v>0</v>
      </c>
      <c r="CK88" s="38">
        <v>0.33836984658882635</v>
      </c>
      <c r="CL88" s="38"/>
      <c r="CM88" s="38">
        <v>0</v>
      </c>
      <c r="CN88" s="38"/>
      <c r="CO88" s="38">
        <v>0</v>
      </c>
      <c r="CP88" s="38">
        <v>0</v>
      </c>
      <c r="CQ88" s="38">
        <v>0</v>
      </c>
      <c r="CR88" s="38">
        <v>0</v>
      </c>
      <c r="CS88" s="38">
        <v>0</v>
      </c>
      <c r="CT88" s="38">
        <v>0</v>
      </c>
      <c r="CU88" s="38">
        <v>111.88109929019546</v>
      </c>
      <c r="CV88" s="38">
        <v>9999</v>
      </c>
      <c r="CW88" s="50">
        <v>0</v>
      </c>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row>
    <row r="89" spans="1:131">
      <c r="A89" s="27" t="s">
        <v>224</v>
      </c>
      <c r="B89" s="27" t="s">
        <v>70</v>
      </c>
      <c r="C89" s="38">
        <v>45</v>
      </c>
      <c r="D89" s="38">
        <v>214.47042744325265</v>
      </c>
      <c r="E89" s="38">
        <v>0</v>
      </c>
      <c r="F89" s="38">
        <v>436.41697398915824</v>
      </c>
      <c r="G89" s="38">
        <v>0</v>
      </c>
      <c r="H89" s="38">
        <v>0</v>
      </c>
      <c r="I89" s="38" t="s">
        <v>1947</v>
      </c>
      <c r="J89" s="38"/>
      <c r="K89" s="38"/>
      <c r="L89" s="38">
        <v>245.17929119859181</v>
      </c>
      <c r="M89" s="38">
        <v>0.12781469626712091</v>
      </c>
      <c r="N89" s="38">
        <v>0.12126631524394772</v>
      </c>
      <c r="O89" s="38">
        <v>0</v>
      </c>
      <c r="P89" s="38">
        <v>0</v>
      </c>
      <c r="Q89" s="38">
        <v>0</v>
      </c>
      <c r="R89" s="38">
        <v>57.081474610170091</v>
      </c>
      <c r="S89" s="38">
        <v>14.132850619374087</v>
      </c>
      <c r="T89" s="38">
        <v>117.90681788836326</v>
      </c>
      <c r="U89" s="38">
        <v>101.99443594605039</v>
      </c>
      <c r="V89" s="38" t="s">
        <v>2116</v>
      </c>
      <c r="W89" s="38" t="s">
        <v>2116</v>
      </c>
      <c r="X89" s="38" t="s">
        <v>2116</v>
      </c>
      <c r="Y89" s="38" t="s">
        <v>2116</v>
      </c>
      <c r="Z89" s="38">
        <v>0</v>
      </c>
      <c r="AA89" s="38">
        <v>0</v>
      </c>
      <c r="AB89" s="38">
        <v>0</v>
      </c>
      <c r="AC89" s="38">
        <v>0</v>
      </c>
      <c r="AD89" s="38">
        <v>0</v>
      </c>
      <c r="AE89" s="38">
        <v>0</v>
      </c>
      <c r="AF89" s="38">
        <v>0</v>
      </c>
      <c r="AG89" s="38">
        <v>0</v>
      </c>
      <c r="AH89" s="38">
        <v>57.081474610170091</v>
      </c>
      <c r="AI89" s="38">
        <v>14.132850619374087</v>
      </c>
      <c r="AJ89" s="38">
        <v>117.90681788836326</v>
      </c>
      <c r="AK89" s="38">
        <v>101.99443594605039</v>
      </c>
      <c r="AL89" s="38">
        <v>291.1155790639578</v>
      </c>
      <c r="AM89" s="38">
        <v>129.20573678067402</v>
      </c>
      <c r="AN89" s="38">
        <v>45.163129282780503</v>
      </c>
      <c r="AO89" s="38">
        <v>17.436886606345453</v>
      </c>
      <c r="AP89" s="38">
        <v>0</v>
      </c>
      <c r="AQ89" s="38">
        <v>191.80575266979997</v>
      </c>
      <c r="AR89" s="38">
        <v>57.081474610170091</v>
      </c>
      <c r="AS89" s="49">
        <v>3.3602101904288633</v>
      </c>
      <c r="AT89" s="38">
        <v>129.20573678067402</v>
      </c>
      <c r="AU89" s="38">
        <v>51.089512763326347</v>
      </c>
      <c r="AV89" s="38">
        <v>18.029524954400038</v>
      </c>
      <c r="AW89" s="38">
        <v>0</v>
      </c>
      <c r="AX89" s="38">
        <v>198.32477449840042</v>
      </c>
      <c r="AY89" s="38">
        <v>14.132850619374087</v>
      </c>
      <c r="AZ89" s="49">
        <v>14.032892573457611</v>
      </c>
      <c r="BA89" s="38">
        <v>129.20573678067402</v>
      </c>
      <c r="BB89" s="38">
        <v>96.252642046106843</v>
      </c>
      <c r="BC89" s="38">
        <v>22.545837882678089</v>
      </c>
      <c r="BD89" s="38">
        <v>0</v>
      </c>
      <c r="BE89" s="38">
        <v>248.00421670945894</v>
      </c>
      <c r="BF89" s="38">
        <v>71.214325229544173</v>
      </c>
      <c r="BG89" s="38">
        <v>-14.280673435189762</v>
      </c>
      <c r="BH89" s="49">
        <v>3.482504621227124</v>
      </c>
      <c r="BI89" s="38">
        <v>17.130952588297657</v>
      </c>
      <c r="BJ89" s="38">
        <v>4.2414670530402621</v>
      </c>
      <c r="BK89" s="38">
        <v>35.385492769360305</v>
      </c>
      <c r="BL89" s="38">
        <v>30.60996336192488</v>
      </c>
      <c r="BM89" s="38">
        <v>87.367875772623094</v>
      </c>
      <c r="BN89" s="38">
        <v>129.20573678067402</v>
      </c>
      <c r="BO89" s="38">
        <v>0</v>
      </c>
      <c r="BP89" s="38">
        <v>96.252642046106843</v>
      </c>
      <c r="BQ89" s="38">
        <v>0</v>
      </c>
      <c r="BR89" s="38">
        <v>0</v>
      </c>
      <c r="BS89" s="38">
        <v>0</v>
      </c>
      <c r="BT89" s="38">
        <v>0</v>
      </c>
      <c r="BU89" s="38">
        <v>0</v>
      </c>
      <c r="BV89" s="38">
        <v>0</v>
      </c>
      <c r="BW89" s="38">
        <v>22.545837882678089</v>
      </c>
      <c r="BX89" s="38">
        <v>291.1155790639578</v>
      </c>
      <c r="BY89" s="38"/>
      <c r="BZ89" s="38">
        <v>0</v>
      </c>
      <c r="CA89" s="38">
        <v>0</v>
      </c>
      <c r="CB89" s="38">
        <v>248.00421670945894</v>
      </c>
      <c r="CC89" s="38">
        <v>291.1155790639578</v>
      </c>
      <c r="CD89" s="50">
        <v>0.85190980677462358</v>
      </c>
      <c r="CE89" s="38">
        <v>51.714782696095419</v>
      </c>
      <c r="CF89" s="38">
        <v>2.3292292384383031</v>
      </c>
      <c r="CG89" s="38">
        <v>0</v>
      </c>
      <c r="CH89" s="38">
        <v>2.3292292384383031</v>
      </c>
      <c r="CI89" s="38">
        <v>0.11646016331933115</v>
      </c>
      <c r="CJ89" s="38">
        <v>0</v>
      </c>
      <c r="CK89" s="38">
        <v>0.11646016331933115</v>
      </c>
      <c r="CL89" s="38"/>
      <c r="CM89" s="38">
        <v>0</v>
      </c>
      <c r="CN89" s="38"/>
      <c r="CO89" s="38">
        <v>0</v>
      </c>
      <c r="CP89" s="38">
        <v>0</v>
      </c>
      <c r="CQ89" s="38">
        <v>0</v>
      </c>
      <c r="CR89" s="38">
        <v>0</v>
      </c>
      <c r="CS89" s="38">
        <v>0</v>
      </c>
      <c r="CT89" s="38">
        <v>0</v>
      </c>
      <c r="CU89" s="38">
        <v>117.90681788836326</v>
      </c>
      <c r="CV89" s="38">
        <v>9999</v>
      </c>
      <c r="CW89" s="50">
        <v>0</v>
      </c>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row>
    <row r="90" spans="1:131">
      <c r="A90" s="27" t="s">
        <v>225</v>
      </c>
      <c r="B90" s="27" t="s">
        <v>71</v>
      </c>
      <c r="C90" s="38">
        <v>45</v>
      </c>
      <c r="D90" s="38">
        <v>278.87595778559358</v>
      </c>
      <c r="E90" s="38">
        <v>0</v>
      </c>
      <c r="F90" s="38">
        <v>689.07943261446042</v>
      </c>
      <c r="G90" s="38">
        <v>0</v>
      </c>
      <c r="H90" s="38">
        <v>0</v>
      </c>
      <c r="I90" s="38" t="s">
        <v>1947</v>
      </c>
      <c r="J90" s="38"/>
      <c r="K90" s="38"/>
      <c r="L90" s="38">
        <v>318.80670205822048</v>
      </c>
      <c r="M90" s="38">
        <v>0.16619748589814018</v>
      </c>
      <c r="N90" s="38">
        <v>0.15768262419178383</v>
      </c>
      <c r="O90" s="38">
        <v>0</v>
      </c>
      <c r="P90" s="38">
        <v>0</v>
      </c>
      <c r="Q90" s="38">
        <v>0</v>
      </c>
      <c r="R90" s="38">
        <v>90.128644121321173</v>
      </c>
      <c r="S90" s="38">
        <v>22.315027293748564</v>
      </c>
      <c r="T90" s="38">
        <v>186.16865982373153</v>
      </c>
      <c r="U90" s="38">
        <v>161.04384623060588</v>
      </c>
      <c r="V90" s="38" t="s">
        <v>2116</v>
      </c>
      <c r="W90" s="38" t="s">
        <v>2116</v>
      </c>
      <c r="X90" s="38" t="s">
        <v>2116</v>
      </c>
      <c r="Y90" s="38" t="s">
        <v>2116</v>
      </c>
      <c r="Z90" s="38">
        <v>0</v>
      </c>
      <c r="AA90" s="38">
        <v>0</v>
      </c>
      <c r="AB90" s="38">
        <v>0</v>
      </c>
      <c r="AC90" s="38">
        <v>0</v>
      </c>
      <c r="AD90" s="38">
        <v>0</v>
      </c>
      <c r="AE90" s="38">
        <v>0</v>
      </c>
      <c r="AF90" s="38">
        <v>0</v>
      </c>
      <c r="AG90" s="38">
        <v>0</v>
      </c>
      <c r="AH90" s="38">
        <v>90.128644121321173</v>
      </c>
      <c r="AI90" s="38">
        <v>22.315027293748564</v>
      </c>
      <c r="AJ90" s="38">
        <v>186.16865982373153</v>
      </c>
      <c r="AK90" s="38">
        <v>161.04384623060588</v>
      </c>
      <c r="AL90" s="38">
        <v>459.65617746940717</v>
      </c>
      <c r="AM90" s="38">
        <v>168.00625627343257</v>
      </c>
      <c r="AN90" s="38">
        <v>58.72562984779114</v>
      </c>
      <c r="AO90" s="38">
        <v>22.673188612122374</v>
      </c>
      <c r="AP90" s="38">
        <v>0</v>
      </c>
      <c r="AQ90" s="38">
        <v>249.40507473334608</v>
      </c>
      <c r="AR90" s="38">
        <v>90.128644121321173</v>
      </c>
      <c r="AS90" s="49">
        <v>2.7672121018221985</v>
      </c>
      <c r="AT90" s="38">
        <v>168.00625627343257</v>
      </c>
      <c r="AU90" s="38">
        <v>66.43170797261439</v>
      </c>
      <c r="AV90" s="38">
        <v>23.443796424604699</v>
      </c>
      <c r="AW90" s="38">
        <v>0</v>
      </c>
      <c r="AX90" s="38">
        <v>257.88176067065166</v>
      </c>
      <c r="AY90" s="38">
        <v>22.315027293748564</v>
      </c>
      <c r="AZ90" s="49">
        <v>11.556416995416173</v>
      </c>
      <c r="BA90" s="38">
        <v>168.00625627343257</v>
      </c>
      <c r="BB90" s="38">
        <v>125.15733782040553</v>
      </c>
      <c r="BC90" s="38">
        <v>29.316359409383811</v>
      </c>
      <c r="BD90" s="38">
        <v>0</v>
      </c>
      <c r="BE90" s="38">
        <v>322.47995350322196</v>
      </c>
      <c r="BF90" s="38">
        <v>112.44367141506973</v>
      </c>
      <c r="BG90" s="38">
        <v>-9.7006833477413821</v>
      </c>
      <c r="BH90" s="49">
        <v>2.867924441143809</v>
      </c>
      <c r="BI90" s="38">
        <v>20.802019990099808</v>
      </c>
      <c r="BJ90" s="38">
        <v>5.1503897386865063</v>
      </c>
      <c r="BK90" s="38">
        <v>42.968406114823793</v>
      </c>
      <c r="BL90" s="38">
        <v>37.169507443850755</v>
      </c>
      <c r="BM90" s="38">
        <v>106.09032328746086</v>
      </c>
      <c r="BN90" s="38">
        <v>168.00625627343257</v>
      </c>
      <c r="BO90" s="38">
        <v>0</v>
      </c>
      <c r="BP90" s="38">
        <v>125.15733782040553</v>
      </c>
      <c r="BQ90" s="38">
        <v>0</v>
      </c>
      <c r="BR90" s="38">
        <v>0</v>
      </c>
      <c r="BS90" s="38">
        <v>0</v>
      </c>
      <c r="BT90" s="38">
        <v>0</v>
      </c>
      <c r="BU90" s="38">
        <v>0</v>
      </c>
      <c r="BV90" s="38">
        <v>0</v>
      </c>
      <c r="BW90" s="38">
        <v>29.316359409383811</v>
      </c>
      <c r="BX90" s="38">
        <v>459.65617746940717</v>
      </c>
      <c r="BY90" s="38"/>
      <c r="BZ90" s="38">
        <v>0</v>
      </c>
      <c r="CA90" s="38">
        <v>0</v>
      </c>
      <c r="CB90" s="38">
        <v>322.47995350322191</v>
      </c>
      <c r="CC90" s="38">
        <v>459.65617746940717</v>
      </c>
      <c r="CD90" s="50">
        <v>0.70156775718452047</v>
      </c>
      <c r="CE90" s="38">
        <v>70.43723021093318</v>
      </c>
      <c r="CF90" s="38">
        <v>3.0286974410192777</v>
      </c>
      <c r="CG90" s="38">
        <v>0</v>
      </c>
      <c r="CH90" s="38">
        <v>3.0286974410192777</v>
      </c>
      <c r="CI90" s="38">
        <v>0.15143318347765472</v>
      </c>
      <c r="CJ90" s="38">
        <v>0</v>
      </c>
      <c r="CK90" s="38">
        <v>0.15143318347765472</v>
      </c>
      <c r="CL90" s="38"/>
      <c r="CM90" s="38">
        <v>0</v>
      </c>
      <c r="CN90" s="38"/>
      <c r="CO90" s="38">
        <v>0</v>
      </c>
      <c r="CP90" s="38">
        <v>0</v>
      </c>
      <c r="CQ90" s="38">
        <v>0</v>
      </c>
      <c r="CR90" s="38">
        <v>0</v>
      </c>
      <c r="CS90" s="38">
        <v>0</v>
      </c>
      <c r="CT90" s="38">
        <v>0</v>
      </c>
      <c r="CU90" s="38">
        <v>186.16865982373153</v>
      </c>
      <c r="CV90" s="38">
        <v>9999</v>
      </c>
      <c r="CW90" s="50">
        <v>0</v>
      </c>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row>
    <row r="91" spans="1:131">
      <c r="A91" s="27" t="s">
        <v>1674</v>
      </c>
      <c r="B91" s="27" t="s">
        <v>1201</v>
      </c>
      <c r="C91" s="38">
        <v>45</v>
      </c>
      <c r="D91" s="38">
        <v>189.74921960577254</v>
      </c>
      <c r="E91" s="38">
        <v>0</v>
      </c>
      <c r="F91" s="38">
        <v>239.1087012654321</v>
      </c>
      <c r="G91" s="38">
        <v>0</v>
      </c>
      <c r="H91" s="38">
        <v>0</v>
      </c>
      <c r="I91" s="38" t="s">
        <v>1947</v>
      </c>
      <c r="J91" s="38"/>
      <c r="K91" s="38"/>
      <c r="L91" s="38">
        <v>216.91838694515957</v>
      </c>
      <c r="M91" s="38">
        <v>0.11308197199938973</v>
      </c>
      <c r="N91" s="38">
        <v>0.10728839848139442</v>
      </c>
      <c r="O91" s="38">
        <v>0</v>
      </c>
      <c r="P91" s="38">
        <v>0</v>
      </c>
      <c r="Q91" s="38">
        <v>0</v>
      </c>
      <c r="R91" s="38">
        <v>31.274395987843899</v>
      </c>
      <c r="S91" s="38">
        <v>7.7432541770496002</v>
      </c>
      <c r="T91" s="38">
        <v>64.600021942150065</v>
      </c>
      <c r="U91" s="38">
        <v>55.881779511092674</v>
      </c>
      <c r="V91" s="38" t="s">
        <v>2116</v>
      </c>
      <c r="W91" s="38" t="s">
        <v>2116</v>
      </c>
      <c r="X91" s="38" t="s">
        <v>2116</v>
      </c>
      <c r="Y91" s="38" t="s">
        <v>2116</v>
      </c>
      <c r="Z91" s="38">
        <v>0</v>
      </c>
      <c r="AA91" s="38">
        <v>0</v>
      </c>
      <c r="AB91" s="38">
        <v>0</v>
      </c>
      <c r="AC91" s="38">
        <v>0</v>
      </c>
      <c r="AD91" s="38">
        <v>0</v>
      </c>
      <c r="AE91" s="38">
        <v>0</v>
      </c>
      <c r="AF91" s="38">
        <v>0</v>
      </c>
      <c r="AG91" s="38">
        <v>0</v>
      </c>
      <c r="AH91" s="38">
        <v>31.274395987843899</v>
      </c>
      <c r="AI91" s="38">
        <v>7.7432541770496002</v>
      </c>
      <c r="AJ91" s="38">
        <v>64.600021942150065</v>
      </c>
      <c r="AK91" s="38">
        <v>55.881779511092674</v>
      </c>
      <c r="AL91" s="38">
        <v>159.49945161813622</v>
      </c>
      <c r="AM91" s="38">
        <v>114.31267245088463</v>
      </c>
      <c r="AN91" s="38">
        <v>39.957343483309309</v>
      </c>
      <c r="AO91" s="38">
        <v>15.427001593419394</v>
      </c>
      <c r="AP91" s="38">
        <v>0</v>
      </c>
      <c r="AQ91" s="38">
        <v>169.69701752761333</v>
      </c>
      <c r="AR91" s="38">
        <v>31.274395987843899</v>
      </c>
      <c r="AS91" s="49">
        <v>5.4260685831813715</v>
      </c>
      <c r="AT91" s="38">
        <v>114.31267245088463</v>
      </c>
      <c r="AU91" s="38">
        <v>45.200614800123631</v>
      </c>
      <c r="AV91" s="38">
        <v>15.951328725100828</v>
      </c>
      <c r="AW91" s="38">
        <v>0</v>
      </c>
      <c r="AX91" s="38">
        <v>175.46461597610909</v>
      </c>
      <c r="AY91" s="38">
        <v>7.7432541770496002</v>
      </c>
      <c r="AZ91" s="49">
        <v>22.660319804065388</v>
      </c>
      <c r="BA91" s="38">
        <v>114.31267245088463</v>
      </c>
      <c r="BB91" s="38">
        <v>85.157958283432947</v>
      </c>
      <c r="BC91" s="38">
        <v>19.94706307343176</v>
      </c>
      <c r="BD91" s="38">
        <v>0</v>
      </c>
      <c r="BE91" s="38">
        <v>219.41769380774932</v>
      </c>
      <c r="BF91" s="38">
        <v>39.017650164893496</v>
      </c>
      <c r="BG91" s="38">
        <v>-22.417760501568004</v>
      </c>
      <c r="BH91" s="49">
        <v>5.6235496725318557</v>
      </c>
      <c r="BI91" s="38">
        <v>10.608712473221496</v>
      </c>
      <c r="BJ91" s="38">
        <v>2.6266201017381761</v>
      </c>
      <c r="BK91" s="38">
        <v>21.913230836318927</v>
      </c>
      <c r="BL91" s="38">
        <v>18.955881084180554</v>
      </c>
      <c r="BM91" s="38">
        <v>54.104444495459148</v>
      </c>
      <c r="BN91" s="38">
        <v>114.31267245088463</v>
      </c>
      <c r="BO91" s="38">
        <v>0</v>
      </c>
      <c r="BP91" s="38">
        <v>85.157958283432947</v>
      </c>
      <c r="BQ91" s="38">
        <v>0</v>
      </c>
      <c r="BR91" s="38">
        <v>0</v>
      </c>
      <c r="BS91" s="38">
        <v>0</v>
      </c>
      <c r="BT91" s="38">
        <v>0</v>
      </c>
      <c r="BU91" s="38">
        <v>0</v>
      </c>
      <c r="BV91" s="38">
        <v>0</v>
      </c>
      <c r="BW91" s="38">
        <v>19.94706307343176</v>
      </c>
      <c r="BX91" s="38">
        <v>159.49945161813622</v>
      </c>
      <c r="BY91" s="38"/>
      <c r="BZ91" s="38">
        <v>0</v>
      </c>
      <c r="CA91" s="38">
        <v>0</v>
      </c>
      <c r="CB91" s="38">
        <v>219.41769380774934</v>
      </c>
      <c r="CC91" s="38">
        <v>159.49945161813622</v>
      </c>
      <c r="CD91" s="49">
        <v>1.3756642520192841</v>
      </c>
      <c r="CE91" s="38">
        <v>18.451351418931463</v>
      </c>
      <c r="CF91" s="38">
        <v>2.0607476543289787</v>
      </c>
      <c r="CG91" s="38">
        <v>0</v>
      </c>
      <c r="CH91" s="38">
        <v>2.0607476543289787</v>
      </c>
      <c r="CI91" s="38">
        <v>0.10303623379895081</v>
      </c>
      <c r="CJ91" s="38">
        <v>0</v>
      </c>
      <c r="CK91" s="38">
        <v>0.10303623379895081</v>
      </c>
      <c r="CL91" s="38"/>
      <c r="CM91" s="38">
        <v>0</v>
      </c>
      <c r="CN91" s="38"/>
      <c r="CO91" s="38">
        <v>0</v>
      </c>
      <c r="CP91" s="38">
        <v>0</v>
      </c>
      <c r="CQ91" s="38">
        <v>0</v>
      </c>
      <c r="CR91" s="38">
        <v>0</v>
      </c>
      <c r="CS91" s="38">
        <v>0</v>
      </c>
      <c r="CT91" s="38">
        <v>0</v>
      </c>
      <c r="CU91" s="38">
        <v>64.600021942150065</v>
      </c>
      <c r="CV91" s="38">
        <v>9999</v>
      </c>
      <c r="CW91" s="50">
        <v>0</v>
      </c>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row>
    <row r="92" spans="1:131">
      <c r="A92" s="27" t="s">
        <v>219</v>
      </c>
      <c r="B92" s="27" t="s">
        <v>65</v>
      </c>
      <c r="C92" s="38">
        <v>45</v>
      </c>
      <c r="D92" s="38">
        <v>258.13863950285889</v>
      </c>
      <c r="E92" s="38">
        <v>0</v>
      </c>
      <c r="F92" s="38">
        <v>478.21740253086421</v>
      </c>
      <c r="G92" s="38">
        <v>0</v>
      </c>
      <c r="H92" s="38">
        <v>0</v>
      </c>
      <c r="I92" s="38" t="s">
        <v>1947</v>
      </c>
      <c r="J92" s="38"/>
      <c r="K92" s="38"/>
      <c r="L92" s="38">
        <v>295.10011901769491</v>
      </c>
      <c r="M92" s="38">
        <v>0.15383898002252869</v>
      </c>
      <c r="N92" s="38">
        <v>0.14595728654888868</v>
      </c>
      <c r="O92" s="38">
        <v>0</v>
      </c>
      <c r="P92" s="38">
        <v>0</v>
      </c>
      <c r="Q92" s="38">
        <v>0</v>
      </c>
      <c r="R92" s="38">
        <v>62.548791975687799</v>
      </c>
      <c r="S92" s="38">
        <v>15.4865083540992</v>
      </c>
      <c r="T92" s="38">
        <v>129.20004388430013</v>
      </c>
      <c r="U92" s="38">
        <v>111.76355902218535</v>
      </c>
      <c r="V92" s="38" t="s">
        <v>2116</v>
      </c>
      <c r="W92" s="38" t="s">
        <v>2116</v>
      </c>
      <c r="X92" s="38" t="s">
        <v>2116</v>
      </c>
      <c r="Y92" s="38" t="s">
        <v>2116</v>
      </c>
      <c r="Z92" s="38">
        <v>0</v>
      </c>
      <c r="AA92" s="38">
        <v>0</v>
      </c>
      <c r="AB92" s="38">
        <v>0</v>
      </c>
      <c r="AC92" s="38">
        <v>0</v>
      </c>
      <c r="AD92" s="38">
        <v>0</v>
      </c>
      <c r="AE92" s="38">
        <v>0</v>
      </c>
      <c r="AF92" s="38">
        <v>0</v>
      </c>
      <c r="AG92" s="38">
        <v>0</v>
      </c>
      <c r="AH92" s="38">
        <v>62.548791975687799</v>
      </c>
      <c r="AI92" s="38">
        <v>15.4865083540992</v>
      </c>
      <c r="AJ92" s="38">
        <v>129.20004388430013</v>
      </c>
      <c r="AK92" s="38">
        <v>111.76355902218535</v>
      </c>
      <c r="AL92" s="38">
        <v>318.99890323627244</v>
      </c>
      <c r="AM92" s="38">
        <v>155.51324957074848</v>
      </c>
      <c r="AN92" s="38">
        <v>54.358770520161364</v>
      </c>
      <c r="AO92" s="38">
        <v>20.987202009090986</v>
      </c>
      <c r="AP92" s="38">
        <v>0</v>
      </c>
      <c r="AQ92" s="38">
        <v>230.85922210000084</v>
      </c>
      <c r="AR92" s="38">
        <v>62.548791975687799</v>
      </c>
      <c r="AS92" s="49">
        <v>3.6908661991383291</v>
      </c>
      <c r="AT92" s="38">
        <v>155.51324957074848</v>
      </c>
      <c r="AU92" s="38">
        <v>61.491821855386142</v>
      </c>
      <c r="AV92" s="38">
        <v>21.700507142613464</v>
      </c>
      <c r="AW92" s="38">
        <v>0</v>
      </c>
      <c r="AX92" s="38">
        <v>238.70557856874811</v>
      </c>
      <c r="AY92" s="38">
        <v>15.4865083540992</v>
      </c>
      <c r="AZ92" s="49">
        <v>15.413776502148979</v>
      </c>
      <c r="BA92" s="38">
        <v>155.51324957074848</v>
      </c>
      <c r="BB92" s="38">
        <v>115.85059237554751</v>
      </c>
      <c r="BC92" s="38">
        <v>27.136384194629599</v>
      </c>
      <c r="BD92" s="38">
        <v>0</v>
      </c>
      <c r="BE92" s="38">
        <v>298.50022614092563</v>
      </c>
      <c r="BF92" s="38">
        <v>78.035300329786992</v>
      </c>
      <c r="BG92" s="38">
        <v>-16.195378166756168</v>
      </c>
      <c r="BH92" s="49">
        <v>3.8251948141344512</v>
      </c>
      <c r="BI92" s="38">
        <v>15.596230898966288</v>
      </c>
      <c r="BJ92" s="38">
        <v>3.8614840108052397</v>
      </c>
      <c r="BK92" s="38">
        <v>32.215389824944168</v>
      </c>
      <c r="BL92" s="38">
        <v>27.867688848056005</v>
      </c>
      <c r="BM92" s="38">
        <v>79.540793582771698</v>
      </c>
      <c r="BN92" s="38">
        <v>155.51324957074848</v>
      </c>
      <c r="BO92" s="38">
        <v>0</v>
      </c>
      <c r="BP92" s="38">
        <v>115.85059237554751</v>
      </c>
      <c r="BQ92" s="38">
        <v>0</v>
      </c>
      <c r="BR92" s="38">
        <v>0</v>
      </c>
      <c r="BS92" s="38">
        <v>0</v>
      </c>
      <c r="BT92" s="38">
        <v>0</v>
      </c>
      <c r="BU92" s="38">
        <v>0</v>
      </c>
      <c r="BV92" s="38">
        <v>0</v>
      </c>
      <c r="BW92" s="38">
        <v>27.136384194629599</v>
      </c>
      <c r="BX92" s="38">
        <v>318.99890323627244</v>
      </c>
      <c r="BY92" s="38"/>
      <c r="BZ92" s="38">
        <v>0</v>
      </c>
      <c r="CA92" s="38">
        <v>0</v>
      </c>
      <c r="CB92" s="38">
        <v>298.50022614092558</v>
      </c>
      <c r="CC92" s="38">
        <v>318.99890323627244</v>
      </c>
      <c r="CD92" s="50">
        <v>0.93574060322030594</v>
      </c>
      <c r="CE92" s="38">
        <v>43.887700506244016</v>
      </c>
      <c r="CF92" s="38">
        <v>2.8034823908757027</v>
      </c>
      <c r="CG92" s="38">
        <v>0</v>
      </c>
      <c r="CH92" s="38">
        <v>2.8034823908757027</v>
      </c>
      <c r="CI92" s="38">
        <v>0.1401725565334051</v>
      </c>
      <c r="CJ92" s="38">
        <v>0</v>
      </c>
      <c r="CK92" s="38">
        <v>0.1401725565334051</v>
      </c>
      <c r="CL92" s="38"/>
      <c r="CM92" s="38">
        <v>0</v>
      </c>
      <c r="CN92" s="38"/>
      <c r="CO92" s="38">
        <v>0</v>
      </c>
      <c r="CP92" s="38">
        <v>0</v>
      </c>
      <c r="CQ92" s="38">
        <v>0</v>
      </c>
      <c r="CR92" s="38">
        <v>0</v>
      </c>
      <c r="CS92" s="38">
        <v>0</v>
      </c>
      <c r="CT92" s="38">
        <v>0</v>
      </c>
      <c r="CU92" s="38">
        <v>129.20004388430013</v>
      </c>
      <c r="CV92" s="38">
        <v>9999</v>
      </c>
      <c r="CW92" s="50">
        <v>0</v>
      </c>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row>
    <row r="93" spans="1:131">
      <c r="A93" s="27" t="s">
        <v>220</v>
      </c>
      <c r="B93" s="27" t="s">
        <v>66</v>
      </c>
      <c r="C93" s="38">
        <v>45</v>
      </c>
      <c r="D93" s="38">
        <v>273.95772266662885</v>
      </c>
      <c r="E93" s="38">
        <v>0</v>
      </c>
      <c r="F93" s="38">
        <v>616.64875589506175</v>
      </c>
      <c r="G93" s="38">
        <v>0</v>
      </c>
      <c r="H93" s="38">
        <v>0</v>
      </c>
      <c r="I93" s="38" t="s">
        <v>1947</v>
      </c>
      <c r="J93" s="38"/>
      <c r="K93" s="38"/>
      <c r="L93" s="38">
        <v>313.18425137916427</v>
      </c>
      <c r="M93" s="38">
        <v>0.16326643971431565</v>
      </c>
      <c r="N93" s="38">
        <v>0.15490174545950247</v>
      </c>
      <c r="O93" s="38">
        <v>0</v>
      </c>
      <c r="P93" s="38">
        <v>0</v>
      </c>
      <c r="Q93" s="38">
        <v>0</v>
      </c>
      <c r="R93" s="38">
        <v>80.65502123180795</v>
      </c>
      <c r="S93" s="38">
        <v>19.969444982917388</v>
      </c>
      <c r="T93" s="38">
        <v>166.60005658765019</v>
      </c>
      <c r="U93" s="38">
        <v>144.116168212818</v>
      </c>
      <c r="V93" s="38" t="s">
        <v>2116</v>
      </c>
      <c r="W93" s="38" t="s">
        <v>2116</v>
      </c>
      <c r="X93" s="38" t="s">
        <v>2116</v>
      </c>
      <c r="Y93" s="38" t="s">
        <v>2116</v>
      </c>
      <c r="Z93" s="38">
        <v>0</v>
      </c>
      <c r="AA93" s="38">
        <v>0</v>
      </c>
      <c r="AB93" s="38">
        <v>0</v>
      </c>
      <c r="AC93" s="38">
        <v>0</v>
      </c>
      <c r="AD93" s="38">
        <v>0</v>
      </c>
      <c r="AE93" s="38">
        <v>0</v>
      </c>
      <c r="AF93" s="38">
        <v>0</v>
      </c>
      <c r="AG93" s="38">
        <v>0</v>
      </c>
      <c r="AH93" s="38">
        <v>80.65502123180795</v>
      </c>
      <c r="AI93" s="38">
        <v>19.969444982917388</v>
      </c>
      <c r="AJ93" s="38">
        <v>166.60005658765019</v>
      </c>
      <c r="AK93" s="38">
        <v>144.116168212818</v>
      </c>
      <c r="AL93" s="38">
        <v>411.34069101519356</v>
      </c>
      <c r="AM93" s="38">
        <v>165.04331075324191</v>
      </c>
      <c r="AN93" s="38">
        <v>57.689949119362097</v>
      </c>
      <c r="AO93" s="38">
        <v>22.273325987260403</v>
      </c>
      <c r="AP93" s="38">
        <v>0</v>
      </c>
      <c r="AQ93" s="38">
        <v>245.0065858598644</v>
      </c>
      <c r="AR93" s="38">
        <v>80.65502123180795</v>
      </c>
      <c r="AS93" s="49">
        <v>3.0377102642586755</v>
      </c>
      <c r="AT93" s="38">
        <v>165.04331075324191</v>
      </c>
      <c r="AU93" s="38">
        <v>65.260123438192394</v>
      </c>
      <c r="AV93" s="38">
        <v>23.030343419143431</v>
      </c>
      <c r="AW93" s="38">
        <v>0</v>
      </c>
      <c r="AX93" s="38">
        <v>253.33377761057773</v>
      </c>
      <c r="AY93" s="38">
        <v>19.969444982917388</v>
      </c>
      <c r="AZ93" s="49">
        <v>12.686070034860204</v>
      </c>
      <c r="BA93" s="38">
        <v>165.04331075324191</v>
      </c>
      <c r="BB93" s="38">
        <v>122.95007255755449</v>
      </c>
      <c r="BC93" s="38">
        <v>28.799338331079642</v>
      </c>
      <c r="BD93" s="38">
        <v>0</v>
      </c>
      <c r="BE93" s="38">
        <v>316.79272164187603</v>
      </c>
      <c r="BF93" s="38">
        <v>100.62446621472535</v>
      </c>
      <c r="BG93" s="38">
        <v>-12.011660541660268</v>
      </c>
      <c r="BH93" s="49">
        <v>3.148267350465872</v>
      </c>
      <c r="BI93" s="38">
        <v>18.949668155069883</v>
      </c>
      <c r="BJ93" s="38">
        <v>4.691764379797525</v>
      </c>
      <c r="BK93" s="38">
        <v>39.14221010342753</v>
      </c>
      <c r="BL93" s="38">
        <v>33.859684390438474</v>
      </c>
      <c r="BM93" s="38">
        <v>96.643327028733424</v>
      </c>
      <c r="BN93" s="38">
        <v>165.04331075324191</v>
      </c>
      <c r="BO93" s="38">
        <v>0</v>
      </c>
      <c r="BP93" s="38">
        <v>122.95007255755449</v>
      </c>
      <c r="BQ93" s="38">
        <v>0</v>
      </c>
      <c r="BR93" s="38">
        <v>0</v>
      </c>
      <c r="BS93" s="38">
        <v>0</v>
      </c>
      <c r="BT93" s="38">
        <v>0</v>
      </c>
      <c r="BU93" s="38">
        <v>0</v>
      </c>
      <c r="BV93" s="38">
        <v>0</v>
      </c>
      <c r="BW93" s="38">
        <v>28.799338331079642</v>
      </c>
      <c r="BX93" s="38">
        <v>411.34069101519356</v>
      </c>
      <c r="BY93" s="38"/>
      <c r="BZ93" s="38">
        <v>0</v>
      </c>
      <c r="CA93" s="38">
        <v>0</v>
      </c>
      <c r="CB93" s="38">
        <v>316.79272164187603</v>
      </c>
      <c r="CC93" s="38">
        <v>411.34069101519356</v>
      </c>
      <c r="CD93" s="50">
        <v>0.77014681153967035</v>
      </c>
      <c r="CE93" s="38">
        <v>60.990233952205756</v>
      </c>
      <c r="CF93" s="38">
        <v>2.9752835639772379</v>
      </c>
      <c r="CG93" s="38">
        <v>0</v>
      </c>
      <c r="CH93" s="38">
        <v>2.9752835639772379</v>
      </c>
      <c r="CI93" s="38">
        <v>0.14876251940510304</v>
      </c>
      <c r="CJ93" s="38">
        <v>0</v>
      </c>
      <c r="CK93" s="38">
        <v>0.14876251940510304</v>
      </c>
      <c r="CL93" s="38"/>
      <c r="CM93" s="38">
        <v>0</v>
      </c>
      <c r="CN93" s="38"/>
      <c r="CO93" s="38">
        <v>0</v>
      </c>
      <c r="CP93" s="38">
        <v>0</v>
      </c>
      <c r="CQ93" s="38">
        <v>0</v>
      </c>
      <c r="CR93" s="38">
        <v>0</v>
      </c>
      <c r="CS93" s="38">
        <v>0</v>
      </c>
      <c r="CT93" s="38">
        <v>0</v>
      </c>
      <c r="CU93" s="38">
        <v>166.60005658765019</v>
      </c>
      <c r="CV93" s="38">
        <v>9999</v>
      </c>
      <c r="CW93" s="50">
        <v>0</v>
      </c>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row>
    <row r="94" spans="1:131">
      <c r="A94" s="27" t="s">
        <v>1675</v>
      </c>
      <c r="B94" s="27" t="s">
        <v>1202</v>
      </c>
      <c r="C94" s="38">
        <v>45</v>
      </c>
      <c r="D94" s="38">
        <v>49.583799360863814</v>
      </c>
      <c r="E94" s="38">
        <v>0</v>
      </c>
      <c r="F94" s="38">
        <v>138.43135336419752</v>
      </c>
      <c r="G94" s="38">
        <v>0</v>
      </c>
      <c r="H94" s="38">
        <v>0</v>
      </c>
      <c r="I94" s="38" t="s">
        <v>1947</v>
      </c>
      <c r="J94" s="38"/>
      <c r="K94" s="38"/>
      <c r="L94" s="38">
        <v>56.683436160197026</v>
      </c>
      <c r="M94" s="38">
        <v>2.9549706831985219E-2</v>
      </c>
      <c r="N94" s="38">
        <v>2.8035774982908174E-2</v>
      </c>
      <c r="O94" s="38">
        <v>0</v>
      </c>
      <c r="P94" s="38">
        <v>0</v>
      </c>
      <c r="Q94" s="38">
        <v>0</v>
      </c>
      <c r="R94" s="38">
        <v>18.106229256120152</v>
      </c>
      <c r="S94" s="38">
        <v>4.4829366288181891</v>
      </c>
      <c r="T94" s="38">
        <v>37.400012703350043</v>
      </c>
      <c r="U94" s="38">
        <v>32.352609190632599</v>
      </c>
      <c r="V94" s="38" t="s">
        <v>2116</v>
      </c>
      <c r="W94" s="38" t="s">
        <v>2116</v>
      </c>
      <c r="X94" s="38" t="s">
        <v>2116</v>
      </c>
      <c r="Y94" s="38" t="s">
        <v>2116</v>
      </c>
      <c r="Z94" s="38">
        <v>0</v>
      </c>
      <c r="AA94" s="38">
        <v>0</v>
      </c>
      <c r="AB94" s="38">
        <v>0</v>
      </c>
      <c r="AC94" s="38">
        <v>0</v>
      </c>
      <c r="AD94" s="38">
        <v>0</v>
      </c>
      <c r="AE94" s="38">
        <v>0</v>
      </c>
      <c r="AF94" s="38">
        <v>0</v>
      </c>
      <c r="AG94" s="38">
        <v>0</v>
      </c>
      <c r="AH94" s="38">
        <v>18.106229256120152</v>
      </c>
      <c r="AI94" s="38">
        <v>4.4829366288181891</v>
      </c>
      <c r="AJ94" s="38">
        <v>37.400012703350043</v>
      </c>
      <c r="AK94" s="38">
        <v>32.352609190632599</v>
      </c>
      <c r="AL94" s="38">
        <v>92.341787778920974</v>
      </c>
      <c r="AM94" s="38">
        <v>29.87130396101179</v>
      </c>
      <c r="AN94" s="38">
        <v>10.441344140364812</v>
      </c>
      <c r="AO94" s="38">
        <v>4.0312648101376602</v>
      </c>
      <c r="AP94" s="38">
        <v>0</v>
      </c>
      <c r="AQ94" s="38">
        <v>44.343912911514266</v>
      </c>
      <c r="AR94" s="38">
        <v>18.106229256120152</v>
      </c>
      <c r="AS94" s="49">
        <v>2.4490970640132272</v>
      </c>
      <c r="AT94" s="38">
        <v>29.87130396101179</v>
      </c>
      <c r="AU94" s="38">
        <v>11.81147527190589</v>
      </c>
      <c r="AV94" s="38">
        <v>4.1682779232917682</v>
      </c>
      <c r="AW94" s="38">
        <v>0</v>
      </c>
      <c r="AX94" s="38">
        <v>45.85105715620945</v>
      </c>
      <c r="AY94" s="38">
        <v>4.4829366288181891</v>
      </c>
      <c r="AZ94" s="49">
        <v>10.227906605116766</v>
      </c>
      <c r="BA94" s="38">
        <v>29.87130396101179</v>
      </c>
      <c r="BB94" s="38">
        <v>22.252819412270703</v>
      </c>
      <c r="BC94" s="38">
        <v>5.2124123373282494</v>
      </c>
      <c r="BD94" s="38">
        <v>0</v>
      </c>
      <c r="BE94" s="38">
        <v>57.336535710610747</v>
      </c>
      <c r="BF94" s="38">
        <v>22.589165884938339</v>
      </c>
      <c r="BG94" s="38">
        <v>-6.3297055602876169</v>
      </c>
      <c r="BH94" s="49">
        <v>2.5382316462088017</v>
      </c>
      <c r="BI94" s="38">
        <v>23.504009826635698</v>
      </c>
      <c r="BJ94" s="38">
        <v>5.8193776896043863</v>
      </c>
      <c r="BK94" s="38">
        <v>48.549604319116227</v>
      </c>
      <c r="BL94" s="38">
        <v>41.997482390039998</v>
      </c>
      <c r="BM94" s="38">
        <v>119.87047422539629</v>
      </c>
      <c r="BN94" s="38">
        <v>29.87130396101179</v>
      </c>
      <c r="BO94" s="38">
        <v>0</v>
      </c>
      <c r="BP94" s="38">
        <v>22.252819412270703</v>
      </c>
      <c r="BQ94" s="38">
        <v>0</v>
      </c>
      <c r="BR94" s="38">
        <v>0</v>
      </c>
      <c r="BS94" s="38">
        <v>0</v>
      </c>
      <c r="BT94" s="38">
        <v>0</v>
      </c>
      <c r="BU94" s="38">
        <v>0</v>
      </c>
      <c r="BV94" s="38">
        <v>0</v>
      </c>
      <c r="BW94" s="38">
        <v>5.2124123373282494</v>
      </c>
      <c r="BX94" s="38">
        <v>92.341787778920974</v>
      </c>
      <c r="BY94" s="38"/>
      <c r="BZ94" s="38">
        <v>0</v>
      </c>
      <c r="CA94" s="38">
        <v>0</v>
      </c>
      <c r="CB94" s="38">
        <v>57.336535710610747</v>
      </c>
      <c r="CC94" s="38">
        <v>92.341787778920974</v>
      </c>
      <c r="CD94" s="50">
        <v>0.62091645710696386</v>
      </c>
      <c r="CE94" s="38">
        <v>84.217381148868597</v>
      </c>
      <c r="CF94" s="38">
        <v>0.53849864804666758</v>
      </c>
      <c r="CG94" s="38">
        <v>0</v>
      </c>
      <c r="CH94" s="38">
        <v>0.53849864804666758</v>
      </c>
      <c r="CI94" s="38">
        <v>2.6924632176093585E-2</v>
      </c>
      <c r="CJ94" s="38">
        <v>0</v>
      </c>
      <c r="CK94" s="38">
        <v>2.6924632176093585E-2</v>
      </c>
      <c r="CL94" s="38"/>
      <c r="CM94" s="38">
        <v>0</v>
      </c>
      <c r="CN94" s="38"/>
      <c r="CO94" s="38">
        <v>0</v>
      </c>
      <c r="CP94" s="38">
        <v>0</v>
      </c>
      <c r="CQ94" s="38">
        <v>0</v>
      </c>
      <c r="CR94" s="38">
        <v>0</v>
      </c>
      <c r="CS94" s="38">
        <v>0</v>
      </c>
      <c r="CT94" s="38">
        <v>0</v>
      </c>
      <c r="CU94" s="38">
        <v>37.400012703350043</v>
      </c>
      <c r="CV94" s="38">
        <v>9999</v>
      </c>
      <c r="CW94" s="50">
        <v>0</v>
      </c>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row>
    <row r="95" spans="1:131">
      <c r="A95" s="27" t="s">
        <v>221</v>
      </c>
      <c r="B95" s="27" t="s">
        <v>67</v>
      </c>
      <c r="C95" s="38">
        <v>45</v>
      </c>
      <c r="D95" s="38">
        <v>68.389419897086313</v>
      </c>
      <c r="E95" s="38">
        <v>0</v>
      </c>
      <c r="F95" s="38">
        <v>239.1087012654321</v>
      </c>
      <c r="G95" s="38">
        <v>0</v>
      </c>
      <c r="H95" s="38">
        <v>0</v>
      </c>
      <c r="I95" s="38" t="s">
        <v>1947</v>
      </c>
      <c r="J95" s="38"/>
      <c r="K95" s="38"/>
      <c r="L95" s="38">
        <v>78.181732072535269</v>
      </c>
      <c r="M95" s="38">
        <v>4.0757008023138926E-2</v>
      </c>
      <c r="N95" s="38">
        <v>3.8668888067494231E-2</v>
      </c>
      <c r="O95" s="38">
        <v>0</v>
      </c>
      <c r="P95" s="38">
        <v>0</v>
      </c>
      <c r="Q95" s="38">
        <v>0</v>
      </c>
      <c r="R95" s="38">
        <v>31.274395987843899</v>
      </c>
      <c r="S95" s="38">
        <v>7.7432541770496002</v>
      </c>
      <c r="T95" s="38">
        <v>64.600021942150065</v>
      </c>
      <c r="U95" s="38">
        <v>55.881779511092674</v>
      </c>
      <c r="V95" s="38" t="s">
        <v>2116</v>
      </c>
      <c r="W95" s="38" t="s">
        <v>2116</v>
      </c>
      <c r="X95" s="38" t="s">
        <v>2116</v>
      </c>
      <c r="Y95" s="38" t="s">
        <v>2116</v>
      </c>
      <c r="Z95" s="38">
        <v>0</v>
      </c>
      <c r="AA95" s="38">
        <v>0</v>
      </c>
      <c r="AB95" s="38">
        <v>0</v>
      </c>
      <c r="AC95" s="38">
        <v>0</v>
      </c>
      <c r="AD95" s="38">
        <v>0</v>
      </c>
      <c r="AE95" s="38">
        <v>0</v>
      </c>
      <c r="AF95" s="38">
        <v>0</v>
      </c>
      <c r="AG95" s="38">
        <v>0</v>
      </c>
      <c r="AH95" s="38">
        <v>31.274395987843899</v>
      </c>
      <c r="AI95" s="38">
        <v>7.7432541770496002</v>
      </c>
      <c r="AJ95" s="38">
        <v>64.600021942150065</v>
      </c>
      <c r="AK95" s="38">
        <v>55.881779511092674</v>
      </c>
      <c r="AL95" s="38">
        <v>159.49945161813622</v>
      </c>
      <c r="AM95" s="38">
        <v>41.200577119863972</v>
      </c>
      <c r="AN95" s="38">
        <v>14.401427036852027</v>
      </c>
      <c r="AO95" s="38">
        <v>5.5602004156716003</v>
      </c>
      <c r="AP95" s="38">
        <v>0</v>
      </c>
      <c r="AQ95" s="38">
        <v>61.162204572387601</v>
      </c>
      <c r="AR95" s="38">
        <v>31.274395987843899</v>
      </c>
      <c r="AS95" s="49">
        <v>1.955663815095289</v>
      </c>
      <c r="AT95" s="38">
        <v>41.200577119863972</v>
      </c>
      <c r="AU95" s="38">
        <v>16.291207055262479</v>
      </c>
      <c r="AV95" s="38">
        <v>5.7491784175126455</v>
      </c>
      <c r="AW95" s="38">
        <v>0</v>
      </c>
      <c r="AX95" s="38">
        <v>63.2409625926391</v>
      </c>
      <c r="AY95" s="38">
        <v>7.7432541770496002</v>
      </c>
      <c r="AZ95" s="49">
        <v>8.1672332002325803</v>
      </c>
      <c r="BA95" s="38">
        <v>41.200577119863972</v>
      </c>
      <c r="BB95" s="38">
        <v>30.692634092114506</v>
      </c>
      <c r="BC95" s="38">
        <v>7.1893211211978478</v>
      </c>
      <c r="BD95" s="38">
        <v>0</v>
      </c>
      <c r="BE95" s="38">
        <v>79.082532333176331</v>
      </c>
      <c r="BF95" s="38">
        <v>39.017650164893496</v>
      </c>
      <c r="BG95" s="38">
        <v>1.0688740216089911</v>
      </c>
      <c r="BH95" s="49">
        <v>2.0268399557370476</v>
      </c>
      <c r="BI95" s="38">
        <v>29.434303081456115</v>
      </c>
      <c r="BJ95" s="38">
        <v>7.287664016680564</v>
      </c>
      <c r="BK95" s="38">
        <v>60.79914782856369</v>
      </c>
      <c r="BL95" s="38">
        <v>52.593860981358127</v>
      </c>
      <c r="BM95" s="38">
        <v>150.11497590805848</v>
      </c>
      <c r="BN95" s="38">
        <v>41.200577119863972</v>
      </c>
      <c r="BO95" s="38">
        <v>0</v>
      </c>
      <c r="BP95" s="38">
        <v>30.692634092114506</v>
      </c>
      <c r="BQ95" s="38">
        <v>0</v>
      </c>
      <c r="BR95" s="38">
        <v>0</v>
      </c>
      <c r="BS95" s="38">
        <v>0</v>
      </c>
      <c r="BT95" s="38">
        <v>0</v>
      </c>
      <c r="BU95" s="38">
        <v>0</v>
      </c>
      <c r="BV95" s="38">
        <v>0</v>
      </c>
      <c r="BW95" s="38">
        <v>7.1893211211978478</v>
      </c>
      <c r="BX95" s="38">
        <v>159.49945161813622</v>
      </c>
      <c r="BY95" s="38"/>
      <c r="BZ95" s="38">
        <v>0</v>
      </c>
      <c r="CA95" s="38">
        <v>0</v>
      </c>
      <c r="CB95" s="38">
        <v>79.082532333176331</v>
      </c>
      <c r="CC95" s="38">
        <v>159.49945161813622</v>
      </c>
      <c r="CD95" s="50">
        <v>0.49581695442132845</v>
      </c>
      <c r="CE95" s="38">
        <v>114.4618828315308</v>
      </c>
      <c r="CF95" s="38">
        <v>0.74273473654672539</v>
      </c>
      <c r="CG95" s="38">
        <v>0</v>
      </c>
      <c r="CH95" s="38">
        <v>0.74273473654672539</v>
      </c>
      <c r="CI95" s="38">
        <v>3.7136322734454254E-2</v>
      </c>
      <c r="CJ95" s="38">
        <v>0</v>
      </c>
      <c r="CK95" s="38">
        <v>3.7136322734454254E-2</v>
      </c>
      <c r="CL95" s="38"/>
      <c r="CM95" s="38">
        <v>0</v>
      </c>
      <c r="CN95" s="38"/>
      <c r="CO95" s="38">
        <v>0</v>
      </c>
      <c r="CP95" s="38">
        <v>0</v>
      </c>
      <c r="CQ95" s="38">
        <v>0</v>
      </c>
      <c r="CR95" s="38">
        <v>0</v>
      </c>
      <c r="CS95" s="38">
        <v>0</v>
      </c>
      <c r="CT95" s="38">
        <v>0</v>
      </c>
      <c r="CU95" s="38">
        <v>64.600021942150065</v>
      </c>
      <c r="CV95" s="38">
        <v>9999</v>
      </c>
      <c r="CW95" s="50">
        <v>0</v>
      </c>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row>
    <row r="96" spans="1:131">
      <c r="A96" s="27" t="s">
        <v>222</v>
      </c>
      <c r="B96" s="27" t="s">
        <v>68</v>
      </c>
      <c r="C96" s="38">
        <v>45</v>
      </c>
      <c r="D96" s="38">
        <v>84.208503060856287</v>
      </c>
      <c r="E96" s="38">
        <v>0</v>
      </c>
      <c r="F96" s="38">
        <v>377.54005462962965</v>
      </c>
      <c r="G96" s="38">
        <v>0</v>
      </c>
      <c r="H96" s="38">
        <v>0</v>
      </c>
      <c r="I96" s="38" t="s">
        <v>1947</v>
      </c>
      <c r="J96" s="38"/>
      <c r="K96" s="38"/>
      <c r="L96" s="38">
        <v>96.265864434004669</v>
      </c>
      <c r="M96" s="38">
        <v>5.0184467714925893E-2</v>
      </c>
      <c r="N96" s="38">
        <v>4.7613346978108054E-2</v>
      </c>
      <c r="O96" s="38">
        <v>0</v>
      </c>
      <c r="P96" s="38">
        <v>0</v>
      </c>
      <c r="Q96" s="38">
        <v>0</v>
      </c>
      <c r="R96" s="38">
        <v>49.380625243964055</v>
      </c>
      <c r="S96" s="38">
        <v>12.226190805867789</v>
      </c>
      <c r="T96" s="38">
        <v>102.00003464550014</v>
      </c>
      <c r="U96" s="38">
        <v>88.234388701725294</v>
      </c>
      <c r="V96" s="38" t="s">
        <v>2116</v>
      </c>
      <c r="W96" s="38" t="s">
        <v>2116</v>
      </c>
      <c r="X96" s="38" t="s">
        <v>2116</v>
      </c>
      <c r="Y96" s="38" t="s">
        <v>2116</v>
      </c>
      <c r="Z96" s="38">
        <v>0</v>
      </c>
      <c r="AA96" s="38">
        <v>0</v>
      </c>
      <c r="AB96" s="38">
        <v>0</v>
      </c>
      <c r="AC96" s="38">
        <v>0</v>
      </c>
      <c r="AD96" s="38">
        <v>0</v>
      </c>
      <c r="AE96" s="38">
        <v>0</v>
      </c>
      <c r="AF96" s="38">
        <v>0</v>
      </c>
      <c r="AG96" s="38">
        <v>0</v>
      </c>
      <c r="AH96" s="38">
        <v>49.380625243964055</v>
      </c>
      <c r="AI96" s="38">
        <v>12.226190805867789</v>
      </c>
      <c r="AJ96" s="38">
        <v>102.00003464550014</v>
      </c>
      <c r="AK96" s="38">
        <v>88.234388701725294</v>
      </c>
      <c r="AL96" s="38">
        <v>251.84123939705728</v>
      </c>
      <c r="AM96" s="38">
        <v>50.730638302357143</v>
      </c>
      <c r="AN96" s="38">
        <v>17.732605636052774</v>
      </c>
      <c r="AO96" s="38">
        <v>6.8463243938409919</v>
      </c>
      <c r="AP96" s="38">
        <v>0</v>
      </c>
      <c r="AQ96" s="38">
        <v>75.309568332250905</v>
      </c>
      <c r="AR96" s="38">
        <v>49.380625243964055</v>
      </c>
      <c r="AS96" s="49">
        <v>1.525083328940964</v>
      </c>
      <c r="AT96" s="38">
        <v>50.730638302357143</v>
      </c>
      <c r="AU96" s="38">
        <v>20.059508638068756</v>
      </c>
      <c r="AV96" s="38">
        <v>7.0790146940425904</v>
      </c>
      <c r="AW96" s="38">
        <v>0</v>
      </c>
      <c r="AX96" s="38">
        <v>77.869161634468483</v>
      </c>
      <c r="AY96" s="38">
        <v>12.226190805867789</v>
      </c>
      <c r="AZ96" s="49">
        <v>6.3690451810302413</v>
      </c>
      <c r="BA96" s="38">
        <v>50.730638302357143</v>
      </c>
      <c r="BB96" s="38">
        <v>37.792114274121531</v>
      </c>
      <c r="BC96" s="38">
        <v>8.852275257647868</v>
      </c>
      <c r="BD96" s="38">
        <v>0</v>
      </c>
      <c r="BE96" s="38">
        <v>97.375027834126541</v>
      </c>
      <c r="BF96" s="38">
        <v>61.606816049831842</v>
      </c>
      <c r="BG96" s="38">
        <v>11.436676321722466</v>
      </c>
      <c r="BH96" s="49">
        <v>1.5805885464907472</v>
      </c>
      <c r="BI96" s="38">
        <v>37.74456147187994</v>
      </c>
      <c r="BJ96" s="38">
        <v>9.3452079263702164</v>
      </c>
      <c r="BK96" s="38">
        <v>77.964719134080923</v>
      </c>
      <c r="BL96" s="38">
        <v>67.442813691248276</v>
      </c>
      <c r="BM96" s="38">
        <v>192.49730222357934</v>
      </c>
      <c r="BN96" s="38">
        <v>50.730638302357143</v>
      </c>
      <c r="BO96" s="38">
        <v>0</v>
      </c>
      <c r="BP96" s="38">
        <v>37.792114274121531</v>
      </c>
      <c r="BQ96" s="38">
        <v>0</v>
      </c>
      <c r="BR96" s="38">
        <v>0</v>
      </c>
      <c r="BS96" s="38">
        <v>0</v>
      </c>
      <c r="BT96" s="38">
        <v>0</v>
      </c>
      <c r="BU96" s="38">
        <v>0</v>
      </c>
      <c r="BV96" s="38">
        <v>0</v>
      </c>
      <c r="BW96" s="38">
        <v>8.852275257647868</v>
      </c>
      <c r="BX96" s="38">
        <v>251.84123939705728</v>
      </c>
      <c r="BY96" s="38"/>
      <c r="BZ96" s="38">
        <v>0</v>
      </c>
      <c r="CA96" s="38">
        <v>0</v>
      </c>
      <c r="CB96" s="38">
        <v>97.375027834126541</v>
      </c>
      <c r="CC96" s="38">
        <v>251.84123939705728</v>
      </c>
      <c r="CD96" s="50">
        <v>0.38665243256924803</v>
      </c>
      <c r="CE96" s="38">
        <v>156.84420914705166</v>
      </c>
      <c r="CF96" s="38">
        <v>0.91453590964826603</v>
      </c>
      <c r="CG96" s="38">
        <v>0</v>
      </c>
      <c r="CH96" s="38">
        <v>0.91453590964826603</v>
      </c>
      <c r="CI96" s="38">
        <v>4.5726285606152224E-2</v>
      </c>
      <c r="CJ96" s="38">
        <v>0</v>
      </c>
      <c r="CK96" s="38">
        <v>4.5726285606152224E-2</v>
      </c>
      <c r="CL96" s="38"/>
      <c r="CM96" s="38">
        <v>0</v>
      </c>
      <c r="CN96" s="38"/>
      <c r="CO96" s="38">
        <v>0</v>
      </c>
      <c r="CP96" s="38">
        <v>0</v>
      </c>
      <c r="CQ96" s="38">
        <v>0</v>
      </c>
      <c r="CR96" s="38">
        <v>0</v>
      </c>
      <c r="CS96" s="38">
        <v>0</v>
      </c>
      <c r="CT96" s="38">
        <v>0</v>
      </c>
      <c r="CU96" s="38">
        <v>102.00003464550014</v>
      </c>
      <c r="CV96" s="38">
        <v>9999</v>
      </c>
      <c r="CW96" s="50">
        <v>0</v>
      </c>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row>
    <row r="97" spans="1:131">
      <c r="A97" s="27" t="s">
        <v>228</v>
      </c>
      <c r="B97" s="27" t="s">
        <v>74</v>
      </c>
      <c r="C97" s="38">
        <v>45</v>
      </c>
      <c r="D97" s="38">
        <v>4065.806191421078</v>
      </c>
      <c r="E97" s="38">
        <v>0</v>
      </c>
      <c r="F97" s="38">
        <v>4101.7368570659019</v>
      </c>
      <c r="G97" s="38">
        <v>0</v>
      </c>
      <c r="H97" s="38">
        <v>0</v>
      </c>
      <c r="I97" s="38" t="s">
        <v>1947</v>
      </c>
      <c r="J97" s="38"/>
      <c r="K97" s="38"/>
      <c r="L97" s="38">
        <v>4647.967050968954</v>
      </c>
      <c r="M97" s="38">
        <v>2.423037010894967</v>
      </c>
      <c r="N97" s="38">
        <v>2.2988965947770081</v>
      </c>
      <c r="O97" s="38">
        <v>0</v>
      </c>
      <c r="P97" s="38">
        <v>0</v>
      </c>
      <c r="Q97" s="38">
        <v>0</v>
      </c>
      <c r="R97" s="38">
        <v>536.48964687157786</v>
      </c>
      <c r="S97" s="38">
        <v>132.82992581845238</v>
      </c>
      <c r="T97" s="38">
        <v>1108.1666604564084</v>
      </c>
      <c r="U97" s="38">
        <v>958.61151621008025</v>
      </c>
      <c r="V97" s="38" t="s">
        <v>2116</v>
      </c>
      <c r="W97" s="38" t="s">
        <v>2116</v>
      </c>
      <c r="X97" s="38" t="s">
        <v>2116</v>
      </c>
      <c r="Y97" s="38" t="s">
        <v>2116</v>
      </c>
      <c r="Z97" s="38">
        <v>0</v>
      </c>
      <c r="AA97" s="38">
        <v>0</v>
      </c>
      <c r="AB97" s="38">
        <v>0</v>
      </c>
      <c r="AC97" s="38">
        <v>0</v>
      </c>
      <c r="AD97" s="38">
        <v>0</v>
      </c>
      <c r="AE97" s="38">
        <v>0</v>
      </c>
      <c r="AF97" s="38">
        <v>0</v>
      </c>
      <c r="AG97" s="38">
        <v>0</v>
      </c>
      <c r="AH97" s="38">
        <v>536.48964687157786</v>
      </c>
      <c r="AI97" s="38">
        <v>132.82992581845238</v>
      </c>
      <c r="AJ97" s="38">
        <v>1108.1666604564084</v>
      </c>
      <c r="AK97" s="38">
        <v>958.61151621008025</v>
      </c>
      <c r="AL97" s="38">
        <v>2736.0977493565188</v>
      </c>
      <c r="AM97" s="38">
        <v>2449.4075515795016</v>
      </c>
      <c r="AN97" s="38">
        <v>856.17645682393811</v>
      </c>
      <c r="AO97" s="38">
        <v>330.55840084034401</v>
      </c>
      <c r="AP97" s="38">
        <v>0</v>
      </c>
      <c r="AQ97" s="38">
        <v>3636.1424092437837</v>
      </c>
      <c r="AR97" s="38">
        <v>536.48964687157786</v>
      </c>
      <c r="AS97" s="49">
        <v>6.777656251983899</v>
      </c>
      <c r="AT97" s="38">
        <v>2449.4075515795016</v>
      </c>
      <c r="AU97" s="38">
        <v>968.52540364698859</v>
      </c>
      <c r="AV97" s="38">
        <v>341.79329552264903</v>
      </c>
      <c r="AW97" s="38">
        <v>0</v>
      </c>
      <c r="AX97" s="38">
        <v>3759.7262507491396</v>
      </c>
      <c r="AY97" s="38">
        <v>132.82992581845238</v>
      </c>
      <c r="AZ97" s="49">
        <v>28.304813298531922</v>
      </c>
      <c r="BA97" s="38">
        <v>2449.4075515795016</v>
      </c>
      <c r="BB97" s="38">
        <v>1824.7018604709267</v>
      </c>
      <c r="BC97" s="38">
        <v>427.41094120504283</v>
      </c>
      <c r="BD97" s="38">
        <v>0</v>
      </c>
      <c r="BE97" s="38">
        <v>4701.5203532554715</v>
      </c>
      <c r="BF97" s="38">
        <v>669.31957269003021</v>
      </c>
      <c r="BG97" s="38">
        <v>-25.057126033801911</v>
      </c>
      <c r="BH97" s="49">
        <v>7.0243282059716501</v>
      </c>
      <c r="BI97" s="38">
        <v>8.4931426615361296</v>
      </c>
      <c r="BJ97" s="38">
        <v>2.1028243811896457</v>
      </c>
      <c r="BK97" s="38">
        <v>17.543334889866568</v>
      </c>
      <c r="BL97" s="38">
        <v>15.17573435319725</v>
      </c>
      <c r="BM97" s="38">
        <v>43.315036285789589</v>
      </c>
      <c r="BN97" s="38">
        <v>2449.4075515795016</v>
      </c>
      <c r="BO97" s="38">
        <v>0</v>
      </c>
      <c r="BP97" s="38">
        <v>1824.7018604709267</v>
      </c>
      <c r="BQ97" s="38">
        <v>0</v>
      </c>
      <c r="BR97" s="38">
        <v>0</v>
      </c>
      <c r="BS97" s="38">
        <v>0</v>
      </c>
      <c r="BT97" s="38">
        <v>0</v>
      </c>
      <c r="BU97" s="38">
        <v>0</v>
      </c>
      <c r="BV97" s="38">
        <v>0</v>
      </c>
      <c r="BW97" s="38">
        <v>427.41094120504283</v>
      </c>
      <c r="BX97" s="38">
        <v>2736.0977493565188</v>
      </c>
      <c r="BY97" s="38"/>
      <c r="BZ97" s="38">
        <v>0</v>
      </c>
      <c r="CA97" s="38">
        <v>0</v>
      </c>
      <c r="CB97" s="38">
        <v>4701.5203532554715</v>
      </c>
      <c r="CC97" s="38">
        <v>2736.0977493565188</v>
      </c>
      <c r="CD97" s="49">
        <v>1.7183305510050526</v>
      </c>
      <c r="CE97" s="38">
        <v>7.6619432092619011</v>
      </c>
      <c r="CF97" s="38">
        <v>44.156179347323715</v>
      </c>
      <c r="CG97" s="38">
        <v>0</v>
      </c>
      <c r="CH97" s="38">
        <v>44.156179347323715</v>
      </c>
      <c r="CI97" s="38">
        <v>2.2077843492102529</v>
      </c>
      <c r="CJ97" s="38">
        <v>0</v>
      </c>
      <c r="CK97" s="38">
        <v>2.2077843492102529</v>
      </c>
      <c r="CL97" s="38"/>
      <c r="CM97" s="38">
        <v>0</v>
      </c>
      <c r="CN97" s="38"/>
      <c r="CO97" s="38">
        <v>0</v>
      </c>
      <c r="CP97" s="38">
        <v>0</v>
      </c>
      <c r="CQ97" s="38">
        <v>0</v>
      </c>
      <c r="CR97" s="38">
        <v>0</v>
      </c>
      <c r="CS97" s="38">
        <v>0</v>
      </c>
      <c r="CT97" s="38">
        <v>0</v>
      </c>
      <c r="CU97" s="38">
        <v>1108.1666604564084</v>
      </c>
      <c r="CV97" s="38">
        <v>9999</v>
      </c>
      <c r="CW97" s="50">
        <v>0</v>
      </c>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row>
    <row r="98" spans="1:131">
      <c r="A98" s="27" t="s">
        <v>229</v>
      </c>
      <c r="B98" s="27" t="s">
        <v>75</v>
      </c>
      <c r="C98" s="38">
        <v>45</v>
      </c>
      <c r="D98" s="38">
        <v>2379.0578507099417</v>
      </c>
      <c r="E98" s="38">
        <v>0</v>
      </c>
      <c r="F98" s="38">
        <v>4101.7368570659019</v>
      </c>
      <c r="G98" s="38">
        <v>0</v>
      </c>
      <c r="H98" s="38">
        <v>0</v>
      </c>
      <c r="I98" s="38" t="s">
        <v>1947</v>
      </c>
      <c r="J98" s="38"/>
      <c r="K98" s="38"/>
      <c r="L98" s="38">
        <v>2719.7023128601013</v>
      </c>
      <c r="M98" s="38">
        <v>1.4178111183690243</v>
      </c>
      <c r="N98" s="38">
        <v>1.3451718390597951</v>
      </c>
      <c r="O98" s="38">
        <v>0</v>
      </c>
      <c r="P98" s="38">
        <v>0</v>
      </c>
      <c r="Q98" s="38">
        <v>0</v>
      </c>
      <c r="R98" s="38">
        <v>536.48964687157786</v>
      </c>
      <c r="S98" s="38">
        <v>132.82992581845238</v>
      </c>
      <c r="T98" s="38">
        <v>1108.1666604564084</v>
      </c>
      <c r="U98" s="38">
        <v>958.61151621008025</v>
      </c>
      <c r="V98" s="38" t="s">
        <v>2116</v>
      </c>
      <c r="W98" s="38" t="s">
        <v>2116</v>
      </c>
      <c r="X98" s="38" t="s">
        <v>2116</v>
      </c>
      <c r="Y98" s="38" t="s">
        <v>2116</v>
      </c>
      <c r="Z98" s="38">
        <v>0</v>
      </c>
      <c r="AA98" s="38">
        <v>0</v>
      </c>
      <c r="AB98" s="38">
        <v>0</v>
      </c>
      <c r="AC98" s="38">
        <v>0</v>
      </c>
      <c r="AD98" s="38">
        <v>0</v>
      </c>
      <c r="AE98" s="38">
        <v>0</v>
      </c>
      <c r="AF98" s="38">
        <v>0</v>
      </c>
      <c r="AG98" s="38">
        <v>0</v>
      </c>
      <c r="AH98" s="38">
        <v>536.48964687157786</v>
      </c>
      <c r="AI98" s="38">
        <v>132.82992581845238</v>
      </c>
      <c r="AJ98" s="38">
        <v>1108.1666604564084</v>
      </c>
      <c r="AK98" s="38">
        <v>958.61151621008025</v>
      </c>
      <c r="AL98" s="38">
        <v>2736.0977493565188</v>
      </c>
      <c r="AM98" s="38">
        <v>1433.2415247605979</v>
      </c>
      <c r="AN98" s="38">
        <v>500.98141064812478</v>
      </c>
      <c r="AO98" s="38">
        <v>193.42229354087229</v>
      </c>
      <c r="AP98" s="38">
        <v>0</v>
      </c>
      <c r="AQ98" s="38">
        <v>2127.6452289495951</v>
      </c>
      <c r="AR98" s="38">
        <v>536.48964687157786</v>
      </c>
      <c r="AS98" s="49">
        <v>3.9658644698112875</v>
      </c>
      <c r="AT98" s="38">
        <v>1433.2415247605979</v>
      </c>
      <c r="AU98" s="38">
        <v>566.72105276937191</v>
      </c>
      <c r="AV98" s="38">
        <v>199.996257752997</v>
      </c>
      <c r="AW98" s="38">
        <v>0</v>
      </c>
      <c r="AX98" s="38">
        <v>2199.9588352829669</v>
      </c>
      <c r="AY98" s="38">
        <v>132.82992581845238</v>
      </c>
      <c r="AZ98" s="49">
        <v>16.562222870543486</v>
      </c>
      <c r="BA98" s="38">
        <v>1433.2415247605979</v>
      </c>
      <c r="BB98" s="38">
        <v>1067.7024634174968</v>
      </c>
      <c r="BC98" s="38">
        <v>250.09439881780946</v>
      </c>
      <c r="BD98" s="38">
        <v>0</v>
      </c>
      <c r="BE98" s="38">
        <v>2751.0383869959041</v>
      </c>
      <c r="BF98" s="38">
        <v>669.31957269003021</v>
      </c>
      <c r="BG98" s="38">
        <v>-17.544601770377991</v>
      </c>
      <c r="BH98" s="49">
        <v>4.1102016125710144</v>
      </c>
      <c r="BI98" s="38">
        <v>14.514767687381562</v>
      </c>
      <c r="BJ98" s="38">
        <v>3.5937236187681294</v>
      </c>
      <c r="BK98" s="38">
        <v>29.981532223820352</v>
      </c>
      <c r="BL98" s="38">
        <v>25.935306564394125</v>
      </c>
      <c r="BM98" s="38">
        <v>74.025330094364165</v>
      </c>
      <c r="BN98" s="38">
        <v>1433.2415247605979</v>
      </c>
      <c r="BO98" s="38">
        <v>0</v>
      </c>
      <c r="BP98" s="38">
        <v>1067.7024634174968</v>
      </c>
      <c r="BQ98" s="38">
        <v>0</v>
      </c>
      <c r="BR98" s="38">
        <v>0</v>
      </c>
      <c r="BS98" s="38">
        <v>0</v>
      </c>
      <c r="BT98" s="38">
        <v>0</v>
      </c>
      <c r="BU98" s="38">
        <v>0</v>
      </c>
      <c r="BV98" s="38">
        <v>0</v>
      </c>
      <c r="BW98" s="38">
        <v>250.09439881780946</v>
      </c>
      <c r="BX98" s="38">
        <v>2736.0977493565188</v>
      </c>
      <c r="BY98" s="38"/>
      <c r="BZ98" s="38">
        <v>0</v>
      </c>
      <c r="CA98" s="38">
        <v>0</v>
      </c>
      <c r="CB98" s="38">
        <v>2751.0383869959041</v>
      </c>
      <c r="CC98" s="38">
        <v>2736.0977493565188</v>
      </c>
      <c r="CD98" s="49">
        <v>1.0054605642809724</v>
      </c>
      <c r="CE98" s="38">
        <v>38.372237017836483</v>
      </c>
      <c r="CF98" s="38">
        <v>25.83746007255937</v>
      </c>
      <c r="CG98" s="38">
        <v>0</v>
      </c>
      <c r="CH98" s="38">
        <v>25.83746007255937</v>
      </c>
      <c r="CI98" s="38">
        <v>1.291858598608548</v>
      </c>
      <c r="CJ98" s="38">
        <v>0</v>
      </c>
      <c r="CK98" s="38">
        <v>1.291858598608548</v>
      </c>
      <c r="CL98" s="38"/>
      <c r="CM98" s="38">
        <v>0</v>
      </c>
      <c r="CN98" s="38"/>
      <c r="CO98" s="38">
        <v>0</v>
      </c>
      <c r="CP98" s="38">
        <v>0</v>
      </c>
      <c r="CQ98" s="38">
        <v>0</v>
      </c>
      <c r="CR98" s="38">
        <v>0</v>
      </c>
      <c r="CS98" s="38">
        <v>0</v>
      </c>
      <c r="CT98" s="38">
        <v>0</v>
      </c>
      <c r="CU98" s="38">
        <v>1108.1666604564084</v>
      </c>
      <c r="CV98" s="38">
        <v>9999</v>
      </c>
      <c r="CW98" s="50">
        <v>0</v>
      </c>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row>
    <row r="99" spans="1:131">
      <c r="A99" s="27" t="s">
        <v>226</v>
      </c>
      <c r="B99" s="27" t="s">
        <v>72</v>
      </c>
      <c r="C99" s="38">
        <v>45</v>
      </c>
      <c r="D99" s="38">
        <v>3743.6189487666979</v>
      </c>
      <c r="E99" s="38">
        <v>0</v>
      </c>
      <c r="F99" s="38">
        <v>3865.0968570659024</v>
      </c>
      <c r="G99" s="38">
        <v>0</v>
      </c>
      <c r="H99" s="38">
        <v>0</v>
      </c>
      <c r="I99" s="38" t="s">
        <v>1947</v>
      </c>
      <c r="J99" s="38"/>
      <c r="K99" s="38"/>
      <c r="L99" s="38">
        <v>4279.6475547618102</v>
      </c>
      <c r="M99" s="38">
        <v>2.2310279537399578</v>
      </c>
      <c r="N99" s="38">
        <v>2.1167248137950261</v>
      </c>
      <c r="O99" s="38">
        <v>0</v>
      </c>
      <c r="P99" s="38">
        <v>0</v>
      </c>
      <c r="Q99" s="38">
        <v>0</v>
      </c>
      <c r="R99" s="38">
        <v>505.53814645609174</v>
      </c>
      <c r="S99" s="38">
        <v>125.16661762950061</v>
      </c>
      <c r="T99" s="38">
        <v>1044.2336077841831</v>
      </c>
      <c r="U99" s="38">
        <v>903.30669361884679</v>
      </c>
      <c r="V99" s="38" t="s">
        <v>2116</v>
      </c>
      <c r="W99" s="38" t="s">
        <v>2116</v>
      </c>
      <c r="X99" s="38" t="s">
        <v>2116</v>
      </c>
      <c r="Y99" s="38" t="s">
        <v>2116</v>
      </c>
      <c r="Z99" s="38">
        <v>0</v>
      </c>
      <c r="AA99" s="38">
        <v>0</v>
      </c>
      <c r="AB99" s="38">
        <v>0</v>
      </c>
      <c r="AC99" s="38">
        <v>0</v>
      </c>
      <c r="AD99" s="38">
        <v>0</v>
      </c>
      <c r="AE99" s="38">
        <v>0</v>
      </c>
      <c r="AF99" s="38">
        <v>0</v>
      </c>
      <c r="AG99" s="38">
        <v>0</v>
      </c>
      <c r="AH99" s="38">
        <v>505.53814645609174</v>
      </c>
      <c r="AI99" s="38">
        <v>125.16661762950061</v>
      </c>
      <c r="AJ99" s="38">
        <v>1044.2336077841831</v>
      </c>
      <c r="AK99" s="38">
        <v>903.30669361884679</v>
      </c>
      <c r="AL99" s="38">
        <v>2578.2450654886225</v>
      </c>
      <c r="AM99" s="38">
        <v>2255.3088100198615</v>
      </c>
      <c r="AN99" s="38">
        <v>788.33034737785897</v>
      </c>
      <c r="AO99" s="38">
        <v>304.36391573977204</v>
      </c>
      <c r="AP99" s="38">
        <v>0</v>
      </c>
      <c r="AQ99" s="38">
        <v>3348.0030731374927</v>
      </c>
      <c r="AR99" s="38">
        <v>505.53814645609174</v>
      </c>
      <c r="AS99" s="49">
        <v>6.62265171601305</v>
      </c>
      <c r="AT99" s="38">
        <v>2255.3088100198615</v>
      </c>
      <c r="AU99" s="38">
        <v>891.77641106092597</v>
      </c>
      <c r="AV99" s="38">
        <v>314.7085221080788</v>
      </c>
      <c r="AW99" s="38">
        <v>0</v>
      </c>
      <c r="AX99" s="38">
        <v>3461.7937431888663</v>
      </c>
      <c r="AY99" s="38">
        <v>125.16661762950061</v>
      </c>
      <c r="AZ99" s="49">
        <v>27.657484149934827</v>
      </c>
      <c r="BA99" s="38">
        <v>2255.3088100198615</v>
      </c>
      <c r="BB99" s="38">
        <v>1680.1067584387849</v>
      </c>
      <c r="BC99" s="38">
        <v>393.54155684586465</v>
      </c>
      <c r="BD99" s="38">
        <v>0</v>
      </c>
      <c r="BE99" s="38">
        <v>4328.9571253045115</v>
      </c>
      <c r="BF99" s="38">
        <v>630.70476408559239</v>
      </c>
      <c r="BG99" s="38">
        <v>-24.809125229131958</v>
      </c>
      <c r="BH99" s="49">
        <v>6.863682299246169</v>
      </c>
      <c r="BI99" s="38">
        <v>8.691926425749859</v>
      </c>
      <c r="BJ99" s="38">
        <v>2.1520414216458676</v>
      </c>
      <c r="BK99" s="38">
        <v>17.953940278854468</v>
      </c>
      <c r="BL99" s="38">
        <v>15.530925560934545</v>
      </c>
      <c r="BM99" s="38">
        <v>44.328833687184748</v>
      </c>
      <c r="BN99" s="38">
        <v>2255.3088100198615</v>
      </c>
      <c r="BO99" s="38">
        <v>0</v>
      </c>
      <c r="BP99" s="38">
        <v>1680.1067584387849</v>
      </c>
      <c r="BQ99" s="38">
        <v>0</v>
      </c>
      <c r="BR99" s="38">
        <v>0</v>
      </c>
      <c r="BS99" s="38">
        <v>0</v>
      </c>
      <c r="BT99" s="38">
        <v>0</v>
      </c>
      <c r="BU99" s="38">
        <v>0</v>
      </c>
      <c r="BV99" s="38">
        <v>0</v>
      </c>
      <c r="BW99" s="38">
        <v>393.54155684586465</v>
      </c>
      <c r="BX99" s="38">
        <v>2578.2450654886225</v>
      </c>
      <c r="BY99" s="38"/>
      <c r="BZ99" s="38">
        <v>0</v>
      </c>
      <c r="CA99" s="38">
        <v>0</v>
      </c>
      <c r="CB99" s="38">
        <v>4328.9571253045115</v>
      </c>
      <c r="CC99" s="38">
        <v>2578.2450654886225</v>
      </c>
      <c r="CD99" s="49">
        <v>1.6790324485636505</v>
      </c>
      <c r="CE99" s="38">
        <v>8.6757406106570549</v>
      </c>
      <c r="CF99" s="38">
        <v>40.657105116957069</v>
      </c>
      <c r="CG99" s="38">
        <v>0</v>
      </c>
      <c r="CH99" s="38">
        <v>40.657105116957069</v>
      </c>
      <c r="CI99" s="38">
        <v>2.0328325885118597</v>
      </c>
      <c r="CJ99" s="38">
        <v>0</v>
      </c>
      <c r="CK99" s="38">
        <v>2.0328325885118597</v>
      </c>
      <c r="CL99" s="38"/>
      <c r="CM99" s="38">
        <v>0</v>
      </c>
      <c r="CN99" s="38"/>
      <c r="CO99" s="38">
        <v>0</v>
      </c>
      <c r="CP99" s="38">
        <v>0</v>
      </c>
      <c r="CQ99" s="38">
        <v>0</v>
      </c>
      <c r="CR99" s="38">
        <v>0</v>
      </c>
      <c r="CS99" s="38">
        <v>0</v>
      </c>
      <c r="CT99" s="38">
        <v>0</v>
      </c>
      <c r="CU99" s="38">
        <v>1044.2336077841831</v>
      </c>
      <c r="CV99" s="38">
        <v>9999</v>
      </c>
      <c r="CW99" s="50">
        <v>0</v>
      </c>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row>
    <row r="100" spans="1:131">
      <c r="A100" s="27" t="s">
        <v>227</v>
      </c>
      <c r="B100" s="27" t="s">
        <v>73</v>
      </c>
      <c r="C100" s="38">
        <v>45</v>
      </c>
      <c r="D100" s="38">
        <v>2056.8706080555621</v>
      </c>
      <c r="E100" s="38">
        <v>0</v>
      </c>
      <c r="F100" s="38">
        <v>3865.0968570659024</v>
      </c>
      <c r="G100" s="38">
        <v>0</v>
      </c>
      <c r="H100" s="38">
        <v>0</v>
      </c>
      <c r="I100" s="38" t="s">
        <v>1947</v>
      </c>
      <c r="J100" s="38"/>
      <c r="K100" s="38"/>
      <c r="L100" s="38">
        <v>2351.3828166529579</v>
      </c>
      <c r="M100" s="38">
        <v>1.2258020612140152</v>
      </c>
      <c r="N100" s="38">
        <v>1.163000058077813</v>
      </c>
      <c r="O100" s="38">
        <v>0</v>
      </c>
      <c r="P100" s="38">
        <v>0</v>
      </c>
      <c r="Q100" s="38">
        <v>0</v>
      </c>
      <c r="R100" s="38">
        <v>505.53814645609174</v>
      </c>
      <c r="S100" s="38">
        <v>125.16661762950061</v>
      </c>
      <c r="T100" s="38">
        <v>1044.2336077841831</v>
      </c>
      <c r="U100" s="38">
        <v>903.30669361884679</v>
      </c>
      <c r="V100" s="38" t="s">
        <v>2116</v>
      </c>
      <c r="W100" s="38" t="s">
        <v>2116</v>
      </c>
      <c r="X100" s="38" t="s">
        <v>2116</v>
      </c>
      <c r="Y100" s="38" t="s">
        <v>2116</v>
      </c>
      <c r="Z100" s="38">
        <v>0</v>
      </c>
      <c r="AA100" s="38">
        <v>0</v>
      </c>
      <c r="AB100" s="38">
        <v>0</v>
      </c>
      <c r="AC100" s="38">
        <v>0</v>
      </c>
      <c r="AD100" s="38">
        <v>0</v>
      </c>
      <c r="AE100" s="38">
        <v>0</v>
      </c>
      <c r="AF100" s="38">
        <v>0</v>
      </c>
      <c r="AG100" s="38">
        <v>0</v>
      </c>
      <c r="AH100" s="38">
        <v>505.53814645609174</v>
      </c>
      <c r="AI100" s="38">
        <v>125.16661762950061</v>
      </c>
      <c r="AJ100" s="38">
        <v>1044.2336077841831</v>
      </c>
      <c r="AK100" s="38">
        <v>903.30669361884679</v>
      </c>
      <c r="AL100" s="38">
        <v>2578.2450654886225</v>
      </c>
      <c r="AM100" s="38">
        <v>1239.1427832009606</v>
      </c>
      <c r="AN100" s="38">
        <v>433.13530120204564</v>
      </c>
      <c r="AO100" s="38">
        <v>167.22780844030063</v>
      </c>
      <c r="AP100" s="38">
        <v>0</v>
      </c>
      <c r="AQ100" s="38">
        <v>1839.5058928433068</v>
      </c>
      <c r="AR100" s="38">
        <v>505.53814645609174</v>
      </c>
      <c r="AS100" s="49">
        <v>3.6387083857836555</v>
      </c>
      <c r="AT100" s="38">
        <v>1239.1427832009606</v>
      </c>
      <c r="AU100" s="38">
        <v>489.97206018330934</v>
      </c>
      <c r="AV100" s="38">
        <v>172.91148433842702</v>
      </c>
      <c r="AW100" s="38">
        <v>0</v>
      </c>
      <c r="AX100" s="38">
        <v>1902.026327722697</v>
      </c>
      <c r="AY100" s="38">
        <v>125.16661762950061</v>
      </c>
      <c r="AZ100" s="49">
        <v>15.195955309368424</v>
      </c>
      <c r="BA100" s="38">
        <v>1239.1427832009606</v>
      </c>
      <c r="BB100" s="38">
        <v>923.10736138535503</v>
      </c>
      <c r="BC100" s="38">
        <v>216.22501445863156</v>
      </c>
      <c r="BD100" s="38">
        <v>0</v>
      </c>
      <c r="BE100" s="38">
        <v>2378.4751590449468</v>
      </c>
      <c r="BF100" s="38">
        <v>630.70476408559239</v>
      </c>
      <c r="BG100" s="38">
        <v>-15.916468247363479</v>
      </c>
      <c r="BH100" s="49">
        <v>3.771138723667808</v>
      </c>
      <c r="BI100" s="38">
        <v>15.819789704459714</v>
      </c>
      <c r="BJ100" s="38">
        <v>3.916835124704483</v>
      </c>
      <c r="BK100" s="38">
        <v>32.677170245766682</v>
      </c>
      <c r="BL100" s="38">
        <v>28.267148645175759</v>
      </c>
      <c r="BM100" s="38">
        <v>80.680943720106654</v>
      </c>
      <c r="BN100" s="38">
        <v>1239.1427832009606</v>
      </c>
      <c r="BO100" s="38">
        <v>0</v>
      </c>
      <c r="BP100" s="38">
        <v>923.10736138535503</v>
      </c>
      <c r="BQ100" s="38">
        <v>0</v>
      </c>
      <c r="BR100" s="38">
        <v>0</v>
      </c>
      <c r="BS100" s="38">
        <v>0</v>
      </c>
      <c r="BT100" s="38">
        <v>0</v>
      </c>
      <c r="BU100" s="38">
        <v>0</v>
      </c>
      <c r="BV100" s="38">
        <v>0</v>
      </c>
      <c r="BW100" s="38">
        <v>216.22501445863156</v>
      </c>
      <c r="BX100" s="38">
        <v>2578.2450654886225</v>
      </c>
      <c r="BY100" s="38"/>
      <c r="BZ100" s="38">
        <v>0</v>
      </c>
      <c r="CA100" s="38">
        <v>0</v>
      </c>
      <c r="CB100" s="38">
        <v>2378.4751590449468</v>
      </c>
      <c r="CC100" s="38">
        <v>2578.2450654886225</v>
      </c>
      <c r="CD100" s="50">
        <v>0.92251709927899517</v>
      </c>
      <c r="CE100" s="38">
        <v>45.027850643578972</v>
      </c>
      <c r="CF100" s="38">
        <v>22.338385842192778</v>
      </c>
      <c r="CG100" s="38">
        <v>0</v>
      </c>
      <c r="CH100" s="38">
        <v>22.338385842192778</v>
      </c>
      <c r="CI100" s="38">
        <v>1.116906837910155</v>
      </c>
      <c r="CJ100" s="38">
        <v>0</v>
      </c>
      <c r="CK100" s="38">
        <v>1.116906837910155</v>
      </c>
      <c r="CL100" s="38"/>
      <c r="CM100" s="38">
        <v>0</v>
      </c>
      <c r="CN100" s="38"/>
      <c r="CO100" s="38">
        <v>0</v>
      </c>
      <c r="CP100" s="38">
        <v>0</v>
      </c>
      <c r="CQ100" s="38">
        <v>0</v>
      </c>
      <c r="CR100" s="38">
        <v>0</v>
      </c>
      <c r="CS100" s="38">
        <v>0</v>
      </c>
      <c r="CT100" s="38">
        <v>0</v>
      </c>
      <c r="CU100" s="38">
        <v>1044.2336077841831</v>
      </c>
      <c r="CV100" s="38">
        <v>9999</v>
      </c>
      <c r="CW100" s="50">
        <v>0</v>
      </c>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row>
    <row r="101" spans="1:131">
      <c r="A101" s="27" t="s">
        <v>245</v>
      </c>
      <c r="B101" s="27" t="s">
        <v>69</v>
      </c>
      <c r="C101" s="38">
        <v>45</v>
      </c>
      <c r="D101" s="38">
        <v>350.13094277933425</v>
      </c>
      <c r="E101" s="38">
        <v>0</v>
      </c>
      <c r="F101" s="38">
        <v>414.11354893012162</v>
      </c>
      <c r="G101" s="38">
        <v>0</v>
      </c>
      <c r="H101" s="38">
        <v>0</v>
      </c>
      <c r="I101" s="38" t="s">
        <v>1947</v>
      </c>
      <c r="J101" s="38"/>
      <c r="K101" s="38"/>
      <c r="L101" s="38">
        <v>400.26430403812111</v>
      </c>
      <c r="M101" s="38">
        <v>0.20866224140343231</v>
      </c>
      <c r="N101" s="38">
        <v>0.19797176603741204</v>
      </c>
      <c r="O101" s="38">
        <v>0</v>
      </c>
      <c r="P101" s="38">
        <v>0</v>
      </c>
      <c r="Q101" s="38">
        <v>0</v>
      </c>
      <c r="R101" s="38">
        <v>54.164281954737625</v>
      </c>
      <c r="S101" s="38">
        <v>13.410580420351993</v>
      </c>
      <c r="T101" s="38">
        <v>111.88109929019546</v>
      </c>
      <c r="U101" s="38">
        <v>96.781931863617586</v>
      </c>
      <c r="V101" s="38" t="s">
        <v>2116</v>
      </c>
      <c r="W101" s="38" t="s">
        <v>2116</v>
      </c>
      <c r="X101" s="38" t="s">
        <v>2116</v>
      </c>
      <c r="Y101" s="38" t="s">
        <v>2116</v>
      </c>
      <c r="Z101" s="38">
        <v>0</v>
      </c>
      <c r="AA101" s="38">
        <v>0</v>
      </c>
      <c r="AB101" s="38">
        <v>0</v>
      </c>
      <c r="AC101" s="38">
        <v>0</v>
      </c>
      <c r="AD101" s="38">
        <v>0</v>
      </c>
      <c r="AE101" s="38">
        <v>0</v>
      </c>
      <c r="AF101" s="38">
        <v>0</v>
      </c>
      <c r="AG101" s="38">
        <v>0</v>
      </c>
      <c r="AH101" s="38">
        <v>54.164281954737625</v>
      </c>
      <c r="AI101" s="38">
        <v>13.410580420351993</v>
      </c>
      <c r="AJ101" s="38">
        <v>111.88109929019546</v>
      </c>
      <c r="AK101" s="38">
        <v>96.781931863617586</v>
      </c>
      <c r="AL101" s="38">
        <v>276.23789352890265</v>
      </c>
      <c r="AM101" s="38">
        <v>210.93316673454106</v>
      </c>
      <c r="AN101" s="38">
        <v>73.730486870171902</v>
      </c>
      <c r="AO101" s="38">
        <v>28.466365360471297</v>
      </c>
      <c r="AP101" s="38">
        <v>0</v>
      </c>
      <c r="AQ101" s="38">
        <v>313.13001896518426</v>
      </c>
      <c r="AR101" s="38">
        <v>54.164281954737625</v>
      </c>
      <c r="AS101" s="49">
        <v>5.7811164048450108</v>
      </c>
      <c r="AT101" s="38">
        <v>210.93316673454106</v>
      </c>
      <c r="AU101" s="38">
        <v>83.405528133678587</v>
      </c>
      <c r="AV101" s="38">
        <v>29.433869486821965</v>
      </c>
      <c r="AW101" s="38">
        <v>0</v>
      </c>
      <c r="AX101" s="38">
        <v>323.7725643550416</v>
      </c>
      <c r="AY101" s="38">
        <v>13.410580420351993</v>
      </c>
      <c r="AZ101" s="49">
        <v>24.143068696988092</v>
      </c>
      <c r="BA101" s="38">
        <v>210.93316673454106</v>
      </c>
      <c r="BB101" s="38">
        <v>157.1360150038505</v>
      </c>
      <c r="BC101" s="38">
        <v>36.806918173839158</v>
      </c>
      <c r="BD101" s="38">
        <v>0</v>
      </c>
      <c r="BE101" s="38">
        <v>404.8760999122307</v>
      </c>
      <c r="BF101" s="38">
        <v>67.574862375089623</v>
      </c>
      <c r="BG101" s="38">
        <v>-23.230609728370464</v>
      </c>
      <c r="BH101" s="49">
        <v>5.9915194153836957</v>
      </c>
      <c r="BI101" s="38">
        <v>9.9571773733372488</v>
      </c>
      <c r="BJ101" s="38">
        <v>2.4653059748199744</v>
      </c>
      <c r="BK101" s="38">
        <v>20.567427650704627</v>
      </c>
      <c r="BL101" s="38">
        <v>17.79170381886674</v>
      </c>
      <c r="BM101" s="38">
        <v>50.781614817728588</v>
      </c>
      <c r="BN101" s="38">
        <v>210.93316673454106</v>
      </c>
      <c r="BO101" s="38">
        <v>0</v>
      </c>
      <c r="BP101" s="38">
        <v>157.1360150038505</v>
      </c>
      <c r="BQ101" s="38">
        <v>0</v>
      </c>
      <c r="BR101" s="38">
        <v>0</v>
      </c>
      <c r="BS101" s="38">
        <v>0</v>
      </c>
      <c r="BT101" s="38">
        <v>0</v>
      </c>
      <c r="BU101" s="38">
        <v>0</v>
      </c>
      <c r="BV101" s="38">
        <v>0</v>
      </c>
      <c r="BW101" s="38">
        <v>36.806918173839158</v>
      </c>
      <c r="BX101" s="38">
        <v>276.23789352890265</v>
      </c>
      <c r="BY101" s="38"/>
      <c r="BZ101" s="38">
        <v>0</v>
      </c>
      <c r="CA101" s="38">
        <v>0</v>
      </c>
      <c r="CB101" s="38">
        <v>404.87609991223076</v>
      </c>
      <c r="CC101" s="38">
        <v>276.23789352890265</v>
      </c>
      <c r="CD101" s="49">
        <v>1.4656790737142975</v>
      </c>
      <c r="CE101" s="38">
        <v>15.128521741200897</v>
      </c>
      <c r="CF101" s="38">
        <v>3.8025532887016733</v>
      </c>
      <c r="CG101" s="38">
        <v>0</v>
      </c>
      <c r="CH101" s="38">
        <v>3.8025532887016733</v>
      </c>
      <c r="CI101" s="38">
        <v>0.19012554441810753</v>
      </c>
      <c r="CJ101" s="38">
        <v>0</v>
      </c>
      <c r="CK101" s="38">
        <v>0.19012554441810753</v>
      </c>
      <c r="CL101" s="38"/>
      <c r="CM101" s="38">
        <v>0</v>
      </c>
      <c r="CN101" s="38"/>
      <c r="CO101" s="38">
        <v>0</v>
      </c>
      <c r="CP101" s="38">
        <v>0</v>
      </c>
      <c r="CQ101" s="38">
        <v>0</v>
      </c>
      <c r="CR101" s="38">
        <v>0</v>
      </c>
      <c r="CS101" s="38">
        <v>0</v>
      </c>
      <c r="CT101" s="38">
        <v>0</v>
      </c>
      <c r="CU101" s="38">
        <v>111.88109929019546</v>
      </c>
      <c r="CV101" s="38">
        <v>9999</v>
      </c>
      <c r="CW101" s="50">
        <v>0</v>
      </c>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row>
    <row r="102" spans="1:131">
      <c r="A102" s="27" t="s">
        <v>246</v>
      </c>
      <c r="B102" s="27" t="s">
        <v>70</v>
      </c>
      <c r="C102" s="38">
        <v>45</v>
      </c>
      <c r="D102" s="38">
        <v>70.759871439695004</v>
      </c>
      <c r="E102" s="38">
        <v>0</v>
      </c>
      <c r="F102" s="38">
        <v>436.41697398915824</v>
      </c>
      <c r="G102" s="38">
        <v>0</v>
      </c>
      <c r="H102" s="38">
        <v>0</v>
      </c>
      <c r="I102" s="38" t="s">
        <v>1947</v>
      </c>
      <c r="J102" s="38"/>
      <c r="K102" s="38"/>
      <c r="L102" s="38">
        <v>80.891595786455383</v>
      </c>
      <c r="M102" s="38">
        <v>4.216969017025976E-2</v>
      </c>
      <c r="N102" s="38">
        <v>4.0009193709923868E-2</v>
      </c>
      <c r="O102" s="38">
        <v>0</v>
      </c>
      <c r="P102" s="38">
        <v>0</v>
      </c>
      <c r="Q102" s="38">
        <v>0</v>
      </c>
      <c r="R102" s="38">
        <v>57.081474610170091</v>
      </c>
      <c r="S102" s="38">
        <v>14.132850619374087</v>
      </c>
      <c r="T102" s="38">
        <v>117.90681788836326</v>
      </c>
      <c r="U102" s="38">
        <v>101.99443594605039</v>
      </c>
      <c r="V102" s="38" t="s">
        <v>2116</v>
      </c>
      <c r="W102" s="38" t="s">
        <v>2116</v>
      </c>
      <c r="X102" s="38" t="s">
        <v>2116</v>
      </c>
      <c r="Y102" s="38" t="s">
        <v>2116</v>
      </c>
      <c r="Z102" s="38">
        <v>0</v>
      </c>
      <c r="AA102" s="38">
        <v>0</v>
      </c>
      <c r="AB102" s="38">
        <v>0</v>
      </c>
      <c r="AC102" s="38">
        <v>0</v>
      </c>
      <c r="AD102" s="38">
        <v>0</v>
      </c>
      <c r="AE102" s="38">
        <v>0</v>
      </c>
      <c r="AF102" s="38">
        <v>0</v>
      </c>
      <c r="AG102" s="38">
        <v>0</v>
      </c>
      <c r="AH102" s="38">
        <v>57.081474610170091</v>
      </c>
      <c r="AI102" s="38">
        <v>14.132850619374087</v>
      </c>
      <c r="AJ102" s="38">
        <v>117.90681788836326</v>
      </c>
      <c r="AK102" s="38">
        <v>101.99443594605039</v>
      </c>
      <c r="AL102" s="38">
        <v>291.1155790639578</v>
      </c>
      <c r="AM102" s="38">
        <v>42.628633853451063</v>
      </c>
      <c r="AN102" s="38">
        <v>14.900596133280159</v>
      </c>
      <c r="AO102" s="38">
        <v>5.7529229986731227</v>
      </c>
      <c r="AP102" s="38">
        <v>0</v>
      </c>
      <c r="AQ102" s="38">
        <v>63.282152985404345</v>
      </c>
      <c r="AR102" s="38">
        <v>57.081474610170091</v>
      </c>
      <c r="AS102" s="49">
        <v>1.1086285597486911</v>
      </c>
      <c r="AT102" s="38">
        <v>42.628633853451063</v>
      </c>
      <c r="AU102" s="38">
        <v>16.855877978823706</v>
      </c>
      <c r="AV102" s="38">
        <v>5.9484511832274771</v>
      </c>
      <c r="AW102" s="38">
        <v>0</v>
      </c>
      <c r="AX102" s="38">
        <v>65.432963015502253</v>
      </c>
      <c r="AY102" s="38">
        <v>14.132850619374087</v>
      </c>
      <c r="AZ102" s="49">
        <v>4.6298489085990306</v>
      </c>
      <c r="BA102" s="38">
        <v>42.628633853451063</v>
      </c>
      <c r="BB102" s="38">
        <v>31.756474112103867</v>
      </c>
      <c r="BC102" s="38">
        <v>7.4385107965554935</v>
      </c>
      <c r="BD102" s="38">
        <v>0</v>
      </c>
      <c r="BE102" s="38">
        <v>81.823618762110414</v>
      </c>
      <c r="BF102" s="38">
        <v>71.214325229544173</v>
      </c>
      <c r="BG102" s="38">
        <v>29.125882389542923</v>
      </c>
      <c r="BH102" s="49">
        <v>1.1489769579135862</v>
      </c>
      <c r="BI102" s="38">
        <v>51.923253241825428</v>
      </c>
      <c r="BJ102" s="38">
        <v>12.855722224245172</v>
      </c>
      <c r="BK102" s="38">
        <v>107.25205692328971</v>
      </c>
      <c r="BL102" s="38">
        <v>92.77761240492481</v>
      </c>
      <c r="BM102" s="38">
        <v>264.8086447942851</v>
      </c>
      <c r="BN102" s="38">
        <v>42.628633853451063</v>
      </c>
      <c r="BO102" s="38">
        <v>0</v>
      </c>
      <c r="BP102" s="38">
        <v>31.756474112103867</v>
      </c>
      <c r="BQ102" s="38">
        <v>0</v>
      </c>
      <c r="BR102" s="38">
        <v>0</v>
      </c>
      <c r="BS102" s="38">
        <v>0</v>
      </c>
      <c r="BT102" s="38">
        <v>0</v>
      </c>
      <c r="BU102" s="38">
        <v>0</v>
      </c>
      <c r="BV102" s="38">
        <v>0</v>
      </c>
      <c r="BW102" s="38">
        <v>7.4385107965554935</v>
      </c>
      <c r="BX102" s="38">
        <v>291.1155790639578</v>
      </c>
      <c r="BY102" s="38"/>
      <c r="BZ102" s="38">
        <v>0</v>
      </c>
      <c r="CA102" s="38">
        <v>0</v>
      </c>
      <c r="CB102" s="38">
        <v>81.823618762110414</v>
      </c>
      <c r="CC102" s="38">
        <v>291.1155790639578</v>
      </c>
      <c r="CD102" s="50">
        <v>0.28106918573441875</v>
      </c>
      <c r="CE102" s="38">
        <v>229.15555171775739</v>
      </c>
      <c r="CF102" s="38">
        <v>0.7684787288871433</v>
      </c>
      <c r="CG102" s="38">
        <v>0</v>
      </c>
      <c r="CH102" s="38">
        <v>0.7684787288871433</v>
      </c>
      <c r="CI102" s="38">
        <v>3.8423507998566316E-2</v>
      </c>
      <c r="CJ102" s="38">
        <v>0</v>
      </c>
      <c r="CK102" s="38">
        <v>3.8423507998566316E-2</v>
      </c>
      <c r="CL102" s="38"/>
      <c r="CM102" s="38">
        <v>0</v>
      </c>
      <c r="CN102" s="38"/>
      <c r="CO102" s="38">
        <v>0</v>
      </c>
      <c r="CP102" s="38">
        <v>0</v>
      </c>
      <c r="CQ102" s="38">
        <v>0</v>
      </c>
      <c r="CR102" s="38">
        <v>0</v>
      </c>
      <c r="CS102" s="38">
        <v>0</v>
      </c>
      <c r="CT102" s="38">
        <v>0</v>
      </c>
      <c r="CU102" s="38">
        <v>117.90681788836326</v>
      </c>
      <c r="CV102" s="38">
        <v>9999</v>
      </c>
      <c r="CW102" s="50">
        <v>0</v>
      </c>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row>
    <row r="103" spans="1:131">
      <c r="A103" s="27" t="s">
        <v>247</v>
      </c>
      <c r="B103" s="27" t="s">
        <v>71</v>
      </c>
      <c r="C103" s="38">
        <v>45</v>
      </c>
      <c r="D103" s="38">
        <v>91.444720355577289</v>
      </c>
      <c r="E103" s="38">
        <v>0</v>
      </c>
      <c r="F103" s="38">
        <v>689.07943261446042</v>
      </c>
      <c r="G103" s="38">
        <v>0</v>
      </c>
      <c r="H103" s="38">
        <v>0</v>
      </c>
      <c r="I103" s="38" t="s">
        <v>1947</v>
      </c>
      <c r="J103" s="38"/>
      <c r="K103" s="38"/>
      <c r="L103" s="38">
        <v>104.5381966544835</v>
      </c>
      <c r="M103" s="38">
        <v>5.4496926671032425E-2</v>
      </c>
      <c r="N103" s="38">
        <v>5.1704864014262261E-2</v>
      </c>
      <c r="O103" s="38">
        <v>0</v>
      </c>
      <c r="P103" s="38">
        <v>0</v>
      </c>
      <c r="Q103" s="38">
        <v>0</v>
      </c>
      <c r="R103" s="38">
        <v>90.128644121321173</v>
      </c>
      <c r="S103" s="38">
        <v>22.315027293748564</v>
      </c>
      <c r="T103" s="38">
        <v>186.16865982373153</v>
      </c>
      <c r="U103" s="38">
        <v>161.04384623060588</v>
      </c>
      <c r="V103" s="38" t="s">
        <v>2116</v>
      </c>
      <c r="W103" s="38" t="s">
        <v>2116</v>
      </c>
      <c r="X103" s="38" t="s">
        <v>2116</v>
      </c>
      <c r="Y103" s="38" t="s">
        <v>2116</v>
      </c>
      <c r="Z103" s="38">
        <v>0</v>
      </c>
      <c r="AA103" s="38">
        <v>0</v>
      </c>
      <c r="AB103" s="38">
        <v>0</v>
      </c>
      <c r="AC103" s="38">
        <v>0</v>
      </c>
      <c r="AD103" s="38">
        <v>0</v>
      </c>
      <c r="AE103" s="38">
        <v>0</v>
      </c>
      <c r="AF103" s="38">
        <v>0</v>
      </c>
      <c r="AG103" s="38">
        <v>0</v>
      </c>
      <c r="AH103" s="38">
        <v>90.128644121321173</v>
      </c>
      <c r="AI103" s="38">
        <v>22.315027293748564</v>
      </c>
      <c r="AJ103" s="38">
        <v>186.16865982373153</v>
      </c>
      <c r="AK103" s="38">
        <v>161.04384623060588</v>
      </c>
      <c r="AL103" s="38">
        <v>459.65617746940717</v>
      </c>
      <c r="AM103" s="38">
        <v>55.090030868574019</v>
      </c>
      <c r="AN103" s="38">
        <v>19.256406474684706</v>
      </c>
      <c r="AO103" s="38">
        <v>7.4346437343258724</v>
      </c>
      <c r="AP103" s="38">
        <v>0</v>
      </c>
      <c r="AQ103" s="38">
        <v>81.781081077584602</v>
      </c>
      <c r="AR103" s="38">
        <v>90.128644121321173</v>
      </c>
      <c r="AS103" s="50">
        <v>0.90738168619845194</v>
      </c>
      <c r="AT103" s="38">
        <v>55.090030868574019</v>
      </c>
      <c r="AU103" s="38">
        <v>21.783265242855997</v>
      </c>
      <c r="AV103" s="38">
        <v>7.6873296111430021</v>
      </c>
      <c r="AW103" s="38">
        <v>0</v>
      </c>
      <c r="AX103" s="38">
        <v>84.560625722573022</v>
      </c>
      <c r="AY103" s="38">
        <v>22.315027293748564</v>
      </c>
      <c r="AZ103" s="49">
        <v>3.7894027468325002</v>
      </c>
      <c r="BA103" s="38">
        <v>55.090030868574019</v>
      </c>
      <c r="BB103" s="38">
        <v>41.039671717540699</v>
      </c>
      <c r="BC103" s="38">
        <v>9.6129702586114725</v>
      </c>
      <c r="BD103" s="38">
        <v>0</v>
      </c>
      <c r="BE103" s="38">
        <v>105.7426728447262</v>
      </c>
      <c r="BF103" s="38">
        <v>112.44367141506973</v>
      </c>
      <c r="BG103" s="38">
        <v>43.493117790724625</v>
      </c>
      <c r="BH103" s="50">
        <v>0.94040572949981549</v>
      </c>
      <c r="BI103" s="38">
        <v>63.439236579833107</v>
      </c>
      <c r="BJ103" s="38">
        <v>15.706974287419207</v>
      </c>
      <c r="BK103" s="38">
        <v>131.0393357122995</v>
      </c>
      <c r="BL103" s="38">
        <v>113.35462505124734</v>
      </c>
      <c r="BM103" s="38">
        <v>323.54017163079919</v>
      </c>
      <c r="BN103" s="38">
        <v>55.090030868574019</v>
      </c>
      <c r="BO103" s="38">
        <v>0</v>
      </c>
      <c r="BP103" s="38">
        <v>41.039671717540699</v>
      </c>
      <c r="BQ103" s="38">
        <v>0</v>
      </c>
      <c r="BR103" s="38">
        <v>0</v>
      </c>
      <c r="BS103" s="38">
        <v>0</v>
      </c>
      <c r="BT103" s="38">
        <v>0</v>
      </c>
      <c r="BU103" s="38">
        <v>0</v>
      </c>
      <c r="BV103" s="38">
        <v>0</v>
      </c>
      <c r="BW103" s="38">
        <v>9.6129702586114725</v>
      </c>
      <c r="BX103" s="38">
        <v>459.65617746940717</v>
      </c>
      <c r="BY103" s="38"/>
      <c r="BZ103" s="38">
        <v>0</v>
      </c>
      <c r="CA103" s="38">
        <v>0</v>
      </c>
      <c r="CB103" s="38">
        <v>105.7426728447262</v>
      </c>
      <c r="CC103" s="38">
        <v>459.65617746940717</v>
      </c>
      <c r="CD103" s="50">
        <v>0.23004732238535835</v>
      </c>
      <c r="CE103" s="38">
        <v>287.88707855427145</v>
      </c>
      <c r="CF103" s="38">
        <v>0.99312394203803223</v>
      </c>
      <c r="CG103" s="38">
        <v>0</v>
      </c>
      <c r="CH103" s="38">
        <v>0.99312394203803223</v>
      </c>
      <c r="CI103" s="38">
        <v>4.9655643410879656E-2</v>
      </c>
      <c r="CJ103" s="38">
        <v>0</v>
      </c>
      <c r="CK103" s="38">
        <v>4.9655643410879656E-2</v>
      </c>
      <c r="CL103" s="38"/>
      <c r="CM103" s="38">
        <v>0</v>
      </c>
      <c r="CN103" s="38"/>
      <c r="CO103" s="38">
        <v>0</v>
      </c>
      <c r="CP103" s="38">
        <v>0</v>
      </c>
      <c r="CQ103" s="38">
        <v>0</v>
      </c>
      <c r="CR103" s="38">
        <v>0</v>
      </c>
      <c r="CS103" s="38">
        <v>0</v>
      </c>
      <c r="CT103" s="38">
        <v>0</v>
      </c>
      <c r="CU103" s="38">
        <v>186.16865982373153</v>
      </c>
      <c r="CV103" s="38">
        <v>9999</v>
      </c>
      <c r="CW103" s="50">
        <v>0</v>
      </c>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row>
    <row r="104" spans="1:131">
      <c r="A104" s="27" t="s">
        <v>1676</v>
      </c>
      <c r="B104" s="27" t="s">
        <v>1201</v>
      </c>
      <c r="C104" s="38">
        <v>45</v>
      </c>
      <c r="D104" s="38">
        <v>104.85086836591684</v>
      </c>
      <c r="E104" s="38">
        <v>0</v>
      </c>
      <c r="F104" s="38">
        <v>239.1087012654321</v>
      </c>
      <c r="G104" s="38">
        <v>0</v>
      </c>
      <c r="H104" s="38">
        <v>0</v>
      </c>
      <c r="I104" s="38" t="s">
        <v>1947</v>
      </c>
      <c r="J104" s="38"/>
      <c r="K104" s="38"/>
      <c r="L104" s="38">
        <v>119.86389869211362</v>
      </c>
      <c r="M104" s="38">
        <v>6.248638590082297E-2</v>
      </c>
      <c r="N104" s="38">
        <v>5.928499611083772E-2</v>
      </c>
      <c r="O104" s="38">
        <v>0</v>
      </c>
      <c r="P104" s="38">
        <v>0</v>
      </c>
      <c r="Q104" s="38">
        <v>0</v>
      </c>
      <c r="R104" s="38">
        <v>31.274395987843899</v>
      </c>
      <c r="S104" s="38">
        <v>7.7432541770496002</v>
      </c>
      <c r="T104" s="38">
        <v>64.600021942150065</v>
      </c>
      <c r="U104" s="38">
        <v>55.881779511092674</v>
      </c>
      <c r="V104" s="38" t="s">
        <v>2116</v>
      </c>
      <c r="W104" s="38" t="s">
        <v>2116</v>
      </c>
      <c r="X104" s="38" t="s">
        <v>2116</v>
      </c>
      <c r="Y104" s="38" t="s">
        <v>2116</v>
      </c>
      <c r="Z104" s="38">
        <v>0</v>
      </c>
      <c r="AA104" s="38">
        <v>0</v>
      </c>
      <c r="AB104" s="38">
        <v>0</v>
      </c>
      <c r="AC104" s="38">
        <v>0</v>
      </c>
      <c r="AD104" s="38">
        <v>0</v>
      </c>
      <c r="AE104" s="38">
        <v>0</v>
      </c>
      <c r="AF104" s="38">
        <v>0</v>
      </c>
      <c r="AG104" s="38">
        <v>0</v>
      </c>
      <c r="AH104" s="38">
        <v>31.274395987843899</v>
      </c>
      <c r="AI104" s="38">
        <v>7.7432541770496002</v>
      </c>
      <c r="AJ104" s="38">
        <v>64.600021942150065</v>
      </c>
      <c r="AK104" s="38">
        <v>55.881779511092674</v>
      </c>
      <c r="AL104" s="38">
        <v>159.49945161813622</v>
      </c>
      <c r="AM104" s="38">
        <v>63.166441456812372</v>
      </c>
      <c r="AN104" s="38">
        <v>22.079469789254063</v>
      </c>
      <c r="AO104" s="38">
        <v>8.5245911246066441</v>
      </c>
      <c r="AP104" s="38">
        <v>0</v>
      </c>
      <c r="AQ104" s="38">
        <v>93.770502370673086</v>
      </c>
      <c r="AR104" s="38">
        <v>31.274395987843899</v>
      </c>
      <c r="AS104" s="49">
        <v>2.9983153761665262</v>
      </c>
      <c r="AT104" s="38">
        <v>63.166441456812372</v>
      </c>
      <c r="AU104" s="38">
        <v>24.97677577969916</v>
      </c>
      <c r="AV104" s="38">
        <v>8.8143217236511529</v>
      </c>
      <c r="AW104" s="38">
        <v>0</v>
      </c>
      <c r="AX104" s="38">
        <v>96.95753896016268</v>
      </c>
      <c r="AY104" s="38">
        <v>7.7432541770496002</v>
      </c>
      <c r="AZ104" s="49">
        <v>12.521549305140628</v>
      </c>
      <c r="BA104" s="38">
        <v>63.166441456812372</v>
      </c>
      <c r="BB104" s="38">
        <v>47.056245568953223</v>
      </c>
      <c r="BC104" s="38">
        <v>11.022268702576561</v>
      </c>
      <c r="BD104" s="38">
        <v>0</v>
      </c>
      <c r="BE104" s="38">
        <v>121.24495572834215</v>
      </c>
      <c r="BF104" s="38">
        <v>39.017650164893496</v>
      </c>
      <c r="BG104" s="38">
        <v>-11.701035583241151</v>
      </c>
      <c r="BH104" s="49">
        <v>3.1074386903349054</v>
      </c>
      <c r="BI104" s="38">
        <v>19.198647986306565</v>
      </c>
      <c r="BJ104" s="38">
        <v>4.7534095069799633</v>
      </c>
      <c r="BK104" s="38">
        <v>39.656499893941607</v>
      </c>
      <c r="BL104" s="38">
        <v>34.304567036206763</v>
      </c>
      <c r="BM104" s="38">
        <v>97.913124423434894</v>
      </c>
      <c r="BN104" s="38">
        <v>63.166441456812372</v>
      </c>
      <c r="BO104" s="38">
        <v>0</v>
      </c>
      <c r="BP104" s="38">
        <v>47.056245568953223</v>
      </c>
      <c r="BQ104" s="38">
        <v>0</v>
      </c>
      <c r="BR104" s="38">
        <v>0</v>
      </c>
      <c r="BS104" s="38">
        <v>0</v>
      </c>
      <c r="BT104" s="38">
        <v>0</v>
      </c>
      <c r="BU104" s="38">
        <v>0</v>
      </c>
      <c r="BV104" s="38">
        <v>0</v>
      </c>
      <c r="BW104" s="38">
        <v>11.022268702576561</v>
      </c>
      <c r="BX104" s="38">
        <v>159.49945161813622</v>
      </c>
      <c r="BY104" s="38"/>
      <c r="BZ104" s="38">
        <v>0</v>
      </c>
      <c r="CA104" s="38">
        <v>0</v>
      </c>
      <c r="CB104" s="38">
        <v>121.24495572834215</v>
      </c>
      <c r="CC104" s="38">
        <v>159.49945161813622</v>
      </c>
      <c r="CD104" s="50">
        <v>0.76015907577299613</v>
      </c>
      <c r="CE104" s="38">
        <v>62.260031346907219</v>
      </c>
      <c r="CF104" s="38">
        <v>1.138719734860224</v>
      </c>
      <c r="CG104" s="38">
        <v>0</v>
      </c>
      <c r="CH104" s="38">
        <v>1.138719734860224</v>
      </c>
      <c r="CI104" s="38">
        <v>5.6935351878753981E-2</v>
      </c>
      <c r="CJ104" s="38">
        <v>0</v>
      </c>
      <c r="CK104" s="38">
        <v>5.6935351878753981E-2</v>
      </c>
      <c r="CL104" s="38"/>
      <c r="CM104" s="38">
        <v>0</v>
      </c>
      <c r="CN104" s="38"/>
      <c r="CO104" s="38">
        <v>0</v>
      </c>
      <c r="CP104" s="38">
        <v>0</v>
      </c>
      <c r="CQ104" s="38">
        <v>0</v>
      </c>
      <c r="CR104" s="38">
        <v>0</v>
      </c>
      <c r="CS104" s="38">
        <v>0</v>
      </c>
      <c r="CT104" s="38">
        <v>0</v>
      </c>
      <c r="CU104" s="38">
        <v>64.600021942150065</v>
      </c>
      <c r="CV104" s="38">
        <v>9999</v>
      </c>
      <c r="CW104" s="50">
        <v>0</v>
      </c>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row>
    <row r="105" spans="1:131">
      <c r="A105" s="27" t="s">
        <v>241</v>
      </c>
      <c r="B105" s="27" t="s">
        <v>65</v>
      </c>
      <c r="C105" s="38">
        <v>45</v>
      </c>
      <c r="D105" s="38">
        <v>143.03235276320603</v>
      </c>
      <c r="E105" s="38">
        <v>0</v>
      </c>
      <c r="F105" s="38">
        <v>478.21740253086421</v>
      </c>
      <c r="G105" s="38">
        <v>0</v>
      </c>
      <c r="H105" s="38">
        <v>0</v>
      </c>
      <c r="I105" s="38" t="s">
        <v>1947</v>
      </c>
      <c r="J105" s="38"/>
      <c r="K105" s="38"/>
      <c r="L105" s="38">
        <v>163.51238390770072</v>
      </c>
      <c r="M105" s="38">
        <v>8.5240827571148772E-2</v>
      </c>
      <c r="N105" s="38">
        <v>8.0873650447010212E-2</v>
      </c>
      <c r="O105" s="38">
        <v>0</v>
      </c>
      <c r="P105" s="38">
        <v>0</v>
      </c>
      <c r="Q105" s="38">
        <v>0</v>
      </c>
      <c r="R105" s="38">
        <v>62.548791975687799</v>
      </c>
      <c r="S105" s="38">
        <v>15.4865083540992</v>
      </c>
      <c r="T105" s="38">
        <v>129.20004388430013</v>
      </c>
      <c r="U105" s="38">
        <v>111.76355902218535</v>
      </c>
      <c r="V105" s="38" t="s">
        <v>2116</v>
      </c>
      <c r="W105" s="38" t="s">
        <v>2116</v>
      </c>
      <c r="X105" s="38" t="s">
        <v>2116</v>
      </c>
      <c r="Y105" s="38" t="s">
        <v>2116</v>
      </c>
      <c r="Z105" s="38">
        <v>0</v>
      </c>
      <c r="AA105" s="38">
        <v>0</v>
      </c>
      <c r="AB105" s="38">
        <v>0</v>
      </c>
      <c r="AC105" s="38">
        <v>0</v>
      </c>
      <c r="AD105" s="38">
        <v>0</v>
      </c>
      <c r="AE105" s="38">
        <v>0</v>
      </c>
      <c r="AF105" s="38">
        <v>0</v>
      </c>
      <c r="AG105" s="38">
        <v>0</v>
      </c>
      <c r="AH105" s="38">
        <v>62.548791975687799</v>
      </c>
      <c r="AI105" s="38">
        <v>15.4865083540992</v>
      </c>
      <c r="AJ105" s="38">
        <v>129.20004388430013</v>
      </c>
      <c r="AK105" s="38">
        <v>111.76355902218535</v>
      </c>
      <c r="AL105" s="38">
        <v>318.99890323627244</v>
      </c>
      <c r="AM105" s="38">
        <v>86.16852562171124</v>
      </c>
      <c r="AN105" s="38">
        <v>30.119717279782808</v>
      </c>
      <c r="AO105" s="38">
        <v>11.628824290149405</v>
      </c>
      <c r="AP105" s="38">
        <v>0</v>
      </c>
      <c r="AQ105" s="38">
        <v>127.91706719164345</v>
      </c>
      <c r="AR105" s="38">
        <v>62.548791975687799</v>
      </c>
      <c r="AS105" s="49">
        <v>2.0450765418677275</v>
      </c>
      <c r="AT105" s="38">
        <v>86.16852562171124</v>
      </c>
      <c r="AU105" s="38">
        <v>34.072078370795019</v>
      </c>
      <c r="AV105" s="38">
        <v>12.024060399250626</v>
      </c>
      <c r="AW105" s="38">
        <v>0</v>
      </c>
      <c r="AX105" s="38">
        <v>132.2646643917569</v>
      </c>
      <c r="AY105" s="38">
        <v>15.4865083540992</v>
      </c>
      <c r="AZ105" s="49">
        <v>8.5406381714666573</v>
      </c>
      <c r="BA105" s="38">
        <v>86.16852562171124</v>
      </c>
      <c r="BB105" s="38">
        <v>64.191795650577831</v>
      </c>
      <c r="BC105" s="38">
        <v>15.036032127228907</v>
      </c>
      <c r="BD105" s="38">
        <v>0</v>
      </c>
      <c r="BE105" s="38">
        <v>165.39635339951798</v>
      </c>
      <c r="BF105" s="38">
        <v>78.035300329786992</v>
      </c>
      <c r="BG105" s="38">
        <v>-0.53664593985589415</v>
      </c>
      <c r="BH105" s="49">
        <v>2.1195068475488936</v>
      </c>
      <c r="BI105" s="38">
        <v>28.147406847853112</v>
      </c>
      <c r="BJ105" s="38">
        <v>6.9690402888186709</v>
      </c>
      <c r="BK105" s="38">
        <v>58.140950210283947</v>
      </c>
      <c r="BL105" s="38">
        <v>50.29440644967633</v>
      </c>
      <c r="BM105" s="38">
        <v>143.55180379663204</v>
      </c>
      <c r="BN105" s="38">
        <v>86.16852562171124</v>
      </c>
      <c r="BO105" s="38">
        <v>0</v>
      </c>
      <c r="BP105" s="38">
        <v>64.191795650577831</v>
      </c>
      <c r="BQ105" s="38">
        <v>0</v>
      </c>
      <c r="BR105" s="38">
        <v>0</v>
      </c>
      <c r="BS105" s="38">
        <v>0</v>
      </c>
      <c r="BT105" s="38">
        <v>0</v>
      </c>
      <c r="BU105" s="38">
        <v>0</v>
      </c>
      <c r="BV105" s="38">
        <v>0</v>
      </c>
      <c r="BW105" s="38">
        <v>15.036032127228907</v>
      </c>
      <c r="BX105" s="38">
        <v>318.99890323627244</v>
      </c>
      <c r="BY105" s="38"/>
      <c r="BZ105" s="38">
        <v>0</v>
      </c>
      <c r="CA105" s="38">
        <v>0</v>
      </c>
      <c r="CB105" s="38">
        <v>165.39635339951798</v>
      </c>
      <c r="CC105" s="38">
        <v>318.99890323627244</v>
      </c>
      <c r="CD105" s="50">
        <v>0.51848564907765249</v>
      </c>
      <c r="CE105" s="38">
        <v>107.89871072010436</v>
      </c>
      <c r="CF105" s="38">
        <v>1.553384968129611</v>
      </c>
      <c r="CG105" s="38">
        <v>0</v>
      </c>
      <c r="CH105" s="38">
        <v>1.553384968129611</v>
      </c>
      <c r="CI105" s="38">
        <v>7.7668382356157861E-2</v>
      </c>
      <c r="CJ105" s="38">
        <v>0</v>
      </c>
      <c r="CK105" s="38">
        <v>7.7668382356157861E-2</v>
      </c>
      <c r="CL105" s="38"/>
      <c r="CM105" s="38">
        <v>0</v>
      </c>
      <c r="CN105" s="38"/>
      <c r="CO105" s="38">
        <v>0</v>
      </c>
      <c r="CP105" s="38">
        <v>0</v>
      </c>
      <c r="CQ105" s="38">
        <v>0</v>
      </c>
      <c r="CR105" s="38">
        <v>0</v>
      </c>
      <c r="CS105" s="38">
        <v>0</v>
      </c>
      <c r="CT105" s="38">
        <v>0</v>
      </c>
      <c r="CU105" s="38">
        <v>129.20004388430013</v>
      </c>
      <c r="CV105" s="38">
        <v>9999</v>
      </c>
      <c r="CW105" s="50">
        <v>0</v>
      </c>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row>
    <row r="106" spans="1:131">
      <c r="A106" s="27" t="s">
        <v>242</v>
      </c>
      <c r="B106" s="27" t="s">
        <v>66</v>
      </c>
      <c r="C106" s="38">
        <v>45</v>
      </c>
      <c r="D106" s="38">
        <v>151.85277255595079</v>
      </c>
      <c r="E106" s="38">
        <v>0</v>
      </c>
      <c r="F106" s="38">
        <v>616.64875589506164</v>
      </c>
      <c r="G106" s="38">
        <v>0</v>
      </c>
      <c r="H106" s="38">
        <v>0</v>
      </c>
      <c r="I106" s="38" t="s">
        <v>1947</v>
      </c>
      <c r="J106" s="38"/>
      <c r="K106" s="38"/>
      <c r="L106" s="38">
        <v>173.59575203746954</v>
      </c>
      <c r="M106" s="38">
        <v>9.0497399725165059E-2</v>
      </c>
      <c r="N106" s="38">
        <v>8.5860910555185063E-2</v>
      </c>
      <c r="O106" s="38">
        <v>0</v>
      </c>
      <c r="P106" s="38">
        <v>0</v>
      </c>
      <c r="Q106" s="38">
        <v>0</v>
      </c>
      <c r="R106" s="38">
        <v>80.655021231807922</v>
      </c>
      <c r="S106" s="38">
        <v>19.969444982917384</v>
      </c>
      <c r="T106" s="38">
        <v>166.60005658765016</v>
      </c>
      <c r="U106" s="38">
        <v>144.11616821281794</v>
      </c>
      <c r="V106" s="38" t="s">
        <v>2116</v>
      </c>
      <c r="W106" s="38" t="s">
        <v>2116</v>
      </c>
      <c r="X106" s="38" t="s">
        <v>2116</v>
      </c>
      <c r="Y106" s="38" t="s">
        <v>2116</v>
      </c>
      <c r="Z106" s="38">
        <v>0</v>
      </c>
      <c r="AA106" s="38">
        <v>0</v>
      </c>
      <c r="AB106" s="38">
        <v>0</v>
      </c>
      <c r="AC106" s="38">
        <v>0</v>
      </c>
      <c r="AD106" s="38">
        <v>0</v>
      </c>
      <c r="AE106" s="38">
        <v>0</v>
      </c>
      <c r="AF106" s="38">
        <v>0</v>
      </c>
      <c r="AG106" s="38">
        <v>0</v>
      </c>
      <c r="AH106" s="38">
        <v>80.655021231807922</v>
      </c>
      <c r="AI106" s="38">
        <v>19.969444982917384</v>
      </c>
      <c r="AJ106" s="38">
        <v>166.60005658765016</v>
      </c>
      <c r="AK106" s="38">
        <v>144.11616821281794</v>
      </c>
      <c r="AL106" s="38">
        <v>411.34069101519344</v>
      </c>
      <c r="AM106" s="38">
        <v>91.482306414813763</v>
      </c>
      <c r="AN106" s="38">
        <v>31.977119086535531</v>
      </c>
      <c r="AO106" s="38">
        <v>12.34594255013493</v>
      </c>
      <c r="AP106" s="38">
        <v>0</v>
      </c>
      <c r="AQ106" s="38">
        <v>135.80536805148424</v>
      </c>
      <c r="AR106" s="38">
        <v>80.655021231807922</v>
      </c>
      <c r="AS106" s="49">
        <v>1.6837806992967064</v>
      </c>
      <c r="AT106" s="38">
        <v>91.482306414813763</v>
      </c>
      <c r="AU106" s="38">
        <v>36.173211636352413</v>
      </c>
      <c r="AV106" s="38">
        <v>12.765551805116619</v>
      </c>
      <c r="AW106" s="38">
        <v>0</v>
      </c>
      <c r="AX106" s="38">
        <v>140.4210698562828</v>
      </c>
      <c r="AY106" s="38">
        <v>19.969444982917384</v>
      </c>
      <c r="AZ106" s="49">
        <v>7.0317963256567362</v>
      </c>
      <c r="BA106" s="38">
        <v>91.482306414813763</v>
      </c>
      <c r="BB106" s="38">
        <v>68.150330722887944</v>
      </c>
      <c r="BC106" s="38">
        <v>15.963263713770171</v>
      </c>
      <c r="BD106" s="38">
        <v>0</v>
      </c>
      <c r="BE106" s="38">
        <v>175.5959008514719</v>
      </c>
      <c r="BF106" s="38">
        <v>100.6244662147253</v>
      </c>
      <c r="BG106" s="38">
        <v>6.9984364860466997</v>
      </c>
      <c r="BH106" s="49">
        <v>1.7450616878479932</v>
      </c>
      <c r="BI106" s="38">
        <v>34.187113252334505</v>
      </c>
      <c r="BJ106" s="38">
        <v>8.4644163102398888</v>
      </c>
      <c r="BK106" s="38">
        <v>70.616496225794407</v>
      </c>
      <c r="BL106" s="38">
        <v>61.086286866428459</v>
      </c>
      <c r="BM106" s="38">
        <v>174.35431265479727</v>
      </c>
      <c r="BN106" s="38">
        <v>91.482306414813763</v>
      </c>
      <c r="BO106" s="38">
        <v>0</v>
      </c>
      <c r="BP106" s="38">
        <v>68.150330722887944</v>
      </c>
      <c r="BQ106" s="38">
        <v>0</v>
      </c>
      <c r="BR106" s="38">
        <v>0</v>
      </c>
      <c r="BS106" s="38">
        <v>0</v>
      </c>
      <c r="BT106" s="38">
        <v>0</v>
      </c>
      <c r="BU106" s="38">
        <v>0</v>
      </c>
      <c r="BV106" s="38">
        <v>0</v>
      </c>
      <c r="BW106" s="38">
        <v>15.963263713770171</v>
      </c>
      <c r="BX106" s="38">
        <v>411.34069101519344</v>
      </c>
      <c r="BY106" s="38"/>
      <c r="BZ106" s="38">
        <v>0</v>
      </c>
      <c r="CA106" s="38">
        <v>0</v>
      </c>
      <c r="CB106" s="38">
        <v>175.5959008514719</v>
      </c>
      <c r="CC106" s="38">
        <v>411.34069101519344</v>
      </c>
      <c r="CD106" s="50">
        <v>0.42688677460549612</v>
      </c>
      <c r="CE106" s="38">
        <v>138.70121957826959</v>
      </c>
      <c r="CF106" s="38">
        <v>1.6491780335022097</v>
      </c>
      <c r="CG106" s="38">
        <v>0</v>
      </c>
      <c r="CH106" s="38">
        <v>1.6491780335022097</v>
      </c>
      <c r="CI106" s="38">
        <v>8.2457982217798029E-2</v>
      </c>
      <c r="CJ106" s="38">
        <v>0</v>
      </c>
      <c r="CK106" s="38">
        <v>8.2457982217798029E-2</v>
      </c>
      <c r="CL106" s="38"/>
      <c r="CM106" s="38">
        <v>0</v>
      </c>
      <c r="CN106" s="38"/>
      <c r="CO106" s="38">
        <v>0</v>
      </c>
      <c r="CP106" s="38">
        <v>0</v>
      </c>
      <c r="CQ106" s="38">
        <v>0</v>
      </c>
      <c r="CR106" s="38">
        <v>0</v>
      </c>
      <c r="CS106" s="38">
        <v>0</v>
      </c>
      <c r="CT106" s="38">
        <v>0</v>
      </c>
      <c r="CU106" s="38">
        <v>166.60005658765016</v>
      </c>
      <c r="CV106" s="38">
        <v>9999</v>
      </c>
      <c r="CW106" s="50">
        <v>0</v>
      </c>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row>
    <row r="107" spans="1:131">
      <c r="A107" s="27" t="s">
        <v>1677</v>
      </c>
      <c r="B107" s="27" t="s">
        <v>1202</v>
      </c>
      <c r="C107" s="38">
        <v>45</v>
      </c>
      <c r="D107" s="38">
        <v>27.624173265655006</v>
      </c>
      <c r="E107" s="38">
        <v>0</v>
      </c>
      <c r="F107" s="38">
        <v>138.43135336419752</v>
      </c>
      <c r="G107" s="38">
        <v>0</v>
      </c>
      <c r="H107" s="38">
        <v>0</v>
      </c>
      <c r="I107" s="38" t="s">
        <v>1947</v>
      </c>
      <c r="J107" s="38"/>
      <c r="K107" s="38"/>
      <c r="L107" s="38">
        <v>31.579529644069172</v>
      </c>
      <c r="M107" s="38">
        <v>1.6462760659691576E-2</v>
      </c>
      <c r="N107" s="38">
        <v>1.5619317513938875E-2</v>
      </c>
      <c r="O107" s="38">
        <v>0</v>
      </c>
      <c r="P107" s="38">
        <v>0</v>
      </c>
      <c r="Q107" s="38">
        <v>0</v>
      </c>
      <c r="R107" s="38">
        <v>18.106229256120152</v>
      </c>
      <c r="S107" s="38">
        <v>4.4829366288181891</v>
      </c>
      <c r="T107" s="38">
        <v>37.400012703350043</v>
      </c>
      <c r="U107" s="38">
        <v>32.352609190632599</v>
      </c>
      <c r="V107" s="38" t="s">
        <v>2116</v>
      </c>
      <c r="W107" s="38" t="s">
        <v>2116</v>
      </c>
      <c r="X107" s="38" t="s">
        <v>2116</v>
      </c>
      <c r="Y107" s="38" t="s">
        <v>2116</v>
      </c>
      <c r="Z107" s="38">
        <v>0</v>
      </c>
      <c r="AA107" s="38">
        <v>0</v>
      </c>
      <c r="AB107" s="38">
        <v>0</v>
      </c>
      <c r="AC107" s="38">
        <v>0</v>
      </c>
      <c r="AD107" s="38">
        <v>0</v>
      </c>
      <c r="AE107" s="38">
        <v>0</v>
      </c>
      <c r="AF107" s="38">
        <v>0</v>
      </c>
      <c r="AG107" s="38">
        <v>0</v>
      </c>
      <c r="AH107" s="38">
        <v>18.106229256120152</v>
      </c>
      <c r="AI107" s="38">
        <v>4.4829366288181891</v>
      </c>
      <c r="AJ107" s="38">
        <v>37.400012703350043</v>
      </c>
      <c r="AK107" s="38">
        <v>32.352609190632599</v>
      </c>
      <c r="AL107" s="38">
        <v>92.341787778920974</v>
      </c>
      <c r="AM107" s="38">
        <v>16.64192915683136</v>
      </c>
      <c r="AN107" s="38">
        <v>5.8170915375119039</v>
      </c>
      <c r="AO107" s="38">
        <v>2.2459020694343264</v>
      </c>
      <c r="AP107" s="38">
        <v>0</v>
      </c>
      <c r="AQ107" s="38">
        <v>24.704922763777589</v>
      </c>
      <c r="AR107" s="38">
        <v>18.106229256120152</v>
      </c>
      <c r="AS107" s="49">
        <v>1.364443276085604</v>
      </c>
      <c r="AT107" s="38">
        <v>16.64192915683136</v>
      </c>
      <c r="AU107" s="38">
        <v>6.5804202913030592</v>
      </c>
      <c r="AV107" s="38">
        <v>2.3222349448134421</v>
      </c>
      <c r="AW107" s="38">
        <v>0</v>
      </c>
      <c r="AX107" s="38">
        <v>25.544584392947861</v>
      </c>
      <c r="AY107" s="38">
        <v>4.4829366288181891</v>
      </c>
      <c r="AZ107" s="49">
        <v>5.6981810157066697</v>
      </c>
      <c r="BA107" s="38">
        <v>16.64192915683136</v>
      </c>
      <c r="BB107" s="38">
        <v>12.397511828814963</v>
      </c>
      <c r="BC107" s="38">
        <v>2.9039440985646325</v>
      </c>
      <c r="BD107" s="38">
        <v>0</v>
      </c>
      <c r="BE107" s="38">
        <v>31.943385084210956</v>
      </c>
      <c r="BF107" s="38">
        <v>22.589165884938339</v>
      </c>
      <c r="BG107" s="38">
        <v>16.980697958725276</v>
      </c>
      <c r="BH107" s="49">
        <v>1.4141020189465996</v>
      </c>
      <c r="BI107" s="38">
        <v>42.188343383605769</v>
      </c>
      <c r="BJ107" s="38">
        <v>10.445447651647187</v>
      </c>
      <c r="BK107" s="38">
        <v>87.143742419301191</v>
      </c>
      <c r="BL107" s="38">
        <v>75.383061077096016</v>
      </c>
      <c r="BM107" s="38">
        <v>215.16059453165013</v>
      </c>
      <c r="BN107" s="38">
        <v>16.64192915683136</v>
      </c>
      <c r="BO107" s="38">
        <v>0</v>
      </c>
      <c r="BP107" s="38">
        <v>12.397511828814963</v>
      </c>
      <c r="BQ107" s="38">
        <v>0</v>
      </c>
      <c r="BR107" s="38">
        <v>0</v>
      </c>
      <c r="BS107" s="38">
        <v>0</v>
      </c>
      <c r="BT107" s="38">
        <v>0</v>
      </c>
      <c r="BU107" s="38">
        <v>0</v>
      </c>
      <c r="BV107" s="38">
        <v>0</v>
      </c>
      <c r="BW107" s="38">
        <v>2.9039440985646325</v>
      </c>
      <c r="BX107" s="38">
        <v>92.341787778920974</v>
      </c>
      <c r="BY107" s="38"/>
      <c r="BZ107" s="38">
        <v>0</v>
      </c>
      <c r="CA107" s="38">
        <v>0</v>
      </c>
      <c r="CB107" s="38">
        <v>31.943385084210956</v>
      </c>
      <c r="CC107" s="38">
        <v>92.341787778920974</v>
      </c>
      <c r="CD107" s="50">
        <v>0.34592556471494618</v>
      </c>
      <c r="CE107" s="38">
        <v>179.50750145512245</v>
      </c>
      <c r="CF107" s="38">
        <v>0.30000887686519845</v>
      </c>
      <c r="CG107" s="38">
        <v>0</v>
      </c>
      <c r="CH107" s="38">
        <v>0.30000887686519845</v>
      </c>
      <c r="CI107" s="38">
        <v>1.5000276580932857E-2</v>
      </c>
      <c r="CJ107" s="38">
        <v>0</v>
      </c>
      <c r="CK107" s="38">
        <v>1.5000276580932857E-2</v>
      </c>
      <c r="CL107" s="38"/>
      <c r="CM107" s="38">
        <v>0</v>
      </c>
      <c r="CN107" s="38"/>
      <c r="CO107" s="38">
        <v>0</v>
      </c>
      <c r="CP107" s="38">
        <v>0</v>
      </c>
      <c r="CQ107" s="38">
        <v>0</v>
      </c>
      <c r="CR107" s="38">
        <v>0</v>
      </c>
      <c r="CS107" s="38">
        <v>0</v>
      </c>
      <c r="CT107" s="38">
        <v>0</v>
      </c>
      <c r="CU107" s="38">
        <v>37.400012703350043</v>
      </c>
      <c r="CV107" s="38">
        <v>9999</v>
      </c>
      <c r="CW107" s="50">
        <v>0</v>
      </c>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row>
    <row r="108" spans="1:131">
      <c r="A108" s="27" t="s">
        <v>243</v>
      </c>
      <c r="B108" s="27" t="s">
        <v>67</v>
      </c>
      <c r="C108" s="38">
        <v>45</v>
      </c>
      <c r="D108" s="38">
        <v>38.181484397289175</v>
      </c>
      <c r="E108" s="38">
        <v>0</v>
      </c>
      <c r="F108" s="38">
        <v>239.1087012654321</v>
      </c>
      <c r="G108" s="38">
        <v>0</v>
      </c>
      <c r="H108" s="38">
        <v>0</v>
      </c>
      <c r="I108" s="38" t="s">
        <v>1947</v>
      </c>
      <c r="J108" s="38"/>
      <c r="K108" s="38"/>
      <c r="L108" s="38">
        <v>43.648485215587066</v>
      </c>
      <c r="M108" s="38">
        <v>2.2754441670325792E-2</v>
      </c>
      <c r="N108" s="38">
        <v>2.1588654336172474E-2</v>
      </c>
      <c r="O108" s="38">
        <v>0</v>
      </c>
      <c r="P108" s="38">
        <v>0</v>
      </c>
      <c r="Q108" s="38">
        <v>0</v>
      </c>
      <c r="R108" s="38">
        <v>31.274395987843899</v>
      </c>
      <c r="S108" s="38">
        <v>7.7432541770496002</v>
      </c>
      <c r="T108" s="38">
        <v>64.600021942150065</v>
      </c>
      <c r="U108" s="38">
        <v>55.881779511092674</v>
      </c>
      <c r="V108" s="38" t="s">
        <v>2116</v>
      </c>
      <c r="W108" s="38" t="s">
        <v>2116</v>
      </c>
      <c r="X108" s="38" t="s">
        <v>2116</v>
      </c>
      <c r="Y108" s="38" t="s">
        <v>2116</v>
      </c>
      <c r="Z108" s="38">
        <v>0</v>
      </c>
      <c r="AA108" s="38">
        <v>0</v>
      </c>
      <c r="AB108" s="38">
        <v>0</v>
      </c>
      <c r="AC108" s="38">
        <v>0</v>
      </c>
      <c r="AD108" s="38">
        <v>0</v>
      </c>
      <c r="AE108" s="38">
        <v>0</v>
      </c>
      <c r="AF108" s="38">
        <v>0</v>
      </c>
      <c r="AG108" s="38">
        <v>0</v>
      </c>
      <c r="AH108" s="38">
        <v>31.274395987843899</v>
      </c>
      <c r="AI108" s="38">
        <v>7.7432541770496002</v>
      </c>
      <c r="AJ108" s="38">
        <v>64.600021942150065</v>
      </c>
      <c r="AK108" s="38">
        <v>55.881779511092674</v>
      </c>
      <c r="AL108" s="38">
        <v>159.49945161813622</v>
      </c>
      <c r="AM108" s="38">
        <v>23.002084164898978</v>
      </c>
      <c r="AN108" s="38">
        <v>8.0402474905287367</v>
      </c>
      <c r="AO108" s="38">
        <v>3.1042331655427717</v>
      </c>
      <c r="AP108" s="38">
        <v>0</v>
      </c>
      <c r="AQ108" s="38">
        <v>34.14656482097049</v>
      </c>
      <c r="AR108" s="38">
        <v>31.274395987843899</v>
      </c>
      <c r="AS108" s="49">
        <v>1.0918377075689321</v>
      </c>
      <c r="AT108" s="38">
        <v>23.002084164898978</v>
      </c>
      <c r="AU108" s="38">
        <v>9.0953025910958551</v>
      </c>
      <c r="AV108" s="38">
        <v>3.2097386755994837</v>
      </c>
      <c r="AW108" s="38">
        <v>0</v>
      </c>
      <c r="AX108" s="38">
        <v>35.307125431594315</v>
      </c>
      <c r="AY108" s="38">
        <v>7.7432541770496002</v>
      </c>
      <c r="AZ108" s="49">
        <v>4.5597270377926984</v>
      </c>
      <c r="BA108" s="38">
        <v>23.002084164898978</v>
      </c>
      <c r="BB108" s="38">
        <v>17.135550081624594</v>
      </c>
      <c r="BC108" s="38">
        <v>4.0137634246523568</v>
      </c>
      <c r="BD108" s="38">
        <v>0</v>
      </c>
      <c r="BE108" s="38">
        <v>44.151397671175928</v>
      </c>
      <c r="BF108" s="38">
        <v>39.017650164893496</v>
      </c>
      <c r="BG108" s="38">
        <v>30.122087405972426</v>
      </c>
      <c r="BH108" s="49">
        <v>1.1315750047628848</v>
      </c>
      <c r="BI108" s="38">
        <v>52.721756227966956</v>
      </c>
      <c r="BJ108" s="38">
        <v>13.053424254533155</v>
      </c>
      <c r="BK108" s="38">
        <v>108.90143523408635</v>
      </c>
      <c r="BL108" s="38">
        <v>94.204395126095633</v>
      </c>
      <c r="BM108" s="38">
        <v>268.88101084268209</v>
      </c>
      <c r="BN108" s="38">
        <v>23.002084164898978</v>
      </c>
      <c r="BO108" s="38">
        <v>0</v>
      </c>
      <c r="BP108" s="38">
        <v>17.135550081624594</v>
      </c>
      <c r="BQ108" s="38">
        <v>0</v>
      </c>
      <c r="BR108" s="38">
        <v>0</v>
      </c>
      <c r="BS108" s="38">
        <v>0</v>
      </c>
      <c r="BT108" s="38">
        <v>0</v>
      </c>
      <c r="BU108" s="38">
        <v>0</v>
      </c>
      <c r="BV108" s="38">
        <v>0</v>
      </c>
      <c r="BW108" s="38">
        <v>4.0137634246523568</v>
      </c>
      <c r="BX108" s="38">
        <v>159.49945161813622</v>
      </c>
      <c r="BY108" s="38"/>
      <c r="BZ108" s="38">
        <v>0</v>
      </c>
      <c r="CA108" s="38">
        <v>0</v>
      </c>
      <c r="CB108" s="38">
        <v>44.151397671175928</v>
      </c>
      <c r="CC108" s="38">
        <v>159.49945161813622</v>
      </c>
      <c r="CD108" s="50">
        <v>0.27681222238230946</v>
      </c>
      <c r="CE108" s="38">
        <v>233.22791776615438</v>
      </c>
      <c r="CF108" s="38">
        <v>0.41466523326938892</v>
      </c>
      <c r="CG108" s="38">
        <v>0</v>
      </c>
      <c r="CH108" s="38">
        <v>0.41466523326938892</v>
      </c>
      <c r="CI108" s="38">
        <v>2.0733030477403852E-2</v>
      </c>
      <c r="CJ108" s="38">
        <v>0</v>
      </c>
      <c r="CK108" s="38">
        <v>2.0733030477403852E-2</v>
      </c>
      <c r="CL108" s="38"/>
      <c r="CM108" s="38">
        <v>0</v>
      </c>
      <c r="CN108" s="38"/>
      <c r="CO108" s="38">
        <v>0</v>
      </c>
      <c r="CP108" s="38">
        <v>0</v>
      </c>
      <c r="CQ108" s="38">
        <v>0</v>
      </c>
      <c r="CR108" s="38">
        <v>0</v>
      </c>
      <c r="CS108" s="38">
        <v>0</v>
      </c>
      <c r="CT108" s="38">
        <v>0</v>
      </c>
      <c r="CU108" s="38">
        <v>64.600021942150065</v>
      </c>
      <c r="CV108" s="38">
        <v>9999</v>
      </c>
      <c r="CW108" s="50">
        <v>0</v>
      </c>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row>
    <row r="109" spans="1:131">
      <c r="A109" s="27" t="s">
        <v>244</v>
      </c>
      <c r="B109" s="27" t="s">
        <v>68</v>
      </c>
      <c r="C109" s="38">
        <v>45</v>
      </c>
      <c r="D109" s="38">
        <v>47.00190419003394</v>
      </c>
      <c r="E109" s="38">
        <v>0</v>
      </c>
      <c r="F109" s="38">
        <v>377.54005462962965</v>
      </c>
      <c r="G109" s="38">
        <v>0</v>
      </c>
      <c r="H109" s="38">
        <v>0</v>
      </c>
      <c r="I109" s="38" t="s">
        <v>1947</v>
      </c>
      <c r="J109" s="38"/>
      <c r="K109" s="38"/>
      <c r="L109" s="38">
        <v>53.731853345355894</v>
      </c>
      <c r="M109" s="38">
        <v>2.8011013824342085E-2</v>
      </c>
      <c r="N109" s="38">
        <v>2.6575914444347325E-2</v>
      </c>
      <c r="O109" s="38">
        <v>0</v>
      </c>
      <c r="P109" s="38">
        <v>0</v>
      </c>
      <c r="Q109" s="38">
        <v>0</v>
      </c>
      <c r="R109" s="38">
        <v>49.380625243964055</v>
      </c>
      <c r="S109" s="38">
        <v>12.226190805867789</v>
      </c>
      <c r="T109" s="38">
        <v>102.00003464550014</v>
      </c>
      <c r="U109" s="38">
        <v>88.234388701725294</v>
      </c>
      <c r="V109" s="38" t="s">
        <v>2116</v>
      </c>
      <c r="W109" s="38" t="s">
        <v>2116</v>
      </c>
      <c r="X109" s="38" t="s">
        <v>2116</v>
      </c>
      <c r="Y109" s="38" t="s">
        <v>2116</v>
      </c>
      <c r="Z109" s="38">
        <v>0</v>
      </c>
      <c r="AA109" s="38">
        <v>0</v>
      </c>
      <c r="AB109" s="38">
        <v>0</v>
      </c>
      <c r="AC109" s="38">
        <v>0</v>
      </c>
      <c r="AD109" s="38">
        <v>0</v>
      </c>
      <c r="AE109" s="38">
        <v>0</v>
      </c>
      <c r="AF109" s="38">
        <v>0</v>
      </c>
      <c r="AG109" s="38">
        <v>0</v>
      </c>
      <c r="AH109" s="38">
        <v>49.380625243964055</v>
      </c>
      <c r="AI109" s="38">
        <v>12.226190805867789</v>
      </c>
      <c r="AJ109" s="38">
        <v>102.00003464550014</v>
      </c>
      <c r="AK109" s="38">
        <v>88.234388701725294</v>
      </c>
      <c r="AL109" s="38">
        <v>251.84123939705728</v>
      </c>
      <c r="AM109" s="38">
        <v>28.315864958001413</v>
      </c>
      <c r="AN109" s="38">
        <v>9.8976492972814647</v>
      </c>
      <c r="AO109" s="38">
        <v>3.8213514255282881</v>
      </c>
      <c r="AP109" s="38">
        <v>0</v>
      </c>
      <c r="AQ109" s="38">
        <v>42.034865680811166</v>
      </c>
      <c r="AR109" s="38">
        <v>49.380625243964055</v>
      </c>
      <c r="AS109" s="50">
        <v>0.85124207061248613</v>
      </c>
      <c r="AT109" s="38">
        <v>28.315864958001413</v>
      </c>
      <c r="AU109" s="38">
        <v>11.19643585665324</v>
      </c>
      <c r="AV109" s="38">
        <v>3.9512300814654653</v>
      </c>
      <c r="AW109" s="38">
        <v>0</v>
      </c>
      <c r="AX109" s="38">
        <v>43.463530896120119</v>
      </c>
      <c r="AY109" s="38">
        <v>12.226190805867789</v>
      </c>
      <c r="AZ109" s="49">
        <v>3.5549527719836016</v>
      </c>
      <c r="BA109" s="38">
        <v>28.315864958001413</v>
      </c>
      <c r="BB109" s="38">
        <v>21.094085153934707</v>
      </c>
      <c r="BC109" s="38">
        <v>4.9409950111936123</v>
      </c>
      <c r="BD109" s="38">
        <v>0</v>
      </c>
      <c r="BE109" s="38">
        <v>54.350945123129726</v>
      </c>
      <c r="BF109" s="38">
        <v>61.606816049831842</v>
      </c>
      <c r="BG109" s="38">
        <v>48.712829088565393</v>
      </c>
      <c r="BH109" s="50">
        <v>0.88222291960628074</v>
      </c>
      <c r="BI109" s="38">
        <v>67.623069214064216</v>
      </c>
      <c r="BJ109" s="38">
        <v>16.742852951028844</v>
      </c>
      <c r="BK109" s="38">
        <v>139.68141084873594</v>
      </c>
      <c r="BL109" s="38">
        <v>120.83038934317142</v>
      </c>
      <c r="BM109" s="38">
        <v>344.87772235700038</v>
      </c>
      <c r="BN109" s="38">
        <v>28.315864958001413</v>
      </c>
      <c r="BO109" s="38">
        <v>0</v>
      </c>
      <c r="BP109" s="38">
        <v>21.094085153934707</v>
      </c>
      <c r="BQ109" s="38">
        <v>0</v>
      </c>
      <c r="BR109" s="38">
        <v>0</v>
      </c>
      <c r="BS109" s="38">
        <v>0</v>
      </c>
      <c r="BT109" s="38">
        <v>0</v>
      </c>
      <c r="BU109" s="38">
        <v>0</v>
      </c>
      <c r="BV109" s="38">
        <v>0</v>
      </c>
      <c r="BW109" s="38">
        <v>4.9409950111936123</v>
      </c>
      <c r="BX109" s="38">
        <v>251.84123939705728</v>
      </c>
      <c r="BY109" s="38"/>
      <c r="BZ109" s="38">
        <v>0</v>
      </c>
      <c r="CA109" s="38">
        <v>0</v>
      </c>
      <c r="CB109" s="38">
        <v>54.350945123129726</v>
      </c>
      <c r="CC109" s="38">
        <v>251.84123939705728</v>
      </c>
      <c r="CD109" s="50">
        <v>0.2158143171994126</v>
      </c>
      <c r="CE109" s="38">
        <v>309.22462928047275</v>
      </c>
      <c r="CF109" s="38">
        <v>0.51045829864198844</v>
      </c>
      <c r="CG109" s="38">
        <v>0</v>
      </c>
      <c r="CH109" s="38">
        <v>0.51045829864198844</v>
      </c>
      <c r="CI109" s="38">
        <v>2.5522630339044051E-2</v>
      </c>
      <c r="CJ109" s="38">
        <v>0</v>
      </c>
      <c r="CK109" s="38">
        <v>2.5522630339044051E-2</v>
      </c>
      <c r="CL109" s="38"/>
      <c r="CM109" s="38">
        <v>0</v>
      </c>
      <c r="CN109" s="38"/>
      <c r="CO109" s="38">
        <v>0</v>
      </c>
      <c r="CP109" s="38">
        <v>0</v>
      </c>
      <c r="CQ109" s="38">
        <v>0</v>
      </c>
      <c r="CR109" s="38">
        <v>0</v>
      </c>
      <c r="CS109" s="38">
        <v>0</v>
      </c>
      <c r="CT109" s="38">
        <v>0</v>
      </c>
      <c r="CU109" s="38">
        <v>102.00003464550014</v>
      </c>
      <c r="CV109" s="38">
        <v>9999</v>
      </c>
      <c r="CW109" s="50">
        <v>0</v>
      </c>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row>
    <row r="110" spans="1:131">
      <c r="A110" s="27" t="s">
        <v>250</v>
      </c>
      <c r="B110" s="27" t="s">
        <v>74</v>
      </c>
      <c r="C110" s="38">
        <v>45</v>
      </c>
      <c r="D110" s="38">
        <v>2671.270333683723</v>
      </c>
      <c r="E110" s="38">
        <v>0</v>
      </c>
      <c r="F110" s="38">
        <v>4101.7368570659019</v>
      </c>
      <c r="G110" s="38">
        <v>0</v>
      </c>
      <c r="H110" s="38">
        <v>0</v>
      </c>
      <c r="I110" s="38" t="s">
        <v>1947</v>
      </c>
      <c r="J110" s="38"/>
      <c r="K110" s="38"/>
      <c r="L110" s="38">
        <v>3053.755125217408</v>
      </c>
      <c r="M110" s="38">
        <v>1.5919565714368482</v>
      </c>
      <c r="N110" s="38">
        <v>1.5103952290672182</v>
      </c>
      <c r="O110" s="38">
        <v>0</v>
      </c>
      <c r="P110" s="38">
        <v>0</v>
      </c>
      <c r="Q110" s="38">
        <v>0</v>
      </c>
      <c r="R110" s="38">
        <v>536.48964687157786</v>
      </c>
      <c r="S110" s="38">
        <v>132.82992581845238</v>
      </c>
      <c r="T110" s="38">
        <v>1108.1666604564084</v>
      </c>
      <c r="U110" s="38">
        <v>958.61151621008025</v>
      </c>
      <c r="V110" s="38" t="s">
        <v>2116</v>
      </c>
      <c r="W110" s="38" t="s">
        <v>2116</v>
      </c>
      <c r="X110" s="38" t="s">
        <v>2116</v>
      </c>
      <c r="Y110" s="38" t="s">
        <v>2116</v>
      </c>
      <c r="Z110" s="38">
        <v>0</v>
      </c>
      <c r="AA110" s="38">
        <v>0</v>
      </c>
      <c r="AB110" s="38">
        <v>0</v>
      </c>
      <c r="AC110" s="38">
        <v>0</v>
      </c>
      <c r="AD110" s="38">
        <v>0</v>
      </c>
      <c r="AE110" s="38">
        <v>0</v>
      </c>
      <c r="AF110" s="38">
        <v>0</v>
      </c>
      <c r="AG110" s="38">
        <v>0</v>
      </c>
      <c r="AH110" s="38">
        <v>536.48964687157786</v>
      </c>
      <c r="AI110" s="38">
        <v>132.82992581845238</v>
      </c>
      <c r="AJ110" s="38">
        <v>1108.1666604564084</v>
      </c>
      <c r="AK110" s="38">
        <v>958.61151621008025</v>
      </c>
      <c r="AL110" s="38">
        <v>2736.0977493565188</v>
      </c>
      <c r="AM110" s="38">
        <v>1609.2822479933038</v>
      </c>
      <c r="AN110" s="38">
        <v>562.51544265390817</v>
      </c>
      <c r="AO110" s="38">
        <v>217.1797690647212</v>
      </c>
      <c r="AP110" s="38">
        <v>0</v>
      </c>
      <c r="AQ110" s="38">
        <v>2388.9774597119335</v>
      </c>
      <c r="AR110" s="38">
        <v>536.48964687157786</v>
      </c>
      <c r="AS110" s="49">
        <v>4.4529796122678853</v>
      </c>
      <c r="AT110" s="38">
        <v>1609.2822479933038</v>
      </c>
      <c r="AU110" s="38">
        <v>636.32968626007732</v>
      </c>
      <c r="AV110" s="38">
        <v>224.56119342533813</v>
      </c>
      <c r="AW110" s="38">
        <v>0</v>
      </c>
      <c r="AX110" s="38">
        <v>2470.1731276787191</v>
      </c>
      <c r="AY110" s="38">
        <v>132.82992581845238</v>
      </c>
      <c r="AZ110" s="49">
        <v>18.596510631609259</v>
      </c>
      <c r="BA110" s="38">
        <v>1609.2822479933038</v>
      </c>
      <c r="BB110" s="38">
        <v>1198.8451289139855</v>
      </c>
      <c r="BC110" s="38">
        <v>280.81273769072897</v>
      </c>
      <c r="BD110" s="38">
        <v>0</v>
      </c>
      <c r="BE110" s="38">
        <v>3088.9401145980187</v>
      </c>
      <c r="BF110" s="38">
        <v>669.31957269003021</v>
      </c>
      <c r="BG110" s="38">
        <v>-19.525504691641697</v>
      </c>
      <c r="BH110" s="49">
        <v>4.6150452498847558</v>
      </c>
      <c r="BI110" s="38">
        <v>12.92698518097068</v>
      </c>
      <c r="BJ110" s="38">
        <v>3.2006032039153163</v>
      </c>
      <c r="BK110" s="38">
        <v>26.701827484090977</v>
      </c>
      <c r="BL110" s="38">
        <v>23.098221814002432</v>
      </c>
      <c r="BM110" s="38">
        <v>65.927637682979409</v>
      </c>
      <c r="BN110" s="38">
        <v>1609.2822479933038</v>
      </c>
      <c r="BO110" s="38">
        <v>0</v>
      </c>
      <c r="BP110" s="38">
        <v>1198.8451289139855</v>
      </c>
      <c r="BQ110" s="38">
        <v>0</v>
      </c>
      <c r="BR110" s="38">
        <v>0</v>
      </c>
      <c r="BS110" s="38">
        <v>0</v>
      </c>
      <c r="BT110" s="38">
        <v>0</v>
      </c>
      <c r="BU110" s="38">
        <v>0</v>
      </c>
      <c r="BV110" s="38">
        <v>0</v>
      </c>
      <c r="BW110" s="38">
        <v>280.81273769072897</v>
      </c>
      <c r="BX110" s="38">
        <v>2736.0977493565188</v>
      </c>
      <c r="BY110" s="38"/>
      <c r="BZ110" s="38">
        <v>0</v>
      </c>
      <c r="CA110" s="38">
        <v>0</v>
      </c>
      <c r="CB110" s="38">
        <v>3088.9401145980187</v>
      </c>
      <c r="CC110" s="38">
        <v>2736.0977493565188</v>
      </c>
      <c r="CD110" s="49">
        <v>1.1289582454882989</v>
      </c>
      <c r="CE110" s="38">
        <v>30.274544606451705</v>
      </c>
      <c r="CF110" s="38">
        <v>29.010997176453444</v>
      </c>
      <c r="CG110" s="38">
        <v>0</v>
      </c>
      <c r="CH110" s="38">
        <v>29.010997176453444</v>
      </c>
      <c r="CI110" s="38">
        <v>1.450533684478269</v>
      </c>
      <c r="CJ110" s="38">
        <v>0</v>
      </c>
      <c r="CK110" s="38">
        <v>1.450533684478269</v>
      </c>
      <c r="CL110" s="38"/>
      <c r="CM110" s="38">
        <v>0</v>
      </c>
      <c r="CN110" s="38"/>
      <c r="CO110" s="38">
        <v>0</v>
      </c>
      <c r="CP110" s="38">
        <v>0</v>
      </c>
      <c r="CQ110" s="38">
        <v>0</v>
      </c>
      <c r="CR110" s="38">
        <v>0</v>
      </c>
      <c r="CS110" s="38">
        <v>0</v>
      </c>
      <c r="CT110" s="38">
        <v>0</v>
      </c>
      <c r="CU110" s="38">
        <v>1108.1666604564084</v>
      </c>
      <c r="CV110" s="38">
        <v>9999</v>
      </c>
      <c r="CW110" s="50">
        <v>0</v>
      </c>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row>
    <row r="111" spans="1:131">
      <c r="A111" s="27" t="s">
        <v>251</v>
      </c>
      <c r="B111" s="27" t="s">
        <v>75</v>
      </c>
      <c r="C111" s="38">
        <v>45</v>
      </c>
      <c r="D111" s="38">
        <v>1729.8965551925849</v>
      </c>
      <c r="E111" s="38">
        <v>0</v>
      </c>
      <c r="F111" s="38">
        <v>4101.7368570659019</v>
      </c>
      <c r="G111" s="38">
        <v>0</v>
      </c>
      <c r="H111" s="38">
        <v>0</v>
      </c>
      <c r="I111" s="38" t="s">
        <v>1947</v>
      </c>
      <c r="J111" s="38"/>
      <c r="K111" s="38"/>
      <c r="L111" s="38">
        <v>1977.5911127011982</v>
      </c>
      <c r="M111" s="38">
        <v>1.0309402811908981</v>
      </c>
      <c r="N111" s="38">
        <v>0.97812170890977046</v>
      </c>
      <c r="O111" s="38">
        <v>0</v>
      </c>
      <c r="P111" s="38">
        <v>0</v>
      </c>
      <c r="Q111" s="38">
        <v>0</v>
      </c>
      <c r="R111" s="38">
        <v>536.48964687157786</v>
      </c>
      <c r="S111" s="38">
        <v>132.82992581845238</v>
      </c>
      <c r="T111" s="38">
        <v>1108.1666604564084</v>
      </c>
      <c r="U111" s="38">
        <v>958.61151621008025</v>
      </c>
      <c r="V111" s="38" t="s">
        <v>2116</v>
      </c>
      <c r="W111" s="38" t="s">
        <v>2116</v>
      </c>
      <c r="X111" s="38" t="s">
        <v>2116</v>
      </c>
      <c r="Y111" s="38" t="s">
        <v>2116</v>
      </c>
      <c r="Z111" s="38">
        <v>0</v>
      </c>
      <c r="AA111" s="38">
        <v>0</v>
      </c>
      <c r="AB111" s="38">
        <v>0</v>
      </c>
      <c r="AC111" s="38">
        <v>0</v>
      </c>
      <c r="AD111" s="38">
        <v>0</v>
      </c>
      <c r="AE111" s="38">
        <v>0</v>
      </c>
      <c r="AF111" s="38">
        <v>0</v>
      </c>
      <c r="AG111" s="38">
        <v>0</v>
      </c>
      <c r="AH111" s="38">
        <v>536.48964687157786</v>
      </c>
      <c r="AI111" s="38">
        <v>132.82992581845238</v>
      </c>
      <c r="AJ111" s="38">
        <v>1108.1666604564084</v>
      </c>
      <c r="AK111" s="38">
        <v>958.61151621008025</v>
      </c>
      <c r="AL111" s="38">
        <v>2736.0977493565188</v>
      </c>
      <c r="AM111" s="38">
        <v>1042.1602718498216</v>
      </c>
      <c r="AN111" s="38">
        <v>364.2811864524835</v>
      </c>
      <c r="AO111" s="38">
        <v>140.64414583023051</v>
      </c>
      <c r="AP111" s="38">
        <v>0</v>
      </c>
      <c r="AQ111" s="38">
        <v>1547.0856041325355</v>
      </c>
      <c r="AR111" s="38">
        <v>536.48964687157786</v>
      </c>
      <c r="AS111" s="49">
        <v>2.8837194028888109</v>
      </c>
      <c r="AT111" s="38">
        <v>1042.1602718498216</v>
      </c>
      <c r="AU111" s="38">
        <v>412.08279010461922</v>
      </c>
      <c r="AV111" s="38">
        <v>145.42430619544407</v>
      </c>
      <c r="AW111" s="38">
        <v>0</v>
      </c>
      <c r="AX111" s="38">
        <v>1599.6673681498849</v>
      </c>
      <c r="AY111" s="38">
        <v>132.82992581845238</v>
      </c>
      <c r="AZ111" s="49">
        <v>12.042974188935844</v>
      </c>
      <c r="BA111" s="38">
        <v>1042.1602718498216</v>
      </c>
      <c r="BB111" s="38">
        <v>776.36397655710266</v>
      </c>
      <c r="BC111" s="38">
        <v>181.85242484069244</v>
      </c>
      <c r="BD111" s="38">
        <v>0</v>
      </c>
      <c r="BE111" s="38">
        <v>2000.3766732476167</v>
      </c>
      <c r="BF111" s="38">
        <v>669.31957269003021</v>
      </c>
      <c r="BG111" s="38">
        <v>-10.749206033633355</v>
      </c>
      <c r="BH111" s="49">
        <v>2.988672010902055</v>
      </c>
      <c r="BI111" s="38">
        <v>19.961582046188759</v>
      </c>
      <c r="BJ111" s="38">
        <v>4.9423049967055661</v>
      </c>
      <c r="BK111" s="38">
        <v>41.23240745193123</v>
      </c>
      <c r="BL111" s="38">
        <v>35.667794416598426</v>
      </c>
      <c r="BM111" s="38">
        <v>101.80408891142399</v>
      </c>
      <c r="BN111" s="38">
        <v>1042.1602718498216</v>
      </c>
      <c r="BO111" s="38">
        <v>0</v>
      </c>
      <c r="BP111" s="38">
        <v>776.36397655710266</v>
      </c>
      <c r="BQ111" s="38">
        <v>0</v>
      </c>
      <c r="BR111" s="38">
        <v>0</v>
      </c>
      <c r="BS111" s="38">
        <v>0</v>
      </c>
      <c r="BT111" s="38">
        <v>0</v>
      </c>
      <c r="BU111" s="38">
        <v>0</v>
      </c>
      <c r="BV111" s="38">
        <v>0</v>
      </c>
      <c r="BW111" s="38">
        <v>181.85242484069244</v>
      </c>
      <c r="BX111" s="38">
        <v>2736.0977493565188</v>
      </c>
      <c r="BY111" s="38"/>
      <c r="BZ111" s="38">
        <v>0</v>
      </c>
      <c r="CA111" s="38">
        <v>0</v>
      </c>
      <c r="CB111" s="38">
        <v>2000.376673247617</v>
      </c>
      <c r="CC111" s="38">
        <v>2736.0977493565188</v>
      </c>
      <c r="CD111" s="50">
        <v>0.73110570472786285</v>
      </c>
      <c r="CE111" s="38">
        <v>66.150995834896278</v>
      </c>
      <c r="CF111" s="38">
        <v>18.787325058576659</v>
      </c>
      <c r="CG111" s="38">
        <v>0</v>
      </c>
      <c r="CH111" s="38">
        <v>18.787325058576659</v>
      </c>
      <c r="CI111" s="38">
        <v>0.93935577853306917</v>
      </c>
      <c r="CJ111" s="38">
        <v>0</v>
      </c>
      <c r="CK111" s="38">
        <v>0.93935577853306917</v>
      </c>
      <c r="CL111" s="38"/>
      <c r="CM111" s="38">
        <v>0</v>
      </c>
      <c r="CN111" s="38"/>
      <c r="CO111" s="38">
        <v>0</v>
      </c>
      <c r="CP111" s="38">
        <v>0</v>
      </c>
      <c r="CQ111" s="38">
        <v>0</v>
      </c>
      <c r="CR111" s="38">
        <v>0</v>
      </c>
      <c r="CS111" s="38">
        <v>0</v>
      </c>
      <c r="CT111" s="38">
        <v>0</v>
      </c>
      <c r="CU111" s="38">
        <v>1108.1666604564084</v>
      </c>
      <c r="CV111" s="38">
        <v>9999</v>
      </c>
      <c r="CW111" s="50">
        <v>0</v>
      </c>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row>
    <row r="112" spans="1:131">
      <c r="A112" s="27" t="s">
        <v>248</v>
      </c>
      <c r="B112" s="27" t="s">
        <v>72</v>
      </c>
      <c r="C112" s="38">
        <v>45</v>
      </c>
      <c r="D112" s="38">
        <v>2474.6671090026025</v>
      </c>
      <c r="E112" s="38">
        <v>0</v>
      </c>
      <c r="F112" s="38">
        <v>3865.0968570659024</v>
      </c>
      <c r="G112" s="38">
        <v>0</v>
      </c>
      <c r="H112" s="38">
        <v>0</v>
      </c>
      <c r="I112" s="38" t="s">
        <v>1947</v>
      </c>
      <c r="J112" s="38"/>
      <c r="K112" s="38"/>
      <c r="L112" s="38">
        <v>2829.0013451773661</v>
      </c>
      <c r="M112" s="38">
        <v>1.4747899217158611</v>
      </c>
      <c r="N112" s="38">
        <v>1.3992314247778568</v>
      </c>
      <c r="O112" s="38">
        <v>0</v>
      </c>
      <c r="P112" s="38">
        <v>0</v>
      </c>
      <c r="Q112" s="38">
        <v>0</v>
      </c>
      <c r="R112" s="38">
        <v>505.53814645609174</v>
      </c>
      <c r="S112" s="38">
        <v>125.16661762950061</v>
      </c>
      <c r="T112" s="38">
        <v>1044.2336077841831</v>
      </c>
      <c r="U112" s="38">
        <v>903.30669361884679</v>
      </c>
      <c r="V112" s="38" t="s">
        <v>2116</v>
      </c>
      <c r="W112" s="38" t="s">
        <v>2116</v>
      </c>
      <c r="X112" s="38" t="s">
        <v>2116</v>
      </c>
      <c r="Y112" s="38" t="s">
        <v>2116</v>
      </c>
      <c r="Z112" s="38">
        <v>0</v>
      </c>
      <c r="AA112" s="38">
        <v>0</v>
      </c>
      <c r="AB112" s="38">
        <v>0</v>
      </c>
      <c r="AC112" s="38">
        <v>0</v>
      </c>
      <c r="AD112" s="38">
        <v>0</v>
      </c>
      <c r="AE112" s="38">
        <v>0</v>
      </c>
      <c r="AF112" s="38">
        <v>0</v>
      </c>
      <c r="AG112" s="38">
        <v>0</v>
      </c>
      <c r="AH112" s="38">
        <v>505.53814645609174</v>
      </c>
      <c r="AI112" s="38">
        <v>125.16661762950061</v>
      </c>
      <c r="AJ112" s="38">
        <v>1044.2336077841831</v>
      </c>
      <c r="AK112" s="38">
        <v>903.30669361884679</v>
      </c>
      <c r="AL112" s="38">
        <v>2578.2450654886225</v>
      </c>
      <c r="AM112" s="38">
        <v>1490.8404432130064</v>
      </c>
      <c r="AN112" s="38">
        <v>521.11478448608511</v>
      </c>
      <c r="AO112" s="38">
        <v>201.19552276990916</v>
      </c>
      <c r="AP112" s="38">
        <v>0</v>
      </c>
      <c r="AQ112" s="38">
        <v>2213.1507504690007</v>
      </c>
      <c r="AR112" s="38">
        <v>505.53814645609174</v>
      </c>
      <c r="AS112" s="49">
        <v>4.377811577590264</v>
      </c>
      <c r="AT112" s="38">
        <v>1490.8404432130064</v>
      </c>
      <c r="AU112" s="38">
        <v>589.49636254082031</v>
      </c>
      <c r="AV112" s="38">
        <v>208.03368057538268</v>
      </c>
      <c r="AW112" s="38">
        <v>0</v>
      </c>
      <c r="AX112" s="38">
        <v>2288.3704863292096</v>
      </c>
      <c r="AY112" s="38">
        <v>125.16661762950061</v>
      </c>
      <c r="AZ112" s="49">
        <v>18.282594270485919</v>
      </c>
      <c r="BA112" s="38">
        <v>1490.8404432130064</v>
      </c>
      <c r="BB112" s="38">
        <v>1110.6111470269054</v>
      </c>
      <c r="BC112" s="38">
        <v>260.1451590239912</v>
      </c>
      <c r="BD112" s="38">
        <v>0</v>
      </c>
      <c r="BE112" s="38">
        <v>2861.5967492639033</v>
      </c>
      <c r="BF112" s="38">
        <v>630.70476408559239</v>
      </c>
      <c r="BG112" s="38">
        <v>-19.248590278699144</v>
      </c>
      <c r="BH112" s="49">
        <v>4.5371414839599318</v>
      </c>
      <c r="BI112" s="38">
        <v>13.148944498574554</v>
      </c>
      <c r="BJ112" s="38">
        <v>3.2555582992539867</v>
      </c>
      <c r="BK112" s="38">
        <v>27.160304021672982</v>
      </c>
      <c r="BL112" s="38">
        <v>23.494823610935409</v>
      </c>
      <c r="BM112" s="38">
        <v>67.05963043043694</v>
      </c>
      <c r="BN112" s="38">
        <v>1490.8404432130064</v>
      </c>
      <c r="BO112" s="38">
        <v>0</v>
      </c>
      <c r="BP112" s="38">
        <v>1110.6111470269054</v>
      </c>
      <c r="BQ112" s="38">
        <v>0</v>
      </c>
      <c r="BR112" s="38">
        <v>0</v>
      </c>
      <c r="BS112" s="38">
        <v>0</v>
      </c>
      <c r="BT112" s="38">
        <v>0</v>
      </c>
      <c r="BU112" s="38">
        <v>0</v>
      </c>
      <c r="BV112" s="38">
        <v>0</v>
      </c>
      <c r="BW112" s="38">
        <v>260.1451590239912</v>
      </c>
      <c r="BX112" s="38">
        <v>2578.2450654886225</v>
      </c>
      <c r="BY112" s="38"/>
      <c r="BZ112" s="38">
        <v>0</v>
      </c>
      <c r="CA112" s="38">
        <v>0</v>
      </c>
      <c r="CB112" s="38">
        <v>2861.5967492639033</v>
      </c>
      <c r="CC112" s="38">
        <v>2578.2450654886225</v>
      </c>
      <c r="CD112" s="49">
        <v>1.1099009894629939</v>
      </c>
      <c r="CE112" s="38">
        <v>31.406537353909265</v>
      </c>
      <c r="CF112" s="38">
        <v>26.875812457713195</v>
      </c>
      <c r="CG112" s="38">
        <v>0</v>
      </c>
      <c r="CH112" s="38">
        <v>26.875812457713195</v>
      </c>
      <c r="CI112" s="38">
        <v>1.343775638959249</v>
      </c>
      <c r="CJ112" s="38">
        <v>0</v>
      </c>
      <c r="CK112" s="38">
        <v>1.343775638959249</v>
      </c>
      <c r="CL112" s="38"/>
      <c r="CM112" s="38">
        <v>0</v>
      </c>
      <c r="CN112" s="38"/>
      <c r="CO112" s="38">
        <v>0</v>
      </c>
      <c r="CP112" s="38">
        <v>0</v>
      </c>
      <c r="CQ112" s="38">
        <v>0</v>
      </c>
      <c r="CR112" s="38">
        <v>0</v>
      </c>
      <c r="CS112" s="38">
        <v>0</v>
      </c>
      <c r="CT112" s="38">
        <v>0</v>
      </c>
      <c r="CU112" s="38">
        <v>1044.2336077841831</v>
      </c>
      <c r="CV112" s="38">
        <v>9999</v>
      </c>
      <c r="CW112" s="50">
        <v>0</v>
      </c>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row>
    <row r="113" spans="1:131">
      <c r="A113" s="27" t="s">
        <v>249</v>
      </c>
      <c r="B113" s="27" t="s">
        <v>73</v>
      </c>
      <c r="C113" s="38">
        <v>45</v>
      </c>
      <c r="D113" s="38">
        <v>1533.293330511465</v>
      </c>
      <c r="E113" s="38">
        <v>0</v>
      </c>
      <c r="F113" s="38">
        <v>3865.0968570659024</v>
      </c>
      <c r="G113" s="38">
        <v>0</v>
      </c>
      <c r="H113" s="38">
        <v>0</v>
      </c>
      <c r="I113" s="38" t="s">
        <v>1947</v>
      </c>
      <c r="J113" s="38"/>
      <c r="K113" s="38"/>
      <c r="L113" s="38">
        <v>1752.8373326611568</v>
      </c>
      <c r="M113" s="38">
        <v>0.91377363146991153</v>
      </c>
      <c r="N113" s="38">
        <v>0.86695790462040934</v>
      </c>
      <c r="O113" s="38">
        <v>0</v>
      </c>
      <c r="P113" s="38">
        <v>0</v>
      </c>
      <c r="Q113" s="38">
        <v>0</v>
      </c>
      <c r="R113" s="38">
        <v>505.53814645609174</v>
      </c>
      <c r="S113" s="38">
        <v>125.16661762950061</v>
      </c>
      <c r="T113" s="38">
        <v>1044.2336077841831</v>
      </c>
      <c r="U113" s="38">
        <v>903.30669361884679</v>
      </c>
      <c r="V113" s="38" t="s">
        <v>2116</v>
      </c>
      <c r="W113" s="38" t="s">
        <v>2116</v>
      </c>
      <c r="X113" s="38" t="s">
        <v>2116</v>
      </c>
      <c r="Y113" s="38" t="s">
        <v>2116</v>
      </c>
      <c r="Z113" s="38">
        <v>0</v>
      </c>
      <c r="AA113" s="38">
        <v>0</v>
      </c>
      <c r="AB113" s="38">
        <v>0</v>
      </c>
      <c r="AC113" s="38">
        <v>0</v>
      </c>
      <c r="AD113" s="38">
        <v>0</v>
      </c>
      <c r="AE113" s="38">
        <v>0</v>
      </c>
      <c r="AF113" s="38">
        <v>0</v>
      </c>
      <c r="AG113" s="38">
        <v>0</v>
      </c>
      <c r="AH113" s="38">
        <v>505.53814645609174</v>
      </c>
      <c r="AI113" s="38">
        <v>125.16661762950061</v>
      </c>
      <c r="AJ113" s="38">
        <v>1044.2336077841831</v>
      </c>
      <c r="AK113" s="38">
        <v>903.30669361884679</v>
      </c>
      <c r="AL113" s="38">
        <v>2578.2450654886225</v>
      </c>
      <c r="AM113" s="38">
        <v>923.71846706952533</v>
      </c>
      <c r="AN113" s="38">
        <v>322.88052828466061</v>
      </c>
      <c r="AO113" s="38">
        <v>124.6598995354186</v>
      </c>
      <c r="AP113" s="38">
        <v>0</v>
      </c>
      <c r="AQ113" s="38">
        <v>1371.2588948896046</v>
      </c>
      <c r="AR113" s="38">
        <v>505.53814645609174</v>
      </c>
      <c r="AS113" s="49">
        <v>2.7124736372563816</v>
      </c>
      <c r="AT113" s="38">
        <v>923.71846706952533</v>
      </c>
      <c r="AU113" s="38">
        <v>365.24946638536261</v>
      </c>
      <c r="AV113" s="38">
        <v>128.89679334548879</v>
      </c>
      <c r="AW113" s="38">
        <v>0</v>
      </c>
      <c r="AX113" s="38">
        <v>1417.8647268003767</v>
      </c>
      <c r="AY113" s="38">
        <v>125.16661762950061</v>
      </c>
      <c r="AZ113" s="49">
        <v>11.327818500275582</v>
      </c>
      <c r="BA113" s="38">
        <v>923.71846706952533</v>
      </c>
      <c r="BB113" s="38">
        <v>688.12999467002328</v>
      </c>
      <c r="BC113" s="38">
        <v>161.18484617395487</v>
      </c>
      <c r="BD113" s="38">
        <v>0</v>
      </c>
      <c r="BE113" s="38">
        <v>1773.0333079135034</v>
      </c>
      <c r="BF113" s="38">
        <v>630.70476408559239</v>
      </c>
      <c r="BG113" s="38">
        <v>-9.1769565764192187</v>
      </c>
      <c r="BH113" s="49">
        <v>2.811193776987051</v>
      </c>
      <c r="BI113" s="38">
        <v>21.221810478930969</v>
      </c>
      <c r="BJ113" s="38">
        <v>5.2543260211774934</v>
      </c>
      <c r="BK113" s="38">
        <v>43.835520376603284</v>
      </c>
      <c r="BL113" s="38">
        <v>37.919598334393768</v>
      </c>
      <c r="BM113" s="38">
        <v>108.23125521110553</v>
      </c>
      <c r="BN113" s="38">
        <v>923.71846706952533</v>
      </c>
      <c r="BO113" s="38">
        <v>0</v>
      </c>
      <c r="BP113" s="38">
        <v>688.12999467002328</v>
      </c>
      <c r="BQ113" s="38">
        <v>0</v>
      </c>
      <c r="BR113" s="38">
        <v>0</v>
      </c>
      <c r="BS113" s="38">
        <v>0</v>
      </c>
      <c r="BT113" s="38">
        <v>0</v>
      </c>
      <c r="BU113" s="38">
        <v>0</v>
      </c>
      <c r="BV113" s="38">
        <v>0</v>
      </c>
      <c r="BW113" s="38">
        <v>161.18484617395487</v>
      </c>
      <c r="BX113" s="38">
        <v>2578.2450654886225</v>
      </c>
      <c r="BY113" s="38"/>
      <c r="BZ113" s="38">
        <v>0</v>
      </c>
      <c r="CA113" s="38">
        <v>0</v>
      </c>
      <c r="CB113" s="38">
        <v>1773.0333079135034</v>
      </c>
      <c r="CC113" s="38">
        <v>2578.2450654886225</v>
      </c>
      <c r="CD113" s="50">
        <v>0.68768998403085579</v>
      </c>
      <c r="CE113" s="38">
        <v>72.578162134577852</v>
      </c>
      <c r="CF113" s="38">
        <v>16.652140339836421</v>
      </c>
      <c r="CG113" s="38">
        <v>0</v>
      </c>
      <c r="CH113" s="38">
        <v>16.652140339836421</v>
      </c>
      <c r="CI113" s="38">
        <v>0.8325977330140496</v>
      </c>
      <c r="CJ113" s="38">
        <v>0</v>
      </c>
      <c r="CK113" s="38">
        <v>0.8325977330140496</v>
      </c>
      <c r="CL113" s="38"/>
      <c r="CM113" s="38">
        <v>0</v>
      </c>
      <c r="CN113" s="38"/>
      <c r="CO113" s="38">
        <v>0</v>
      </c>
      <c r="CP113" s="38">
        <v>0</v>
      </c>
      <c r="CQ113" s="38">
        <v>0</v>
      </c>
      <c r="CR113" s="38">
        <v>0</v>
      </c>
      <c r="CS113" s="38">
        <v>0</v>
      </c>
      <c r="CT113" s="38">
        <v>0</v>
      </c>
      <c r="CU113" s="38">
        <v>1044.2336077841831</v>
      </c>
      <c r="CV113" s="38">
        <v>9999</v>
      </c>
      <c r="CW113" s="50">
        <v>0</v>
      </c>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row>
    <row r="114" spans="1:131">
      <c r="A114" s="27"/>
      <c r="B114" s="27"/>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row>
    <row r="115" spans="1:131">
      <c r="A115" s="27"/>
      <c r="B115" s="27"/>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row>
    <row r="116" spans="1:131" ht="13.5" thickBot="1">
      <c r="A116" s="36" t="s">
        <v>2117</v>
      </c>
      <c r="B116" s="37"/>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row>
    <row r="117" spans="1:131" ht="26.25" thickBot="1">
      <c r="A117" s="582" t="s">
        <v>2021</v>
      </c>
      <c r="B117" s="583"/>
      <c r="C117" s="584" t="s">
        <v>2022</v>
      </c>
      <c r="D117" s="585"/>
      <c r="E117" s="585"/>
      <c r="F117" s="585"/>
      <c r="G117" s="585"/>
      <c r="H117" s="585"/>
      <c r="I117" s="585"/>
      <c r="J117" s="585"/>
      <c r="K117" s="586"/>
      <c r="L117" s="584" t="s">
        <v>2023</v>
      </c>
      <c r="M117" s="585"/>
      <c r="N117" s="585"/>
      <c r="O117" s="585"/>
      <c r="P117" s="585"/>
      <c r="Q117" s="586"/>
      <c r="R117" s="584" t="s">
        <v>2024</v>
      </c>
      <c r="S117" s="585"/>
      <c r="T117" s="585"/>
      <c r="U117" s="586"/>
      <c r="V117" s="584" t="s">
        <v>2025</v>
      </c>
      <c r="W117" s="585"/>
      <c r="X117" s="585"/>
      <c r="Y117" s="586"/>
      <c r="Z117" s="584" t="s">
        <v>2026</v>
      </c>
      <c r="AA117" s="585"/>
      <c r="AB117" s="585"/>
      <c r="AC117" s="586"/>
      <c r="AD117" s="584" t="s">
        <v>2027</v>
      </c>
      <c r="AE117" s="585"/>
      <c r="AF117" s="585"/>
      <c r="AG117" s="586"/>
      <c r="AH117" s="584" t="s">
        <v>2028</v>
      </c>
      <c r="AI117" s="585"/>
      <c r="AJ117" s="585"/>
      <c r="AK117" s="585"/>
      <c r="AL117" s="586"/>
      <c r="AM117" s="584" t="s">
        <v>2029</v>
      </c>
      <c r="AN117" s="585"/>
      <c r="AO117" s="585"/>
      <c r="AP117" s="585"/>
      <c r="AQ117" s="585"/>
      <c r="AR117" s="585"/>
      <c r="AS117" s="586"/>
      <c r="AT117" s="584" t="s">
        <v>2030</v>
      </c>
      <c r="AU117" s="585"/>
      <c r="AV117" s="585"/>
      <c r="AW117" s="585"/>
      <c r="AX117" s="585"/>
      <c r="AY117" s="585"/>
      <c r="AZ117" s="586"/>
      <c r="BA117" s="584" t="s">
        <v>2031</v>
      </c>
      <c r="BB117" s="585"/>
      <c r="BC117" s="585"/>
      <c r="BD117" s="585"/>
      <c r="BE117" s="585"/>
      <c r="BF117" s="586"/>
      <c r="BG117" s="584" t="s">
        <v>2032</v>
      </c>
      <c r="BH117" s="586"/>
      <c r="BI117" s="584" t="s">
        <v>2033</v>
      </c>
      <c r="BJ117" s="585"/>
      <c r="BK117" s="585"/>
      <c r="BL117" s="585"/>
      <c r="BM117" s="586"/>
      <c r="BN117" s="584" t="s">
        <v>2034</v>
      </c>
      <c r="BO117" s="585"/>
      <c r="BP117" s="585"/>
      <c r="BQ117" s="585"/>
      <c r="BR117" s="585"/>
      <c r="BS117" s="585"/>
      <c r="BT117" s="585"/>
      <c r="BU117" s="585"/>
      <c r="BV117" s="585"/>
      <c r="BW117" s="585"/>
      <c r="BX117" s="585"/>
      <c r="BY117" s="585"/>
      <c r="BZ117" s="585"/>
      <c r="CA117" s="585"/>
      <c r="CB117" s="585"/>
      <c r="CC117" s="586"/>
      <c r="CD117" s="584" t="s">
        <v>2035</v>
      </c>
      <c r="CE117" s="586"/>
      <c r="CF117" s="584" t="s">
        <v>2036</v>
      </c>
      <c r="CG117" s="585"/>
      <c r="CH117" s="585"/>
      <c r="CI117" s="585"/>
      <c r="CJ117" s="585"/>
      <c r="CK117" s="586"/>
      <c r="CL117" s="587"/>
      <c r="CM117" s="584" t="s">
        <v>4</v>
      </c>
      <c r="CN117" s="585"/>
      <c r="CO117" s="585"/>
      <c r="CP117" s="586"/>
      <c r="CQ117" s="584" t="s">
        <v>2037</v>
      </c>
      <c r="CR117" s="585"/>
      <c r="CS117" s="585"/>
      <c r="CT117" s="585"/>
      <c r="CU117" s="586"/>
      <c r="CV117" s="584" t="s">
        <v>2038</v>
      </c>
      <c r="CW117" s="586"/>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row>
    <row r="118" spans="1:131" ht="216.75">
      <c r="A118" s="45" t="s">
        <v>31</v>
      </c>
      <c r="B118" s="46" t="s">
        <v>32</v>
      </c>
      <c r="C118" s="47" t="s">
        <v>304</v>
      </c>
      <c r="D118" s="47" t="s">
        <v>2039</v>
      </c>
      <c r="E118" s="47" t="s">
        <v>2040</v>
      </c>
      <c r="F118" s="47" t="s">
        <v>2041</v>
      </c>
      <c r="G118" s="47" t="s">
        <v>2042</v>
      </c>
      <c r="H118" s="47" t="s">
        <v>2043</v>
      </c>
      <c r="I118" s="47" t="s">
        <v>2044</v>
      </c>
      <c r="J118" s="47" t="s">
        <v>2045</v>
      </c>
      <c r="K118" s="47" t="s">
        <v>2046</v>
      </c>
      <c r="L118" s="47" t="s">
        <v>2047</v>
      </c>
      <c r="M118" s="47" t="s">
        <v>2048</v>
      </c>
      <c r="N118" s="47" t="s">
        <v>2049</v>
      </c>
      <c r="O118" s="47" t="s">
        <v>2050</v>
      </c>
      <c r="P118" s="47" t="s">
        <v>2051</v>
      </c>
      <c r="Q118" s="47" t="s">
        <v>2052</v>
      </c>
      <c r="R118" s="47" t="s">
        <v>2053</v>
      </c>
      <c r="S118" s="47" t="s">
        <v>2054</v>
      </c>
      <c r="T118" s="47" t="s">
        <v>1810</v>
      </c>
      <c r="U118" s="47" t="s">
        <v>1961</v>
      </c>
      <c r="V118" s="47" t="s">
        <v>2053</v>
      </c>
      <c r="W118" s="47" t="s">
        <v>2054</v>
      </c>
      <c r="X118" s="47" t="s">
        <v>1810</v>
      </c>
      <c r="Y118" s="47" t="s">
        <v>1961</v>
      </c>
      <c r="Z118" s="47" t="s">
        <v>2053</v>
      </c>
      <c r="AA118" s="47" t="s">
        <v>2054</v>
      </c>
      <c r="AB118" s="47" t="s">
        <v>1810</v>
      </c>
      <c r="AC118" s="47" t="s">
        <v>1961</v>
      </c>
      <c r="AD118" s="47" t="s">
        <v>2053</v>
      </c>
      <c r="AE118" s="47" t="s">
        <v>2054</v>
      </c>
      <c r="AF118" s="47" t="s">
        <v>1810</v>
      </c>
      <c r="AG118" s="47" t="s">
        <v>1961</v>
      </c>
      <c r="AH118" s="47" t="s">
        <v>2053</v>
      </c>
      <c r="AI118" s="47" t="s">
        <v>2054</v>
      </c>
      <c r="AJ118" s="47" t="s">
        <v>1810</v>
      </c>
      <c r="AK118" s="47" t="s">
        <v>1961</v>
      </c>
      <c r="AL118" s="47" t="s">
        <v>2055</v>
      </c>
      <c r="AM118" s="47" t="s">
        <v>2056</v>
      </c>
      <c r="AN118" s="47" t="s">
        <v>2057</v>
      </c>
      <c r="AO118" s="47" t="s">
        <v>2058</v>
      </c>
      <c r="AP118" s="47" t="s">
        <v>2059</v>
      </c>
      <c r="AQ118" s="47" t="s">
        <v>2060</v>
      </c>
      <c r="AR118" s="47" t="s">
        <v>2061</v>
      </c>
      <c r="AS118" s="47" t="s">
        <v>2062</v>
      </c>
      <c r="AT118" s="47" t="s">
        <v>2063</v>
      </c>
      <c r="AU118" s="47" t="s">
        <v>2064</v>
      </c>
      <c r="AV118" s="47" t="s">
        <v>2065</v>
      </c>
      <c r="AW118" s="47" t="s">
        <v>2066</v>
      </c>
      <c r="AX118" s="47" t="s">
        <v>2067</v>
      </c>
      <c r="AY118" s="47" t="s">
        <v>2068</v>
      </c>
      <c r="AZ118" s="47" t="s">
        <v>2069</v>
      </c>
      <c r="BA118" s="47" t="s">
        <v>2070</v>
      </c>
      <c r="BB118" s="47" t="s">
        <v>2071</v>
      </c>
      <c r="BC118" s="47" t="s">
        <v>2072</v>
      </c>
      <c r="BD118" s="47" t="s">
        <v>2073</v>
      </c>
      <c r="BE118" s="47" t="s">
        <v>2074</v>
      </c>
      <c r="BF118" s="47" t="s">
        <v>2075</v>
      </c>
      <c r="BG118" s="47" t="s">
        <v>2076</v>
      </c>
      <c r="BH118" s="47" t="s">
        <v>2077</v>
      </c>
      <c r="BI118" s="47" t="s">
        <v>2078</v>
      </c>
      <c r="BJ118" s="47" t="s">
        <v>2079</v>
      </c>
      <c r="BK118" s="47" t="s">
        <v>2080</v>
      </c>
      <c r="BL118" s="47" t="s">
        <v>2081</v>
      </c>
      <c r="BM118" s="47" t="s">
        <v>2082</v>
      </c>
      <c r="BN118" s="47" t="s">
        <v>2083</v>
      </c>
      <c r="BO118" s="47" t="s">
        <v>2084</v>
      </c>
      <c r="BP118" s="47" t="s">
        <v>2085</v>
      </c>
      <c r="BQ118" s="47" t="s">
        <v>2086</v>
      </c>
      <c r="BR118" s="47" t="s">
        <v>2087</v>
      </c>
      <c r="BS118" s="47" t="s">
        <v>2088</v>
      </c>
      <c r="BT118" s="47" t="s">
        <v>2089</v>
      </c>
      <c r="BU118" s="47" t="s">
        <v>2090</v>
      </c>
      <c r="BV118" s="47" t="s">
        <v>2091</v>
      </c>
      <c r="BW118" s="47" t="s">
        <v>2092</v>
      </c>
      <c r="BX118" s="47" t="s">
        <v>2093</v>
      </c>
      <c r="BY118" s="47" t="s">
        <v>2094</v>
      </c>
      <c r="BZ118" s="47" t="s">
        <v>2095</v>
      </c>
      <c r="CA118" s="47" t="s">
        <v>2096</v>
      </c>
      <c r="CB118" s="47" t="s">
        <v>2097</v>
      </c>
      <c r="CC118" s="47" t="s">
        <v>2098</v>
      </c>
      <c r="CD118" s="47" t="s">
        <v>42</v>
      </c>
      <c r="CE118" s="47" t="s">
        <v>41</v>
      </c>
      <c r="CF118" s="47" t="s">
        <v>2099</v>
      </c>
      <c r="CG118" s="47" t="s">
        <v>2100</v>
      </c>
      <c r="CH118" s="47" t="s">
        <v>2101</v>
      </c>
      <c r="CI118" s="47" t="s">
        <v>2102</v>
      </c>
      <c r="CJ118" s="47" t="s">
        <v>2103</v>
      </c>
      <c r="CK118" s="47" t="s">
        <v>2104</v>
      </c>
      <c r="CL118" s="47"/>
      <c r="CM118" s="47" t="s">
        <v>2105</v>
      </c>
      <c r="CN118" s="47" t="s">
        <v>2106</v>
      </c>
      <c r="CO118" s="47" t="s">
        <v>2107</v>
      </c>
      <c r="CP118" s="47" t="s">
        <v>2108</v>
      </c>
      <c r="CQ118" s="47" t="s">
        <v>2109</v>
      </c>
      <c r="CR118" s="47" t="s">
        <v>2110</v>
      </c>
      <c r="CS118" s="47" t="s">
        <v>2111</v>
      </c>
      <c r="CT118" s="47" t="s">
        <v>2112</v>
      </c>
      <c r="CU118" s="47" t="s">
        <v>2113</v>
      </c>
      <c r="CV118" s="47" t="s">
        <v>2114</v>
      </c>
      <c r="CW118" s="47" t="s">
        <v>2115</v>
      </c>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row>
    <row r="119" spans="1:131">
      <c r="A119" s="27" t="s">
        <v>234</v>
      </c>
      <c r="B119" s="27"/>
      <c r="C119" s="38">
        <v>45</v>
      </c>
      <c r="D119" s="38">
        <v>704.9921890197345</v>
      </c>
      <c r="E119" s="38">
        <v>0</v>
      </c>
      <c r="F119" s="38">
        <v>414.11354893012162</v>
      </c>
      <c r="G119" s="38">
        <v>0</v>
      </c>
      <c r="H119" s="38">
        <v>0</v>
      </c>
      <c r="I119" s="38"/>
      <c r="J119" s="38"/>
      <c r="K119" s="38"/>
      <c r="L119" s="38">
        <v>805.93621817691815</v>
      </c>
      <c r="M119" s="38">
        <v>0.42014353020344541</v>
      </c>
      <c r="N119" s="38">
        <v>0.3986181500981455</v>
      </c>
      <c r="O119" s="38">
        <v>0</v>
      </c>
      <c r="P119" s="38">
        <v>0</v>
      </c>
      <c r="Q119" s="38">
        <v>0</v>
      </c>
      <c r="R119" s="38">
        <v>54.164281954737625</v>
      </c>
      <c r="S119" s="38">
        <v>13.410580420351993</v>
      </c>
      <c r="T119" s="38">
        <v>111.88109929019546</v>
      </c>
      <c r="U119" s="38">
        <v>96.781931863617586</v>
      </c>
      <c r="V119" s="38">
        <v>24.846812935807296</v>
      </c>
      <c r="W119" s="38">
        <v>6.2117032339518232</v>
      </c>
      <c r="X119" s="38">
        <v>51.764193616265203</v>
      </c>
      <c r="Y119" s="38">
        <v>0</v>
      </c>
      <c r="Z119" s="38">
        <v>0</v>
      </c>
      <c r="AA119" s="38">
        <v>0</v>
      </c>
      <c r="AB119" s="38">
        <v>0</v>
      </c>
      <c r="AC119" s="38">
        <v>0</v>
      </c>
      <c r="AD119" s="38">
        <v>0</v>
      </c>
      <c r="AE119" s="38">
        <v>0</v>
      </c>
      <c r="AF119" s="38">
        <v>0</v>
      </c>
      <c r="AG119" s="38">
        <v>0</v>
      </c>
      <c r="AH119" s="38">
        <v>79.011094890544925</v>
      </c>
      <c r="AI119" s="38">
        <v>19.622283654303814</v>
      </c>
      <c r="AJ119" s="38">
        <v>163.64529290646067</v>
      </c>
      <c r="AK119" s="38">
        <v>96.781931863617586</v>
      </c>
      <c r="AL119" s="38">
        <v>359.06060331492699</v>
      </c>
      <c r="AM119" s="38">
        <v>424.71606129015839</v>
      </c>
      <c r="AN119" s="38">
        <v>148.4570798669819</v>
      </c>
      <c r="AO119" s="38">
        <v>57.317314115714034</v>
      </c>
      <c r="AP119" s="38">
        <v>0</v>
      </c>
      <c r="AQ119" s="38">
        <v>630.49045527285432</v>
      </c>
      <c r="AR119" s="38">
        <v>79.011094890544925</v>
      </c>
      <c r="AS119" s="49">
        <v>7.9797711466507426</v>
      </c>
      <c r="AT119" s="38">
        <v>424.71606129015839</v>
      </c>
      <c r="AU119" s="38">
        <v>167.93787315269441</v>
      </c>
      <c r="AV119" s="38">
        <v>59.26539344428528</v>
      </c>
      <c r="AW119" s="38">
        <v>0</v>
      </c>
      <c r="AX119" s="38">
        <v>651.91932788713802</v>
      </c>
      <c r="AY119" s="38">
        <v>19.622283654303814</v>
      </c>
      <c r="AZ119" s="49">
        <v>33.223417792360301</v>
      </c>
      <c r="BA119" s="38">
        <v>424.71606129015839</v>
      </c>
      <c r="BB119" s="38">
        <v>316.39495301967634</v>
      </c>
      <c r="BC119" s="38">
        <v>74.111101430983467</v>
      </c>
      <c r="BD119" s="38">
        <v>0</v>
      </c>
      <c r="BE119" s="38">
        <v>815.22211574081814</v>
      </c>
      <c r="BF119" s="38">
        <v>98.633378544848739</v>
      </c>
      <c r="BG119" s="38">
        <v>-26.647893321920041</v>
      </c>
      <c r="BH119" s="49">
        <v>8.2651748096627902</v>
      </c>
      <c r="BI119" s="38">
        <v>7.213690768952941</v>
      </c>
      <c r="BJ119" s="38">
        <v>1.7915089856547028</v>
      </c>
      <c r="BK119" s="38">
        <v>14.940769273698569</v>
      </c>
      <c r="BL119" s="38">
        <v>8.8361631926905169</v>
      </c>
      <c r="BM119" s="38">
        <v>32.782132220996729</v>
      </c>
      <c r="BN119" s="38">
        <v>424.71606129015839</v>
      </c>
      <c r="BO119" s="38">
        <v>0</v>
      </c>
      <c r="BP119" s="38">
        <v>316.39495301967634</v>
      </c>
      <c r="BQ119" s="38">
        <v>0</v>
      </c>
      <c r="BR119" s="38">
        <v>0</v>
      </c>
      <c r="BS119" s="38">
        <v>0</v>
      </c>
      <c r="BT119" s="38">
        <v>0</v>
      </c>
      <c r="BU119" s="38">
        <v>0</v>
      </c>
      <c r="BV119" s="38">
        <v>0</v>
      </c>
      <c r="BW119" s="38">
        <v>74.111101430983467</v>
      </c>
      <c r="BX119" s="38">
        <v>276.23789352890265</v>
      </c>
      <c r="BY119" s="38">
        <v>82.822709786024333</v>
      </c>
      <c r="BZ119" s="38">
        <v>0</v>
      </c>
      <c r="CA119" s="38">
        <v>0</v>
      </c>
      <c r="CB119" s="38">
        <v>815.22211574081825</v>
      </c>
      <c r="CC119" s="38">
        <v>359.06060331492699</v>
      </c>
      <c r="CD119" s="49">
        <v>2.2704304181926593</v>
      </c>
      <c r="CE119" s="38">
        <v>-2.8709608555309631</v>
      </c>
      <c r="CF119" s="38">
        <v>7.6564794461925132</v>
      </c>
      <c r="CG119" s="38">
        <v>0</v>
      </c>
      <c r="CH119" s="38">
        <v>7.6564794461925132</v>
      </c>
      <c r="CI119" s="38">
        <v>0.38281970363403617</v>
      </c>
      <c r="CJ119" s="38">
        <v>0</v>
      </c>
      <c r="CK119" s="38">
        <v>0.38281970363403617</v>
      </c>
      <c r="CL119" s="38"/>
      <c r="CM119" s="38">
        <v>0</v>
      </c>
      <c r="CN119" s="38"/>
      <c r="CO119" s="38">
        <v>0</v>
      </c>
      <c r="CP119" s="38">
        <v>0</v>
      </c>
      <c r="CQ119" s="38">
        <v>0</v>
      </c>
      <c r="CR119" s="38">
        <v>0</v>
      </c>
      <c r="CS119" s="38">
        <v>0</v>
      </c>
      <c r="CT119" s="38">
        <v>0</v>
      </c>
      <c r="CU119" s="38">
        <v>163.64529290646067</v>
      </c>
      <c r="CV119" s="38">
        <v>9999</v>
      </c>
      <c r="CW119" s="50">
        <v>0</v>
      </c>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row>
    <row r="120" spans="1:131">
      <c r="A120" s="27" t="s">
        <v>223</v>
      </c>
      <c r="B120" s="27"/>
      <c r="C120" s="38">
        <v>45</v>
      </c>
      <c r="D120" s="38">
        <v>623.13432819793707</v>
      </c>
      <c r="E120" s="38">
        <v>0</v>
      </c>
      <c r="F120" s="38">
        <v>414.11354893012168</v>
      </c>
      <c r="G120" s="38">
        <v>0</v>
      </c>
      <c r="H120" s="38">
        <v>0</v>
      </c>
      <c r="I120" s="38"/>
      <c r="J120" s="38"/>
      <c r="K120" s="38"/>
      <c r="L120" s="38">
        <v>712.3575717659503</v>
      </c>
      <c r="M120" s="38">
        <v>0.37135993918466664</v>
      </c>
      <c r="N120" s="38">
        <v>0.352333908144845</v>
      </c>
      <c r="O120" s="38">
        <v>0</v>
      </c>
      <c r="P120" s="38">
        <v>0</v>
      </c>
      <c r="Q120" s="38">
        <v>0</v>
      </c>
      <c r="R120" s="38">
        <v>54.164281954737632</v>
      </c>
      <c r="S120" s="38">
        <v>13.410580420351994</v>
      </c>
      <c r="T120" s="38">
        <v>111.88109929019546</v>
      </c>
      <c r="U120" s="38">
        <v>96.781931863617615</v>
      </c>
      <c r="V120" s="38">
        <v>24.8468129358073</v>
      </c>
      <c r="W120" s="38">
        <v>6.2117032339518241</v>
      </c>
      <c r="X120" s="38">
        <v>51.76419361626521</v>
      </c>
      <c r="Y120" s="38">
        <v>0</v>
      </c>
      <c r="Z120" s="38">
        <v>0</v>
      </c>
      <c r="AA120" s="38">
        <v>0</v>
      </c>
      <c r="AB120" s="38">
        <v>0</v>
      </c>
      <c r="AC120" s="38">
        <v>0</v>
      </c>
      <c r="AD120" s="38">
        <v>0</v>
      </c>
      <c r="AE120" s="38">
        <v>0</v>
      </c>
      <c r="AF120" s="38">
        <v>0</v>
      </c>
      <c r="AG120" s="38">
        <v>0</v>
      </c>
      <c r="AH120" s="38">
        <v>79.011094890544939</v>
      </c>
      <c r="AI120" s="38">
        <v>19.622283654303818</v>
      </c>
      <c r="AJ120" s="38">
        <v>163.64529290646067</v>
      </c>
      <c r="AK120" s="38">
        <v>96.781931863617615</v>
      </c>
      <c r="AL120" s="38">
        <v>359.06060331492705</v>
      </c>
      <c r="AM120" s="38">
        <v>375.40154578862786</v>
      </c>
      <c r="AN120" s="38">
        <v>131.21947188914129</v>
      </c>
      <c r="AO120" s="38">
        <v>50.662101767776917</v>
      </c>
      <c r="AP120" s="38">
        <v>0</v>
      </c>
      <c r="AQ120" s="38">
        <v>557.28311944554605</v>
      </c>
      <c r="AR120" s="38">
        <v>79.011094890544939</v>
      </c>
      <c r="AS120" s="49">
        <v>7.0532261351087131</v>
      </c>
      <c r="AT120" s="38">
        <v>375.40154578862786</v>
      </c>
      <c r="AU120" s="38">
        <v>148.43831661667565</v>
      </c>
      <c r="AV120" s="38">
        <v>52.383986240530355</v>
      </c>
      <c r="AW120" s="38">
        <v>0</v>
      </c>
      <c r="AX120" s="38">
        <v>576.22384864583387</v>
      </c>
      <c r="AY120" s="38">
        <v>19.622283654303818</v>
      </c>
      <c r="AZ120" s="49">
        <v>29.365789364656791</v>
      </c>
      <c r="BA120" s="38">
        <v>375.40154578862786</v>
      </c>
      <c r="BB120" s="38">
        <v>279.65778850581694</v>
      </c>
      <c r="BC120" s="38">
        <v>65.505933429444482</v>
      </c>
      <c r="BD120" s="38">
        <v>0</v>
      </c>
      <c r="BE120" s="38">
        <v>720.56526772388929</v>
      </c>
      <c r="BF120" s="38">
        <v>98.633378544848739</v>
      </c>
      <c r="BG120" s="38">
        <v>-25.464927860336605</v>
      </c>
      <c r="BH120" s="49">
        <v>7.305491085821898</v>
      </c>
      <c r="BI120" s="38">
        <v>8.1613151707157439</v>
      </c>
      <c r="BJ120" s="38">
        <v>2.0268500454753386</v>
      </c>
      <c r="BK120" s="38">
        <v>16.903459108671864</v>
      </c>
      <c r="BL120" s="38">
        <v>9.9969232152007734</v>
      </c>
      <c r="BM120" s="38">
        <v>37.088547540063722</v>
      </c>
      <c r="BN120" s="38">
        <v>375.40154578862786</v>
      </c>
      <c r="BO120" s="38">
        <v>0</v>
      </c>
      <c r="BP120" s="38">
        <v>279.65778850581694</v>
      </c>
      <c r="BQ120" s="38">
        <v>0</v>
      </c>
      <c r="BR120" s="38">
        <v>0</v>
      </c>
      <c r="BS120" s="38">
        <v>0</v>
      </c>
      <c r="BT120" s="38">
        <v>0</v>
      </c>
      <c r="BU120" s="38">
        <v>0</v>
      </c>
      <c r="BV120" s="38">
        <v>0</v>
      </c>
      <c r="BW120" s="38">
        <v>65.505933429444482</v>
      </c>
      <c r="BX120" s="38">
        <v>276.2378935289027</v>
      </c>
      <c r="BY120" s="38">
        <v>82.822709786024348</v>
      </c>
      <c r="BZ120" s="38">
        <v>0</v>
      </c>
      <c r="CA120" s="38">
        <v>0</v>
      </c>
      <c r="CB120" s="38">
        <v>720.56526772388929</v>
      </c>
      <c r="CC120" s="38">
        <v>359.06060331492705</v>
      </c>
      <c r="CD120" s="49">
        <v>2.0068068205519376</v>
      </c>
      <c r="CE120" s="38">
        <v>1.4354544635360371</v>
      </c>
      <c r="CF120" s="38">
        <v>6.767472392422401</v>
      </c>
      <c r="CG120" s="38">
        <v>0</v>
      </c>
      <c r="CH120" s="38">
        <v>6.767472392422401</v>
      </c>
      <c r="CI120" s="38">
        <v>0.33836984658882635</v>
      </c>
      <c r="CJ120" s="38">
        <v>0</v>
      </c>
      <c r="CK120" s="38">
        <v>0.33836984658882635</v>
      </c>
      <c r="CL120" s="38"/>
      <c r="CM120" s="38">
        <v>0</v>
      </c>
      <c r="CN120" s="38"/>
      <c r="CO120" s="38">
        <v>0</v>
      </c>
      <c r="CP120" s="38">
        <v>0</v>
      </c>
      <c r="CQ120" s="38">
        <v>0</v>
      </c>
      <c r="CR120" s="38">
        <v>0</v>
      </c>
      <c r="CS120" s="38">
        <v>0</v>
      </c>
      <c r="CT120" s="38">
        <v>0</v>
      </c>
      <c r="CU120" s="38">
        <v>163.64529290646067</v>
      </c>
      <c r="CV120" s="38">
        <v>9999</v>
      </c>
      <c r="CW120" s="50">
        <v>0</v>
      </c>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row>
    <row r="121" spans="1:131">
      <c r="A121" s="27" t="s">
        <v>239</v>
      </c>
      <c r="B121" s="27"/>
      <c r="C121" s="38">
        <v>45</v>
      </c>
      <c r="D121" s="38">
        <v>4603.3966563064459</v>
      </c>
      <c r="E121" s="38">
        <v>0</v>
      </c>
      <c r="F121" s="38">
        <v>4101.7368570659019</v>
      </c>
      <c r="G121" s="38">
        <v>0</v>
      </c>
      <c r="H121" s="38">
        <v>0</v>
      </c>
      <c r="I121" s="38"/>
      <c r="J121" s="38"/>
      <c r="K121" s="38"/>
      <c r="L121" s="38">
        <v>5262.5321950170346</v>
      </c>
      <c r="M121" s="38">
        <v>2.7434166679159997</v>
      </c>
      <c r="N121" s="38">
        <v>2.6028621137722956</v>
      </c>
      <c r="O121" s="38">
        <v>0</v>
      </c>
      <c r="P121" s="38">
        <v>0</v>
      </c>
      <c r="Q121" s="38">
        <v>0</v>
      </c>
      <c r="R121" s="38">
        <v>536.48964687157786</v>
      </c>
      <c r="S121" s="38">
        <v>132.82992581845238</v>
      </c>
      <c r="T121" s="38">
        <v>1108.1666604564084</v>
      </c>
      <c r="U121" s="38">
        <v>958.61151621008025</v>
      </c>
      <c r="V121" s="38">
        <v>246.10421142395413</v>
      </c>
      <c r="W121" s="38">
        <v>61.526052855988517</v>
      </c>
      <c r="X121" s="38">
        <v>512.71710713323773</v>
      </c>
      <c r="Y121" s="38">
        <v>0</v>
      </c>
      <c r="Z121" s="38">
        <v>0</v>
      </c>
      <c r="AA121" s="38">
        <v>0</v>
      </c>
      <c r="AB121" s="38">
        <v>0</v>
      </c>
      <c r="AC121" s="38">
        <v>0</v>
      </c>
      <c r="AD121" s="38">
        <v>0</v>
      </c>
      <c r="AE121" s="38">
        <v>0</v>
      </c>
      <c r="AF121" s="38">
        <v>0</v>
      </c>
      <c r="AG121" s="38">
        <v>0</v>
      </c>
      <c r="AH121" s="38">
        <v>782.59385829553196</v>
      </c>
      <c r="AI121" s="38">
        <v>194.35597867444091</v>
      </c>
      <c r="AJ121" s="38">
        <v>1620.8837675896461</v>
      </c>
      <c r="AK121" s="38">
        <v>958.61151621008025</v>
      </c>
      <c r="AL121" s="38">
        <v>3556.4451207696993</v>
      </c>
      <c r="AM121" s="38">
        <v>2773.2739835618677</v>
      </c>
      <c r="AN121" s="38">
        <v>969.38212324725896</v>
      </c>
      <c r="AO121" s="38">
        <v>374.26561068091269</v>
      </c>
      <c r="AP121" s="38">
        <v>0</v>
      </c>
      <c r="AQ121" s="38">
        <v>4116.9217174900396</v>
      </c>
      <c r="AR121" s="38">
        <v>782.59385829553196</v>
      </c>
      <c r="AS121" s="49">
        <v>5.2606108185624949</v>
      </c>
      <c r="AT121" s="38">
        <v>2773.2739835618677</v>
      </c>
      <c r="AU121" s="38">
        <v>1096.5861122706549</v>
      </c>
      <c r="AV121" s="38">
        <v>386.98600958325227</v>
      </c>
      <c r="AW121" s="38">
        <v>0</v>
      </c>
      <c r="AX121" s="38">
        <v>4256.8461054157742</v>
      </c>
      <c r="AY121" s="38">
        <v>194.35597867444091</v>
      </c>
      <c r="AZ121" s="49">
        <v>21.902316226383096</v>
      </c>
      <c r="BA121" s="38">
        <v>2773.2739835618677</v>
      </c>
      <c r="BB121" s="38">
        <v>2065.9682355179139</v>
      </c>
      <c r="BC121" s="38">
        <v>483.92422190797816</v>
      </c>
      <c r="BD121" s="38">
        <v>0</v>
      </c>
      <c r="BE121" s="38">
        <v>5323.1664409877594</v>
      </c>
      <c r="BF121" s="38">
        <v>976.94983696997292</v>
      </c>
      <c r="BG121" s="38">
        <v>-21.993190139385352</v>
      </c>
      <c r="BH121" s="49">
        <v>5.4487612767280389</v>
      </c>
      <c r="BI121" s="38">
        <v>10.942379781418852</v>
      </c>
      <c r="BJ121" s="38">
        <v>2.7175231557234643</v>
      </c>
      <c r="BK121" s="38">
        <v>22.663512597878277</v>
      </c>
      <c r="BL121" s="38">
        <v>13.403492963844972</v>
      </c>
      <c r="BM121" s="38">
        <v>49.726908498865562</v>
      </c>
      <c r="BN121" s="38">
        <v>2773.2739835618677</v>
      </c>
      <c r="BO121" s="38">
        <v>0</v>
      </c>
      <c r="BP121" s="38">
        <v>2065.9682355179139</v>
      </c>
      <c r="BQ121" s="38">
        <v>0</v>
      </c>
      <c r="BR121" s="38">
        <v>0</v>
      </c>
      <c r="BS121" s="38">
        <v>0</v>
      </c>
      <c r="BT121" s="38">
        <v>0</v>
      </c>
      <c r="BU121" s="38">
        <v>0</v>
      </c>
      <c r="BV121" s="38">
        <v>0</v>
      </c>
      <c r="BW121" s="38">
        <v>483.92422190797816</v>
      </c>
      <c r="BX121" s="38">
        <v>2736.0977493565188</v>
      </c>
      <c r="BY121" s="38">
        <v>820.34737141318044</v>
      </c>
      <c r="BZ121" s="38">
        <v>0</v>
      </c>
      <c r="CA121" s="38">
        <v>0</v>
      </c>
      <c r="CB121" s="38">
        <v>5323.1664409877594</v>
      </c>
      <c r="CC121" s="38">
        <v>3556.4451207696993</v>
      </c>
      <c r="CD121" s="49">
        <v>1.49676608529691</v>
      </c>
      <c r="CE121" s="38">
        <v>14.073815422337896</v>
      </c>
      <c r="CF121" s="38">
        <v>49.994613317190961</v>
      </c>
      <c r="CG121" s="38">
        <v>0</v>
      </c>
      <c r="CH121" s="38">
        <v>49.994613317190961</v>
      </c>
      <c r="CI121" s="38">
        <v>2.4997027926330913</v>
      </c>
      <c r="CJ121" s="38">
        <v>0</v>
      </c>
      <c r="CK121" s="38">
        <v>2.4997027926330913</v>
      </c>
      <c r="CL121" s="38"/>
      <c r="CM121" s="38">
        <v>0</v>
      </c>
      <c r="CN121" s="38"/>
      <c r="CO121" s="38">
        <v>0</v>
      </c>
      <c r="CP121" s="38">
        <v>0</v>
      </c>
      <c r="CQ121" s="38">
        <v>0</v>
      </c>
      <c r="CR121" s="38">
        <v>0</v>
      </c>
      <c r="CS121" s="38">
        <v>0</v>
      </c>
      <c r="CT121" s="38">
        <v>0</v>
      </c>
      <c r="CU121" s="38">
        <v>1620.8837675896461</v>
      </c>
      <c r="CV121" s="38">
        <v>9999</v>
      </c>
      <c r="CW121" s="50">
        <v>0</v>
      </c>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row>
    <row r="122" spans="1:131">
      <c r="A122" s="27" t="s">
        <v>237</v>
      </c>
      <c r="B122" s="27"/>
      <c r="C122" s="38">
        <v>45</v>
      </c>
      <c r="D122" s="38">
        <v>4233.5666119273837</v>
      </c>
      <c r="E122" s="38">
        <v>0</v>
      </c>
      <c r="F122" s="38">
        <v>3865.0968570659024</v>
      </c>
      <c r="G122" s="38">
        <v>0</v>
      </c>
      <c r="H122" s="38">
        <v>0</v>
      </c>
      <c r="I122" s="38"/>
      <c r="J122" s="38"/>
      <c r="K122" s="38"/>
      <c r="L122" s="38">
        <v>4839.7481812685928</v>
      </c>
      <c r="M122" s="38">
        <v>2.5230146509280265</v>
      </c>
      <c r="N122" s="38">
        <v>2.3937520407286779</v>
      </c>
      <c r="O122" s="38">
        <v>0</v>
      </c>
      <c r="P122" s="38">
        <v>0</v>
      </c>
      <c r="Q122" s="38">
        <v>0</v>
      </c>
      <c r="R122" s="38">
        <v>505.53814645609174</v>
      </c>
      <c r="S122" s="38">
        <v>125.16661762950061</v>
      </c>
      <c r="T122" s="38">
        <v>1044.2336077841831</v>
      </c>
      <c r="U122" s="38">
        <v>903.30669361884679</v>
      </c>
      <c r="V122" s="38">
        <v>231.90581142395416</v>
      </c>
      <c r="W122" s="38">
        <v>57.976452855988526</v>
      </c>
      <c r="X122" s="38">
        <v>483.13710713323781</v>
      </c>
      <c r="Y122" s="38">
        <v>0</v>
      </c>
      <c r="Z122" s="38">
        <v>0</v>
      </c>
      <c r="AA122" s="38">
        <v>0</v>
      </c>
      <c r="AB122" s="38">
        <v>0</v>
      </c>
      <c r="AC122" s="38">
        <v>0</v>
      </c>
      <c r="AD122" s="38">
        <v>0</v>
      </c>
      <c r="AE122" s="38">
        <v>0</v>
      </c>
      <c r="AF122" s="38">
        <v>0</v>
      </c>
      <c r="AG122" s="38">
        <v>0</v>
      </c>
      <c r="AH122" s="38">
        <v>737.4439578800459</v>
      </c>
      <c r="AI122" s="38">
        <v>183.14307048548915</v>
      </c>
      <c r="AJ122" s="38">
        <v>1527.3707149174209</v>
      </c>
      <c r="AK122" s="38">
        <v>903.30669361884679</v>
      </c>
      <c r="AL122" s="38">
        <v>3351.264436901803</v>
      </c>
      <c r="AM122" s="38">
        <v>2550.4732742180568</v>
      </c>
      <c r="AN122" s="38">
        <v>891.50340446041184</v>
      </c>
      <c r="AO122" s="38">
        <v>344.19766786784686</v>
      </c>
      <c r="AP122" s="38">
        <v>0</v>
      </c>
      <c r="AQ122" s="38">
        <v>3786.1743465463155</v>
      </c>
      <c r="AR122" s="38">
        <v>737.4439578800459</v>
      </c>
      <c r="AS122" s="49">
        <v>5.1341858673987293</v>
      </c>
      <c r="AT122" s="38">
        <v>2550.4732742180568</v>
      </c>
      <c r="AU122" s="38">
        <v>1008.4880140954887</v>
      </c>
      <c r="AV122" s="38">
        <v>355.89612883135459</v>
      </c>
      <c r="AW122" s="38">
        <v>0</v>
      </c>
      <c r="AX122" s="38">
        <v>3914.8574171449</v>
      </c>
      <c r="AY122" s="38">
        <v>183.14307048548915</v>
      </c>
      <c r="AZ122" s="49">
        <v>21.375951635882849</v>
      </c>
      <c r="BA122" s="38">
        <v>2550.4732742180568</v>
      </c>
      <c r="BB122" s="38">
        <v>1899.9914185559005</v>
      </c>
      <c r="BC122" s="38">
        <v>445.04646927739577</v>
      </c>
      <c r="BD122" s="38">
        <v>0</v>
      </c>
      <c r="BE122" s="38">
        <v>4895.5111620513535</v>
      </c>
      <c r="BF122" s="38">
        <v>920.58702836553505</v>
      </c>
      <c r="BG122" s="38">
        <v>-21.656826671771988</v>
      </c>
      <c r="BH122" s="49">
        <v>5.3178146239396131</v>
      </c>
      <c r="BI122" s="38">
        <v>11.211826557443363</v>
      </c>
      <c r="BJ122" s="38">
        <v>2.7844398473123486</v>
      </c>
      <c r="BK122" s="38">
        <v>23.221582279690899</v>
      </c>
      <c r="BL122" s="38">
        <v>13.733542554401858</v>
      </c>
      <c r="BM122" s="38">
        <v>50.951391238848473</v>
      </c>
      <c r="BN122" s="38">
        <v>2550.4732742180568</v>
      </c>
      <c r="BO122" s="38">
        <v>0</v>
      </c>
      <c r="BP122" s="38">
        <v>1899.9914185559005</v>
      </c>
      <c r="BQ122" s="38">
        <v>0</v>
      </c>
      <c r="BR122" s="38">
        <v>0</v>
      </c>
      <c r="BS122" s="38">
        <v>0</v>
      </c>
      <c r="BT122" s="38">
        <v>0</v>
      </c>
      <c r="BU122" s="38">
        <v>0</v>
      </c>
      <c r="BV122" s="38">
        <v>0</v>
      </c>
      <c r="BW122" s="38">
        <v>445.04646927739577</v>
      </c>
      <c r="BX122" s="38">
        <v>2578.2450654886225</v>
      </c>
      <c r="BY122" s="38">
        <v>773.01937141318058</v>
      </c>
      <c r="BZ122" s="38">
        <v>0</v>
      </c>
      <c r="CA122" s="38">
        <v>0</v>
      </c>
      <c r="CB122" s="38">
        <v>4895.5111620513526</v>
      </c>
      <c r="CC122" s="38">
        <v>3351.264436901803</v>
      </c>
      <c r="CD122" s="49">
        <v>1.4607952473536179</v>
      </c>
      <c r="CE122" s="38">
        <v>15.298298162320789</v>
      </c>
      <c r="CF122" s="38">
        <v>45.978120400709159</v>
      </c>
      <c r="CG122" s="38">
        <v>0</v>
      </c>
      <c r="CH122" s="38">
        <v>45.978120400709159</v>
      </c>
      <c r="CI122" s="38">
        <v>2.2988803861025815</v>
      </c>
      <c r="CJ122" s="38">
        <v>0</v>
      </c>
      <c r="CK122" s="38">
        <v>2.2988803861025815</v>
      </c>
      <c r="CL122" s="38"/>
      <c r="CM122" s="38">
        <v>0</v>
      </c>
      <c r="CN122" s="38"/>
      <c r="CO122" s="38">
        <v>0</v>
      </c>
      <c r="CP122" s="38">
        <v>0</v>
      </c>
      <c r="CQ122" s="38">
        <v>0</v>
      </c>
      <c r="CR122" s="38">
        <v>0</v>
      </c>
      <c r="CS122" s="38">
        <v>0</v>
      </c>
      <c r="CT122" s="38">
        <v>0</v>
      </c>
      <c r="CU122" s="38">
        <v>1527.3707149174209</v>
      </c>
      <c r="CV122" s="38">
        <v>9999</v>
      </c>
      <c r="CW122" s="50">
        <v>0</v>
      </c>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row>
    <row r="123" spans="1:131">
      <c r="A123" s="27" t="s">
        <v>228</v>
      </c>
      <c r="B123" s="27"/>
      <c r="C123" s="38">
        <v>45</v>
      </c>
      <c r="D123" s="38">
        <v>4065.806191421078</v>
      </c>
      <c r="E123" s="38">
        <v>0</v>
      </c>
      <c r="F123" s="38">
        <v>4101.7368570659019</v>
      </c>
      <c r="G123" s="38">
        <v>0</v>
      </c>
      <c r="H123" s="38">
        <v>0</v>
      </c>
      <c r="I123" s="38"/>
      <c r="J123" s="38"/>
      <c r="K123" s="38"/>
      <c r="L123" s="38">
        <v>4647.967050968954</v>
      </c>
      <c r="M123" s="38">
        <v>2.423037010894967</v>
      </c>
      <c r="N123" s="38">
        <v>2.2988965947770081</v>
      </c>
      <c r="O123" s="38">
        <v>0</v>
      </c>
      <c r="P123" s="38">
        <v>0</v>
      </c>
      <c r="Q123" s="38">
        <v>0</v>
      </c>
      <c r="R123" s="38">
        <v>536.48964687157786</v>
      </c>
      <c r="S123" s="38">
        <v>132.82992581845238</v>
      </c>
      <c r="T123" s="38">
        <v>1108.1666604564084</v>
      </c>
      <c r="U123" s="38">
        <v>958.61151621008025</v>
      </c>
      <c r="V123" s="38">
        <v>246.10421142395413</v>
      </c>
      <c r="W123" s="38">
        <v>61.526052855988517</v>
      </c>
      <c r="X123" s="38">
        <v>512.71710713323773</v>
      </c>
      <c r="Y123" s="38">
        <v>0</v>
      </c>
      <c r="Z123" s="38">
        <v>0</v>
      </c>
      <c r="AA123" s="38">
        <v>0</v>
      </c>
      <c r="AB123" s="38">
        <v>0</v>
      </c>
      <c r="AC123" s="38">
        <v>0</v>
      </c>
      <c r="AD123" s="38">
        <v>0</v>
      </c>
      <c r="AE123" s="38">
        <v>0</v>
      </c>
      <c r="AF123" s="38">
        <v>0</v>
      </c>
      <c r="AG123" s="38">
        <v>0</v>
      </c>
      <c r="AH123" s="38">
        <v>782.59385829553196</v>
      </c>
      <c r="AI123" s="38">
        <v>194.35597867444091</v>
      </c>
      <c r="AJ123" s="38">
        <v>1620.8837675896461</v>
      </c>
      <c r="AK123" s="38">
        <v>958.61151621008025</v>
      </c>
      <c r="AL123" s="38">
        <v>3556.4451207696993</v>
      </c>
      <c r="AM123" s="38">
        <v>2449.4075515795016</v>
      </c>
      <c r="AN123" s="38">
        <v>856.17645682393811</v>
      </c>
      <c r="AO123" s="38">
        <v>330.55840084034401</v>
      </c>
      <c r="AP123" s="38">
        <v>0</v>
      </c>
      <c r="AQ123" s="38">
        <v>3636.1424092437837</v>
      </c>
      <c r="AR123" s="38">
        <v>782.59385829553196</v>
      </c>
      <c r="AS123" s="49">
        <v>4.6462700552789959</v>
      </c>
      <c r="AT123" s="38">
        <v>2449.4075515795016</v>
      </c>
      <c r="AU123" s="38">
        <v>968.52540364698859</v>
      </c>
      <c r="AV123" s="38">
        <v>341.79329552264903</v>
      </c>
      <c r="AW123" s="38">
        <v>0</v>
      </c>
      <c r="AX123" s="38">
        <v>3759.7262507491396</v>
      </c>
      <c r="AY123" s="38">
        <v>194.35597867444091</v>
      </c>
      <c r="AZ123" s="49">
        <v>19.344536125883369</v>
      </c>
      <c r="BA123" s="38">
        <v>2449.4075515795016</v>
      </c>
      <c r="BB123" s="38">
        <v>1824.7018604709267</v>
      </c>
      <c r="BC123" s="38">
        <v>427.41094120504283</v>
      </c>
      <c r="BD123" s="38">
        <v>0</v>
      </c>
      <c r="BE123" s="38">
        <v>4701.5203532554715</v>
      </c>
      <c r="BF123" s="38">
        <v>976.94983696997292</v>
      </c>
      <c r="BG123" s="38">
        <v>-20.187045619815759</v>
      </c>
      <c r="BH123" s="49">
        <v>4.8124480657444186</v>
      </c>
      <c r="BI123" s="38">
        <v>12.389206992725045</v>
      </c>
      <c r="BJ123" s="38">
        <v>3.0768404639868749</v>
      </c>
      <c r="BK123" s="38">
        <v>25.660135579843473</v>
      </c>
      <c r="BL123" s="38">
        <v>15.17573435319725</v>
      </c>
      <c r="BM123" s="38">
        <v>56.301917389752639</v>
      </c>
      <c r="BN123" s="38">
        <v>2449.4075515795016</v>
      </c>
      <c r="BO123" s="38">
        <v>0</v>
      </c>
      <c r="BP123" s="38">
        <v>1824.7018604709267</v>
      </c>
      <c r="BQ123" s="38">
        <v>0</v>
      </c>
      <c r="BR123" s="38">
        <v>0</v>
      </c>
      <c r="BS123" s="38">
        <v>0</v>
      </c>
      <c r="BT123" s="38">
        <v>0</v>
      </c>
      <c r="BU123" s="38">
        <v>0</v>
      </c>
      <c r="BV123" s="38">
        <v>0</v>
      </c>
      <c r="BW123" s="38">
        <v>427.41094120504283</v>
      </c>
      <c r="BX123" s="38">
        <v>2736.0977493565188</v>
      </c>
      <c r="BY123" s="38">
        <v>820.34737141318044</v>
      </c>
      <c r="BZ123" s="38">
        <v>0</v>
      </c>
      <c r="CA123" s="38">
        <v>0</v>
      </c>
      <c r="CB123" s="38">
        <v>4701.5203532554715</v>
      </c>
      <c r="CC123" s="38">
        <v>3556.4451207696993</v>
      </c>
      <c r="CD123" s="49">
        <v>1.3219718549285391</v>
      </c>
      <c r="CE123" s="38">
        <v>20.648824313224956</v>
      </c>
      <c r="CF123" s="38">
        <v>44.156179347323715</v>
      </c>
      <c r="CG123" s="38">
        <v>0</v>
      </c>
      <c r="CH123" s="38">
        <v>44.156179347323715</v>
      </c>
      <c r="CI123" s="38">
        <v>2.2077843492102529</v>
      </c>
      <c r="CJ123" s="38">
        <v>0</v>
      </c>
      <c r="CK123" s="38">
        <v>2.2077843492102529</v>
      </c>
      <c r="CL123" s="38"/>
      <c r="CM123" s="38">
        <v>0</v>
      </c>
      <c r="CN123" s="38"/>
      <c r="CO123" s="38">
        <v>0</v>
      </c>
      <c r="CP123" s="38">
        <v>0</v>
      </c>
      <c r="CQ123" s="38">
        <v>0</v>
      </c>
      <c r="CR123" s="38">
        <v>0</v>
      </c>
      <c r="CS123" s="38">
        <v>0</v>
      </c>
      <c r="CT123" s="38">
        <v>0</v>
      </c>
      <c r="CU123" s="38">
        <v>1620.8837675896461</v>
      </c>
      <c r="CV123" s="38">
        <v>9999</v>
      </c>
      <c r="CW123" s="50">
        <v>0</v>
      </c>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row>
    <row r="124" spans="1:131">
      <c r="A124" s="27" t="s">
        <v>226</v>
      </c>
      <c r="B124" s="27"/>
      <c r="C124" s="38">
        <v>45</v>
      </c>
      <c r="D124" s="38">
        <v>3743.6189487666979</v>
      </c>
      <c r="E124" s="38">
        <v>0</v>
      </c>
      <c r="F124" s="38">
        <v>3865.0968570659024</v>
      </c>
      <c r="G124" s="38">
        <v>0</v>
      </c>
      <c r="H124" s="38">
        <v>0</v>
      </c>
      <c r="I124" s="38"/>
      <c r="J124" s="38"/>
      <c r="K124" s="38"/>
      <c r="L124" s="38">
        <v>4279.6475547618102</v>
      </c>
      <c r="M124" s="38">
        <v>2.2310279537399578</v>
      </c>
      <c r="N124" s="38">
        <v>2.1167248137950261</v>
      </c>
      <c r="O124" s="38">
        <v>0</v>
      </c>
      <c r="P124" s="38">
        <v>0</v>
      </c>
      <c r="Q124" s="38">
        <v>0</v>
      </c>
      <c r="R124" s="38">
        <v>505.53814645609174</v>
      </c>
      <c r="S124" s="38">
        <v>125.16661762950061</v>
      </c>
      <c r="T124" s="38">
        <v>1044.2336077841831</v>
      </c>
      <c r="U124" s="38">
        <v>903.30669361884679</v>
      </c>
      <c r="V124" s="38">
        <v>231.90581142395416</v>
      </c>
      <c r="W124" s="38">
        <v>57.976452855988526</v>
      </c>
      <c r="X124" s="38">
        <v>483.13710713323781</v>
      </c>
      <c r="Y124" s="38">
        <v>0</v>
      </c>
      <c r="Z124" s="38">
        <v>0</v>
      </c>
      <c r="AA124" s="38">
        <v>0</v>
      </c>
      <c r="AB124" s="38">
        <v>0</v>
      </c>
      <c r="AC124" s="38">
        <v>0</v>
      </c>
      <c r="AD124" s="38">
        <v>0</v>
      </c>
      <c r="AE124" s="38">
        <v>0</v>
      </c>
      <c r="AF124" s="38">
        <v>0</v>
      </c>
      <c r="AG124" s="38">
        <v>0</v>
      </c>
      <c r="AH124" s="38">
        <v>737.4439578800459</v>
      </c>
      <c r="AI124" s="38">
        <v>183.14307048548915</v>
      </c>
      <c r="AJ124" s="38">
        <v>1527.3707149174209</v>
      </c>
      <c r="AK124" s="38">
        <v>903.30669361884679</v>
      </c>
      <c r="AL124" s="38">
        <v>3351.264436901803</v>
      </c>
      <c r="AM124" s="38">
        <v>2255.3088100198615</v>
      </c>
      <c r="AN124" s="38">
        <v>788.33034737785897</v>
      </c>
      <c r="AO124" s="38">
        <v>304.36391573977204</v>
      </c>
      <c r="AP124" s="38">
        <v>0</v>
      </c>
      <c r="AQ124" s="38">
        <v>3348.0030731374927</v>
      </c>
      <c r="AR124" s="38">
        <v>737.4439578800459</v>
      </c>
      <c r="AS124" s="49">
        <v>4.5400101761794973</v>
      </c>
      <c r="AT124" s="38">
        <v>2255.3088100198615</v>
      </c>
      <c r="AU124" s="38">
        <v>891.77641106092597</v>
      </c>
      <c r="AV124" s="38">
        <v>314.7085221080788</v>
      </c>
      <c r="AW124" s="38">
        <v>0</v>
      </c>
      <c r="AX124" s="38">
        <v>3461.7937431888663</v>
      </c>
      <c r="AY124" s="38">
        <v>183.14307048548915</v>
      </c>
      <c r="AZ124" s="49">
        <v>18.902127904769142</v>
      </c>
      <c r="BA124" s="38">
        <v>2255.3088100198615</v>
      </c>
      <c r="BB124" s="38">
        <v>1680.1067584387849</v>
      </c>
      <c r="BC124" s="38">
        <v>393.54155684586465</v>
      </c>
      <c r="BD124" s="38">
        <v>0</v>
      </c>
      <c r="BE124" s="38">
        <v>4328.9571253045115</v>
      </c>
      <c r="BF124" s="38">
        <v>920.58702836553505</v>
      </c>
      <c r="BG124" s="38">
        <v>-19.825059573722751</v>
      </c>
      <c r="BH124" s="49">
        <v>4.7023877068856805</v>
      </c>
      <c r="BI124" s="38">
        <v>12.679178950077228</v>
      </c>
      <c r="BJ124" s="38">
        <v>3.1488545527277099</v>
      </c>
      <c r="BK124" s="38">
        <v>26.260716371203152</v>
      </c>
      <c r="BL124" s="38">
        <v>15.530925560934545</v>
      </c>
      <c r="BM124" s="38">
        <v>57.619675434942643</v>
      </c>
      <c r="BN124" s="38">
        <v>2255.3088100198615</v>
      </c>
      <c r="BO124" s="38">
        <v>0</v>
      </c>
      <c r="BP124" s="38">
        <v>1680.1067584387849</v>
      </c>
      <c r="BQ124" s="38">
        <v>0</v>
      </c>
      <c r="BR124" s="38">
        <v>0</v>
      </c>
      <c r="BS124" s="38">
        <v>0</v>
      </c>
      <c r="BT124" s="38">
        <v>0</v>
      </c>
      <c r="BU124" s="38">
        <v>0</v>
      </c>
      <c r="BV124" s="38">
        <v>0</v>
      </c>
      <c r="BW124" s="38">
        <v>393.54155684586465</v>
      </c>
      <c r="BX124" s="38">
        <v>2578.2450654886225</v>
      </c>
      <c r="BY124" s="38">
        <v>773.01937141318058</v>
      </c>
      <c r="BZ124" s="38">
        <v>0</v>
      </c>
      <c r="CA124" s="38">
        <v>0</v>
      </c>
      <c r="CB124" s="38">
        <v>4328.9571253045115</v>
      </c>
      <c r="CC124" s="38">
        <v>3351.264436901803</v>
      </c>
      <c r="CD124" s="49">
        <v>1.2917384488186112</v>
      </c>
      <c r="CE124" s="38">
        <v>21.96658235841495</v>
      </c>
      <c r="CF124" s="38">
        <v>40.657105116957069</v>
      </c>
      <c r="CG124" s="38">
        <v>0</v>
      </c>
      <c r="CH124" s="38">
        <v>40.657105116957069</v>
      </c>
      <c r="CI124" s="38">
        <v>2.0328325885118597</v>
      </c>
      <c r="CJ124" s="38">
        <v>0</v>
      </c>
      <c r="CK124" s="38">
        <v>2.0328325885118597</v>
      </c>
      <c r="CL124" s="38"/>
      <c r="CM124" s="38">
        <v>0</v>
      </c>
      <c r="CN124" s="38"/>
      <c r="CO124" s="38">
        <v>0</v>
      </c>
      <c r="CP124" s="38">
        <v>0</v>
      </c>
      <c r="CQ124" s="38">
        <v>0</v>
      </c>
      <c r="CR124" s="38">
        <v>0</v>
      </c>
      <c r="CS124" s="38">
        <v>0</v>
      </c>
      <c r="CT124" s="38">
        <v>0</v>
      </c>
      <c r="CU124" s="38">
        <v>1527.3707149174209</v>
      </c>
      <c r="CV124" s="38">
        <v>9999</v>
      </c>
      <c r="CW124" s="50">
        <v>0</v>
      </c>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row>
    <row r="125" spans="1:131">
      <c r="A125" s="27" t="s">
        <v>245</v>
      </c>
      <c r="B125" s="27"/>
      <c r="C125" s="38">
        <v>45</v>
      </c>
      <c r="D125" s="38">
        <v>350.13094277933425</v>
      </c>
      <c r="E125" s="38">
        <v>0</v>
      </c>
      <c r="F125" s="38">
        <v>414.11354893012162</v>
      </c>
      <c r="G125" s="38">
        <v>0</v>
      </c>
      <c r="H125" s="38">
        <v>0</v>
      </c>
      <c r="I125" s="38"/>
      <c r="J125" s="38"/>
      <c r="K125" s="38"/>
      <c r="L125" s="38">
        <v>400.26430403812111</v>
      </c>
      <c r="M125" s="38">
        <v>0.20866224140343231</v>
      </c>
      <c r="N125" s="38">
        <v>0.19797176603741204</v>
      </c>
      <c r="O125" s="38">
        <v>0</v>
      </c>
      <c r="P125" s="38">
        <v>0</v>
      </c>
      <c r="Q125" s="38">
        <v>0</v>
      </c>
      <c r="R125" s="38">
        <v>54.164281954737625</v>
      </c>
      <c r="S125" s="38">
        <v>13.410580420351993</v>
      </c>
      <c r="T125" s="38">
        <v>111.88109929019546</v>
      </c>
      <c r="U125" s="38">
        <v>96.781931863617586</v>
      </c>
      <c r="V125" s="38">
        <v>24.846812935807296</v>
      </c>
      <c r="W125" s="38">
        <v>6.2117032339518232</v>
      </c>
      <c r="X125" s="38">
        <v>51.764193616265203</v>
      </c>
      <c r="Y125" s="38">
        <v>0</v>
      </c>
      <c r="Z125" s="38">
        <v>0</v>
      </c>
      <c r="AA125" s="38">
        <v>0</v>
      </c>
      <c r="AB125" s="38">
        <v>0</v>
      </c>
      <c r="AC125" s="38">
        <v>0</v>
      </c>
      <c r="AD125" s="38">
        <v>0</v>
      </c>
      <c r="AE125" s="38">
        <v>0</v>
      </c>
      <c r="AF125" s="38">
        <v>0</v>
      </c>
      <c r="AG125" s="38">
        <v>0</v>
      </c>
      <c r="AH125" s="38">
        <v>79.011094890544925</v>
      </c>
      <c r="AI125" s="38">
        <v>19.622283654303814</v>
      </c>
      <c r="AJ125" s="38">
        <v>163.64529290646067</v>
      </c>
      <c r="AK125" s="38">
        <v>96.781931863617586</v>
      </c>
      <c r="AL125" s="38">
        <v>359.06060331492699</v>
      </c>
      <c r="AM125" s="38">
        <v>210.93316673454106</v>
      </c>
      <c r="AN125" s="38">
        <v>73.730486870171902</v>
      </c>
      <c r="AO125" s="38">
        <v>28.466365360471297</v>
      </c>
      <c r="AP125" s="38">
        <v>0</v>
      </c>
      <c r="AQ125" s="38">
        <v>313.13001896518426</v>
      </c>
      <c r="AR125" s="38">
        <v>79.011094890544925</v>
      </c>
      <c r="AS125" s="49">
        <v>3.9631145397866878</v>
      </c>
      <c r="AT125" s="38">
        <v>210.93316673454106</v>
      </c>
      <c r="AU125" s="38">
        <v>83.405528133678587</v>
      </c>
      <c r="AV125" s="38">
        <v>29.433869486821965</v>
      </c>
      <c r="AW125" s="38">
        <v>0</v>
      </c>
      <c r="AX125" s="38">
        <v>323.7725643550416</v>
      </c>
      <c r="AY125" s="38">
        <v>19.622283654303814</v>
      </c>
      <c r="AZ125" s="49">
        <v>16.500248903701255</v>
      </c>
      <c r="BA125" s="38">
        <v>210.93316673454106</v>
      </c>
      <c r="BB125" s="38">
        <v>157.1360150038505</v>
      </c>
      <c r="BC125" s="38">
        <v>36.806918173839158</v>
      </c>
      <c r="BD125" s="38">
        <v>0</v>
      </c>
      <c r="BE125" s="38">
        <v>404.8760999122307</v>
      </c>
      <c r="BF125" s="38">
        <v>98.633378544848739</v>
      </c>
      <c r="BG125" s="38">
        <v>-17.521032433255865</v>
      </c>
      <c r="BH125" s="49">
        <v>4.1048588812978046</v>
      </c>
      <c r="BI125" s="38">
        <v>14.524839209428915</v>
      </c>
      <c r="BJ125" s="38">
        <v>3.6072214338428905</v>
      </c>
      <c r="BK125" s="38">
        <v>30.083389809228937</v>
      </c>
      <c r="BL125" s="38">
        <v>17.79170381886674</v>
      </c>
      <c r="BM125" s="38">
        <v>66.007154271367483</v>
      </c>
      <c r="BN125" s="38">
        <v>210.93316673454106</v>
      </c>
      <c r="BO125" s="38">
        <v>0</v>
      </c>
      <c r="BP125" s="38">
        <v>157.1360150038505</v>
      </c>
      <c r="BQ125" s="38">
        <v>0</v>
      </c>
      <c r="BR125" s="38">
        <v>0</v>
      </c>
      <c r="BS125" s="38">
        <v>0</v>
      </c>
      <c r="BT125" s="38">
        <v>0</v>
      </c>
      <c r="BU125" s="38">
        <v>0</v>
      </c>
      <c r="BV125" s="38">
        <v>0</v>
      </c>
      <c r="BW125" s="38">
        <v>36.806918173839158</v>
      </c>
      <c r="BX125" s="38">
        <v>276.23789352890265</v>
      </c>
      <c r="BY125" s="38">
        <v>82.822709786024333</v>
      </c>
      <c r="BZ125" s="38">
        <v>0</v>
      </c>
      <c r="CA125" s="38">
        <v>0</v>
      </c>
      <c r="CB125" s="38">
        <v>404.87609991223076</v>
      </c>
      <c r="CC125" s="38">
        <v>359.06060331492699</v>
      </c>
      <c r="CD125" s="49">
        <v>1.1275982276371312</v>
      </c>
      <c r="CE125" s="38">
        <v>30.354061194839794</v>
      </c>
      <c r="CF125" s="38">
        <v>3.8025532887016733</v>
      </c>
      <c r="CG125" s="38">
        <v>0</v>
      </c>
      <c r="CH125" s="38">
        <v>3.8025532887016733</v>
      </c>
      <c r="CI125" s="38">
        <v>0.19012554441810753</v>
      </c>
      <c r="CJ125" s="38">
        <v>0</v>
      </c>
      <c r="CK125" s="38">
        <v>0.19012554441810753</v>
      </c>
      <c r="CL125" s="38"/>
      <c r="CM125" s="38">
        <v>0</v>
      </c>
      <c r="CN125" s="38"/>
      <c r="CO125" s="38">
        <v>0</v>
      </c>
      <c r="CP125" s="38">
        <v>0</v>
      </c>
      <c r="CQ125" s="38">
        <v>0</v>
      </c>
      <c r="CR125" s="38">
        <v>0</v>
      </c>
      <c r="CS125" s="38">
        <v>0</v>
      </c>
      <c r="CT125" s="38">
        <v>0</v>
      </c>
      <c r="CU125" s="38">
        <v>163.64529290646067</v>
      </c>
      <c r="CV125" s="38">
        <v>9999</v>
      </c>
      <c r="CW125" s="50">
        <v>0</v>
      </c>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row>
    <row r="126" spans="1:131">
      <c r="A126" s="27" t="s">
        <v>1674</v>
      </c>
      <c r="B126" s="27"/>
      <c r="C126" s="38">
        <v>45</v>
      </c>
      <c r="D126" s="38">
        <v>189.74921960577254</v>
      </c>
      <c r="E126" s="38">
        <v>0</v>
      </c>
      <c r="F126" s="38">
        <v>239.1087012654321</v>
      </c>
      <c r="G126" s="38">
        <v>0</v>
      </c>
      <c r="H126" s="38">
        <v>0</v>
      </c>
      <c r="I126" s="38"/>
      <c r="J126" s="38"/>
      <c r="K126" s="38"/>
      <c r="L126" s="38">
        <v>216.91838694515957</v>
      </c>
      <c r="M126" s="38">
        <v>0.11308197199938973</v>
      </c>
      <c r="N126" s="38">
        <v>0.10728839848139442</v>
      </c>
      <c r="O126" s="38">
        <v>0</v>
      </c>
      <c r="P126" s="38">
        <v>0</v>
      </c>
      <c r="Q126" s="38">
        <v>0</v>
      </c>
      <c r="R126" s="38">
        <v>31.274395987843899</v>
      </c>
      <c r="S126" s="38">
        <v>7.7432541770496002</v>
      </c>
      <c r="T126" s="38">
        <v>64.600021942150065</v>
      </c>
      <c r="U126" s="38">
        <v>55.881779511092674</v>
      </c>
      <c r="V126" s="38">
        <v>14.346522075925927</v>
      </c>
      <c r="W126" s="38">
        <v>3.5866305189814809</v>
      </c>
      <c r="X126" s="38">
        <v>29.888587658179013</v>
      </c>
      <c r="Y126" s="38">
        <v>0</v>
      </c>
      <c r="Z126" s="38">
        <v>0</v>
      </c>
      <c r="AA126" s="38">
        <v>0</v>
      </c>
      <c r="AB126" s="38">
        <v>0</v>
      </c>
      <c r="AC126" s="38">
        <v>0</v>
      </c>
      <c r="AD126" s="38">
        <v>0</v>
      </c>
      <c r="AE126" s="38">
        <v>0</v>
      </c>
      <c r="AF126" s="38">
        <v>0</v>
      </c>
      <c r="AG126" s="38">
        <v>0</v>
      </c>
      <c r="AH126" s="38">
        <v>45.620918063769828</v>
      </c>
      <c r="AI126" s="38">
        <v>11.329884696031082</v>
      </c>
      <c r="AJ126" s="38">
        <v>94.488609600329085</v>
      </c>
      <c r="AK126" s="38">
        <v>55.881779511092674</v>
      </c>
      <c r="AL126" s="38">
        <v>207.32119187122265</v>
      </c>
      <c r="AM126" s="38">
        <v>114.31267245088463</v>
      </c>
      <c r="AN126" s="38">
        <v>39.957343483309309</v>
      </c>
      <c r="AO126" s="38">
        <v>15.427001593419394</v>
      </c>
      <c r="AP126" s="38">
        <v>0</v>
      </c>
      <c r="AQ126" s="38">
        <v>169.69701752761333</v>
      </c>
      <c r="AR126" s="38">
        <v>45.620918063769828</v>
      </c>
      <c r="AS126" s="49">
        <v>3.7197194780343406</v>
      </c>
      <c r="AT126" s="38">
        <v>114.31267245088463</v>
      </c>
      <c r="AU126" s="38">
        <v>45.200614800123631</v>
      </c>
      <c r="AV126" s="38">
        <v>15.951328725100828</v>
      </c>
      <c r="AW126" s="38">
        <v>0</v>
      </c>
      <c r="AX126" s="38">
        <v>175.46461597610909</v>
      </c>
      <c r="AY126" s="38">
        <v>11.329884696031082</v>
      </c>
      <c r="AZ126" s="49">
        <v>15.486884525627632</v>
      </c>
      <c r="BA126" s="38">
        <v>114.31267245088463</v>
      </c>
      <c r="BB126" s="38">
        <v>85.157958283432947</v>
      </c>
      <c r="BC126" s="38">
        <v>19.94706307343176</v>
      </c>
      <c r="BD126" s="38">
        <v>0</v>
      </c>
      <c r="BE126" s="38">
        <v>219.41769380774932</v>
      </c>
      <c r="BF126" s="38">
        <v>56.950802759800908</v>
      </c>
      <c r="BG126" s="38">
        <v>-16.334584356720111</v>
      </c>
      <c r="BH126" s="49">
        <v>3.8527585771385597</v>
      </c>
      <c r="BI126" s="38">
        <v>15.475253389099814</v>
      </c>
      <c r="BJ126" s="38">
        <v>3.843255330707755</v>
      </c>
      <c r="BK126" s="38">
        <v>32.051857744398752</v>
      </c>
      <c r="BL126" s="38">
        <v>18.955881084180554</v>
      </c>
      <c r="BM126" s="38">
        <v>70.326247548386874</v>
      </c>
      <c r="BN126" s="38">
        <v>114.31267245088463</v>
      </c>
      <c r="BO126" s="38">
        <v>0</v>
      </c>
      <c r="BP126" s="38">
        <v>85.157958283432947</v>
      </c>
      <c r="BQ126" s="38">
        <v>0</v>
      </c>
      <c r="BR126" s="38">
        <v>0</v>
      </c>
      <c r="BS126" s="38">
        <v>0</v>
      </c>
      <c r="BT126" s="38">
        <v>0</v>
      </c>
      <c r="BU126" s="38">
        <v>0</v>
      </c>
      <c r="BV126" s="38">
        <v>0</v>
      </c>
      <c r="BW126" s="38">
        <v>19.94706307343176</v>
      </c>
      <c r="BX126" s="38">
        <v>159.49945161813622</v>
      </c>
      <c r="BY126" s="38">
        <v>47.821740253086425</v>
      </c>
      <c r="BZ126" s="38">
        <v>0</v>
      </c>
      <c r="CA126" s="38">
        <v>0</v>
      </c>
      <c r="CB126" s="38">
        <v>219.41769380774934</v>
      </c>
      <c r="CC126" s="38">
        <v>207.32119187122265</v>
      </c>
      <c r="CD126" s="49">
        <v>1.0583466737160203</v>
      </c>
      <c r="CE126" s="38">
        <v>34.673154471859185</v>
      </c>
      <c r="CF126" s="38">
        <v>2.0607476543289787</v>
      </c>
      <c r="CG126" s="38">
        <v>0</v>
      </c>
      <c r="CH126" s="38">
        <v>2.0607476543289787</v>
      </c>
      <c r="CI126" s="38">
        <v>0.10303623379895081</v>
      </c>
      <c r="CJ126" s="38">
        <v>0</v>
      </c>
      <c r="CK126" s="38">
        <v>0.10303623379895081</v>
      </c>
      <c r="CL126" s="38"/>
      <c r="CM126" s="38">
        <v>0</v>
      </c>
      <c r="CN126" s="38"/>
      <c r="CO126" s="38">
        <v>0</v>
      </c>
      <c r="CP126" s="38">
        <v>0</v>
      </c>
      <c r="CQ126" s="38">
        <v>0</v>
      </c>
      <c r="CR126" s="38">
        <v>0</v>
      </c>
      <c r="CS126" s="38">
        <v>0</v>
      </c>
      <c r="CT126" s="38">
        <v>0</v>
      </c>
      <c r="CU126" s="38">
        <v>94.488609600329085</v>
      </c>
      <c r="CV126" s="38">
        <v>9999</v>
      </c>
      <c r="CW126" s="50">
        <v>0</v>
      </c>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row>
    <row r="127" spans="1:131">
      <c r="A127" s="27" t="s">
        <v>1672</v>
      </c>
      <c r="B127" s="27"/>
      <c r="C127" s="38">
        <v>45</v>
      </c>
      <c r="D127" s="38">
        <v>187.44992932580061</v>
      </c>
      <c r="E127" s="38">
        <v>0</v>
      </c>
      <c r="F127" s="38">
        <v>239.1087012654321</v>
      </c>
      <c r="G127" s="38">
        <v>0</v>
      </c>
      <c r="H127" s="38">
        <v>0</v>
      </c>
      <c r="I127" s="38"/>
      <c r="J127" s="38"/>
      <c r="K127" s="38"/>
      <c r="L127" s="38">
        <v>214.28987369126358</v>
      </c>
      <c r="M127" s="38">
        <v>0.11171169875347886</v>
      </c>
      <c r="N127" s="38">
        <v>0.10598832898812036</v>
      </c>
      <c r="O127" s="38">
        <v>0</v>
      </c>
      <c r="P127" s="38">
        <v>0</v>
      </c>
      <c r="Q127" s="38">
        <v>0</v>
      </c>
      <c r="R127" s="38">
        <v>31.274395987843899</v>
      </c>
      <c r="S127" s="38">
        <v>7.7432541770496002</v>
      </c>
      <c r="T127" s="38">
        <v>64.600021942150065</v>
      </c>
      <c r="U127" s="38">
        <v>55.881779511092674</v>
      </c>
      <c r="V127" s="38">
        <v>14.346522075925927</v>
      </c>
      <c r="W127" s="38">
        <v>3.5866305189814809</v>
      </c>
      <c r="X127" s="38">
        <v>29.888587658179013</v>
      </c>
      <c r="Y127" s="38">
        <v>0</v>
      </c>
      <c r="Z127" s="38">
        <v>0</v>
      </c>
      <c r="AA127" s="38">
        <v>0</v>
      </c>
      <c r="AB127" s="38">
        <v>0</v>
      </c>
      <c r="AC127" s="38">
        <v>0</v>
      </c>
      <c r="AD127" s="38">
        <v>0</v>
      </c>
      <c r="AE127" s="38">
        <v>0</v>
      </c>
      <c r="AF127" s="38">
        <v>0</v>
      </c>
      <c r="AG127" s="38">
        <v>0</v>
      </c>
      <c r="AH127" s="38">
        <v>45.620918063769828</v>
      </c>
      <c r="AI127" s="38">
        <v>11.329884696031082</v>
      </c>
      <c r="AJ127" s="38">
        <v>94.488609600329085</v>
      </c>
      <c r="AK127" s="38">
        <v>55.881779511092674</v>
      </c>
      <c r="AL127" s="38">
        <v>207.32119187122265</v>
      </c>
      <c r="AM127" s="38">
        <v>112.92748616558646</v>
      </c>
      <c r="AN127" s="38">
        <v>39.473159507872936</v>
      </c>
      <c r="AO127" s="38">
        <v>15.240064567345939</v>
      </c>
      <c r="AP127" s="38">
        <v>0</v>
      </c>
      <c r="AQ127" s="38">
        <v>167.64071024080533</v>
      </c>
      <c r="AR127" s="38">
        <v>45.620918063769828</v>
      </c>
      <c r="AS127" s="49">
        <v>3.674645696662084</v>
      </c>
      <c r="AT127" s="38">
        <v>112.92748616558646</v>
      </c>
      <c r="AU127" s="38">
        <v>44.652895370896985</v>
      </c>
      <c r="AV127" s="38">
        <v>15.758038153648345</v>
      </c>
      <c r="AW127" s="38">
        <v>0</v>
      </c>
      <c r="AX127" s="38">
        <v>173.33841969013181</v>
      </c>
      <c r="AY127" s="38">
        <v>11.329884696031082</v>
      </c>
      <c r="AZ127" s="49">
        <v>15.299221866825633</v>
      </c>
      <c r="BA127" s="38">
        <v>112.92748616558646</v>
      </c>
      <c r="BB127" s="38">
        <v>84.126054878769921</v>
      </c>
      <c r="BC127" s="38">
        <v>19.705354104435639</v>
      </c>
      <c r="BD127" s="38">
        <v>0</v>
      </c>
      <c r="BE127" s="38">
        <v>216.75889514879202</v>
      </c>
      <c r="BF127" s="38">
        <v>56.950802759800908</v>
      </c>
      <c r="BG127" s="38">
        <v>-16.097620493982117</v>
      </c>
      <c r="BH127" s="49">
        <v>3.8060726916002787</v>
      </c>
      <c r="BI127" s="38">
        <v>15.665075278207148</v>
      </c>
      <c r="BJ127" s="38">
        <v>3.8903973043384186</v>
      </c>
      <c r="BK127" s="38">
        <v>32.445010866578109</v>
      </c>
      <c r="BL127" s="38">
        <v>19.188396899374094</v>
      </c>
      <c r="BM127" s="38">
        <v>71.188880348497761</v>
      </c>
      <c r="BN127" s="38">
        <v>112.92748616558646</v>
      </c>
      <c r="BO127" s="38">
        <v>0</v>
      </c>
      <c r="BP127" s="38">
        <v>84.126054878769921</v>
      </c>
      <c r="BQ127" s="38">
        <v>0</v>
      </c>
      <c r="BR127" s="38">
        <v>0</v>
      </c>
      <c r="BS127" s="38">
        <v>0</v>
      </c>
      <c r="BT127" s="38">
        <v>0</v>
      </c>
      <c r="BU127" s="38">
        <v>0</v>
      </c>
      <c r="BV127" s="38">
        <v>0</v>
      </c>
      <c r="BW127" s="38">
        <v>19.705354104435639</v>
      </c>
      <c r="BX127" s="38">
        <v>159.49945161813622</v>
      </c>
      <c r="BY127" s="38">
        <v>47.821740253086425</v>
      </c>
      <c r="BZ127" s="38">
        <v>0</v>
      </c>
      <c r="CA127" s="38">
        <v>0</v>
      </c>
      <c r="CB127" s="38">
        <v>216.75889514879202</v>
      </c>
      <c r="CC127" s="38">
        <v>207.32119187122265</v>
      </c>
      <c r="CD127" s="49">
        <v>1.0455221349654964</v>
      </c>
      <c r="CE127" s="38">
        <v>35.535787271970072</v>
      </c>
      <c r="CF127" s="38">
        <v>2.0357764999763108</v>
      </c>
      <c r="CG127" s="38">
        <v>0</v>
      </c>
      <c r="CH127" s="38">
        <v>2.0357764999763108</v>
      </c>
      <c r="CI127" s="38">
        <v>0.10178769000335022</v>
      </c>
      <c r="CJ127" s="38">
        <v>0</v>
      </c>
      <c r="CK127" s="38">
        <v>0.10178769000335022</v>
      </c>
      <c r="CL127" s="38"/>
      <c r="CM127" s="38">
        <v>0</v>
      </c>
      <c r="CN127" s="38"/>
      <c r="CO127" s="38">
        <v>0</v>
      </c>
      <c r="CP127" s="38">
        <v>0</v>
      </c>
      <c r="CQ127" s="38">
        <v>0</v>
      </c>
      <c r="CR127" s="38">
        <v>0</v>
      </c>
      <c r="CS127" s="38">
        <v>0</v>
      </c>
      <c r="CT127" s="38">
        <v>0</v>
      </c>
      <c r="CU127" s="38">
        <v>94.488609600329085</v>
      </c>
      <c r="CV127" s="38">
        <v>9999</v>
      </c>
      <c r="CW127" s="50">
        <v>0</v>
      </c>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row>
    <row r="128" spans="1:131">
      <c r="A128" s="27" t="s">
        <v>240</v>
      </c>
      <c r="B128" s="27"/>
      <c r="C128" s="38">
        <v>45</v>
      </c>
      <c r="D128" s="38">
        <v>2715.9795695095759</v>
      </c>
      <c r="E128" s="38">
        <v>0</v>
      </c>
      <c r="F128" s="38">
        <v>4101.7368570659019</v>
      </c>
      <c r="G128" s="38">
        <v>0</v>
      </c>
      <c r="H128" s="38">
        <v>0</v>
      </c>
      <c r="I128" s="38"/>
      <c r="J128" s="38"/>
      <c r="K128" s="38"/>
      <c r="L128" s="38">
        <v>3104.8660353810656</v>
      </c>
      <c r="M128" s="38">
        <v>1.618601258378261</v>
      </c>
      <c r="N128" s="38">
        <v>1.5356748181956934</v>
      </c>
      <c r="O128" s="38">
        <v>0</v>
      </c>
      <c r="P128" s="38">
        <v>0</v>
      </c>
      <c r="Q128" s="38">
        <v>0</v>
      </c>
      <c r="R128" s="38">
        <v>536.48964687157786</v>
      </c>
      <c r="S128" s="38">
        <v>132.82992581845238</v>
      </c>
      <c r="T128" s="38">
        <v>1108.1666604564084</v>
      </c>
      <c r="U128" s="38">
        <v>958.61151621008025</v>
      </c>
      <c r="V128" s="38">
        <v>246.10421142395413</v>
      </c>
      <c r="W128" s="38">
        <v>61.526052855988517</v>
      </c>
      <c r="X128" s="38">
        <v>512.71710713323773</v>
      </c>
      <c r="Y128" s="38">
        <v>0</v>
      </c>
      <c r="Z128" s="38">
        <v>0</v>
      </c>
      <c r="AA128" s="38">
        <v>0</v>
      </c>
      <c r="AB128" s="38">
        <v>0</v>
      </c>
      <c r="AC128" s="38">
        <v>0</v>
      </c>
      <c r="AD128" s="38">
        <v>0</v>
      </c>
      <c r="AE128" s="38">
        <v>0</v>
      </c>
      <c r="AF128" s="38">
        <v>0</v>
      </c>
      <c r="AG128" s="38">
        <v>0</v>
      </c>
      <c r="AH128" s="38">
        <v>782.59385829553196</v>
      </c>
      <c r="AI128" s="38">
        <v>194.35597867444091</v>
      </c>
      <c r="AJ128" s="38">
        <v>1620.8837675896461</v>
      </c>
      <c r="AK128" s="38">
        <v>958.61151621008025</v>
      </c>
      <c r="AL128" s="38">
        <v>3556.4451207696993</v>
      </c>
      <c r="AM128" s="38">
        <v>1636.2169159782798</v>
      </c>
      <c r="AN128" s="38">
        <v>571.93030241713404</v>
      </c>
      <c r="AO128" s="38">
        <v>220.81472183954139</v>
      </c>
      <c r="AP128" s="38">
        <v>0</v>
      </c>
      <c r="AQ128" s="38">
        <v>2428.9619402349554</v>
      </c>
      <c r="AR128" s="38">
        <v>782.59385829553196</v>
      </c>
      <c r="AS128" s="49">
        <v>3.1037324334811012</v>
      </c>
      <c r="AT128" s="38">
        <v>1636.2169159782798</v>
      </c>
      <c r="AU128" s="38">
        <v>646.9799801098801</v>
      </c>
      <c r="AV128" s="38">
        <v>228.31968960881599</v>
      </c>
      <c r="AW128" s="38">
        <v>0</v>
      </c>
      <c r="AX128" s="38">
        <v>2511.5165856969761</v>
      </c>
      <c r="AY128" s="38">
        <v>194.35597867444091</v>
      </c>
      <c r="AZ128" s="49">
        <v>12.922250207203207</v>
      </c>
      <c r="BA128" s="38">
        <v>1636.2169159782798</v>
      </c>
      <c r="BB128" s="38">
        <v>1218.9102825270143</v>
      </c>
      <c r="BC128" s="38">
        <v>285.51271985052938</v>
      </c>
      <c r="BD128" s="38">
        <v>0</v>
      </c>
      <c r="BE128" s="38">
        <v>3140.6399183558233</v>
      </c>
      <c r="BF128" s="38">
        <v>976.94983696997292</v>
      </c>
      <c r="BG128" s="38">
        <v>-12.500506727114839</v>
      </c>
      <c r="BH128" s="49">
        <v>3.2147402041609148</v>
      </c>
      <c r="BI128" s="38">
        <v>18.54657342172662</v>
      </c>
      <c r="BJ128" s="38">
        <v>4.6060129276862121</v>
      </c>
      <c r="BK128" s="38">
        <v>38.413079127863469</v>
      </c>
      <c r="BL128" s="38">
        <v>22.717989260770608</v>
      </c>
      <c r="BM128" s="38">
        <v>84.283654738046906</v>
      </c>
      <c r="BN128" s="38">
        <v>1636.2169159782798</v>
      </c>
      <c r="BO128" s="38">
        <v>0</v>
      </c>
      <c r="BP128" s="38">
        <v>1218.9102825270143</v>
      </c>
      <c r="BQ128" s="38">
        <v>0</v>
      </c>
      <c r="BR128" s="38">
        <v>0</v>
      </c>
      <c r="BS128" s="38">
        <v>0</v>
      </c>
      <c r="BT128" s="38">
        <v>0</v>
      </c>
      <c r="BU128" s="38">
        <v>0</v>
      </c>
      <c r="BV128" s="38">
        <v>0</v>
      </c>
      <c r="BW128" s="38">
        <v>285.51271985052938</v>
      </c>
      <c r="BX128" s="38">
        <v>2736.0977493565188</v>
      </c>
      <c r="BY128" s="38">
        <v>820.34737141318044</v>
      </c>
      <c r="BZ128" s="38">
        <v>0</v>
      </c>
      <c r="CA128" s="38">
        <v>0</v>
      </c>
      <c r="CB128" s="38">
        <v>3140.6399183558233</v>
      </c>
      <c r="CC128" s="38">
        <v>3556.4451207696993</v>
      </c>
      <c r="CD128" s="50">
        <v>0.88308403805092717</v>
      </c>
      <c r="CE128" s="38">
        <v>48.630561661519231</v>
      </c>
      <c r="CF128" s="38">
        <v>29.496556237230543</v>
      </c>
      <c r="CG128" s="38">
        <v>0</v>
      </c>
      <c r="CH128" s="38">
        <v>29.496556237230543</v>
      </c>
      <c r="CI128" s="38">
        <v>1.4748113668060063</v>
      </c>
      <c r="CJ128" s="38">
        <v>0</v>
      </c>
      <c r="CK128" s="38">
        <v>1.4748113668060063</v>
      </c>
      <c r="CL128" s="38"/>
      <c r="CM128" s="38">
        <v>0</v>
      </c>
      <c r="CN128" s="38"/>
      <c r="CO128" s="38">
        <v>0</v>
      </c>
      <c r="CP128" s="38">
        <v>0</v>
      </c>
      <c r="CQ128" s="38">
        <v>0</v>
      </c>
      <c r="CR128" s="38">
        <v>0</v>
      </c>
      <c r="CS128" s="38">
        <v>0</v>
      </c>
      <c r="CT128" s="38">
        <v>0</v>
      </c>
      <c r="CU128" s="38">
        <v>1620.8837675896461</v>
      </c>
      <c r="CV128" s="38">
        <v>9999</v>
      </c>
      <c r="CW128" s="50">
        <v>0</v>
      </c>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row>
    <row r="129" spans="1:131">
      <c r="A129" s="27" t="s">
        <v>250</v>
      </c>
      <c r="B129" s="27"/>
      <c r="C129" s="38">
        <v>45</v>
      </c>
      <c r="D129" s="38">
        <v>2671.270333683723</v>
      </c>
      <c r="E129" s="38">
        <v>0</v>
      </c>
      <c r="F129" s="38">
        <v>4101.7368570659019</v>
      </c>
      <c r="G129" s="38">
        <v>0</v>
      </c>
      <c r="H129" s="38">
        <v>0</v>
      </c>
      <c r="I129" s="38"/>
      <c r="J129" s="38"/>
      <c r="K129" s="38"/>
      <c r="L129" s="38">
        <v>3053.755125217408</v>
      </c>
      <c r="M129" s="38">
        <v>1.5919565714368482</v>
      </c>
      <c r="N129" s="38">
        <v>1.5103952290672182</v>
      </c>
      <c r="O129" s="38">
        <v>0</v>
      </c>
      <c r="P129" s="38">
        <v>0</v>
      </c>
      <c r="Q129" s="38">
        <v>0</v>
      </c>
      <c r="R129" s="38">
        <v>536.48964687157786</v>
      </c>
      <c r="S129" s="38">
        <v>132.82992581845238</v>
      </c>
      <c r="T129" s="38">
        <v>1108.1666604564084</v>
      </c>
      <c r="U129" s="38">
        <v>958.61151621008025</v>
      </c>
      <c r="V129" s="38">
        <v>246.10421142395413</v>
      </c>
      <c r="W129" s="38">
        <v>61.526052855988517</v>
      </c>
      <c r="X129" s="38">
        <v>512.71710713323773</v>
      </c>
      <c r="Y129" s="38">
        <v>0</v>
      </c>
      <c r="Z129" s="38">
        <v>0</v>
      </c>
      <c r="AA129" s="38">
        <v>0</v>
      </c>
      <c r="AB129" s="38">
        <v>0</v>
      </c>
      <c r="AC129" s="38">
        <v>0</v>
      </c>
      <c r="AD129" s="38">
        <v>0</v>
      </c>
      <c r="AE129" s="38">
        <v>0</v>
      </c>
      <c r="AF129" s="38">
        <v>0</v>
      </c>
      <c r="AG129" s="38">
        <v>0</v>
      </c>
      <c r="AH129" s="38">
        <v>782.59385829553196</v>
      </c>
      <c r="AI129" s="38">
        <v>194.35597867444091</v>
      </c>
      <c r="AJ129" s="38">
        <v>1620.8837675896461</v>
      </c>
      <c r="AK129" s="38">
        <v>958.61151621008025</v>
      </c>
      <c r="AL129" s="38">
        <v>3556.4451207696993</v>
      </c>
      <c r="AM129" s="38">
        <v>1609.2822479933038</v>
      </c>
      <c r="AN129" s="38">
        <v>562.51544265390817</v>
      </c>
      <c r="AO129" s="38">
        <v>217.1797690647212</v>
      </c>
      <c r="AP129" s="38">
        <v>0</v>
      </c>
      <c r="AQ129" s="38">
        <v>2388.9774597119335</v>
      </c>
      <c r="AR129" s="38">
        <v>782.59385829553196</v>
      </c>
      <c r="AS129" s="49">
        <v>3.0526401841627804</v>
      </c>
      <c r="AT129" s="38">
        <v>1609.2822479933038</v>
      </c>
      <c r="AU129" s="38">
        <v>636.32968626007732</v>
      </c>
      <c r="AV129" s="38">
        <v>224.56119342533813</v>
      </c>
      <c r="AW129" s="38">
        <v>0</v>
      </c>
      <c r="AX129" s="38">
        <v>2470.1731276787191</v>
      </c>
      <c r="AY129" s="38">
        <v>194.35597867444091</v>
      </c>
      <c r="AZ129" s="49">
        <v>12.709529928155296</v>
      </c>
      <c r="BA129" s="38">
        <v>1609.2822479933038</v>
      </c>
      <c r="BB129" s="38">
        <v>1198.8451289139855</v>
      </c>
      <c r="BC129" s="38">
        <v>280.81273769072897</v>
      </c>
      <c r="BD129" s="38">
        <v>0</v>
      </c>
      <c r="BE129" s="38">
        <v>3088.9401145980187</v>
      </c>
      <c r="BF129" s="38">
        <v>976.94983696997292</v>
      </c>
      <c r="BG129" s="38">
        <v>-12.113000292434085</v>
      </c>
      <c r="BH129" s="49">
        <v>3.1618205947793805</v>
      </c>
      <c r="BI129" s="38">
        <v>18.856988700336775</v>
      </c>
      <c r="BJ129" s="38">
        <v>4.6831040837568398</v>
      </c>
      <c r="BK129" s="38">
        <v>39.056001482770341</v>
      </c>
      <c r="BL129" s="38">
        <v>23.098221814002432</v>
      </c>
      <c r="BM129" s="38">
        <v>85.694316080866386</v>
      </c>
      <c r="BN129" s="38">
        <v>1609.2822479933038</v>
      </c>
      <c r="BO129" s="38">
        <v>0</v>
      </c>
      <c r="BP129" s="38">
        <v>1198.8451289139855</v>
      </c>
      <c r="BQ129" s="38">
        <v>0</v>
      </c>
      <c r="BR129" s="38">
        <v>0</v>
      </c>
      <c r="BS129" s="38">
        <v>0</v>
      </c>
      <c r="BT129" s="38">
        <v>0</v>
      </c>
      <c r="BU129" s="38">
        <v>0</v>
      </c>
      <c r="BV129" s="38">
        <v>0</v>
      </c>
      <c r="BW129" s="38">
        <v>280.81273769072897</v>
      </c>
      <c r="BX129" s="38">
        <v>2736.0977493565188</v>
      </c>
      <c r="BY129" s="38">
        <v>820.34737141318044</v>
      </c>
      <c r="BZ129" s="38">
        <v>0</v>
      </c>
      <c r="CA129" s="38">
        <v>0</v>
      </c>
      <c r="CB129" s="38">
        <v>3088.9401145980187</v>
      </c>
      <c r="CC129" s="38">
        <v>3556.4451207696993</v>
      </c>
      <c r="CD129" s="50">
        <v>0.86854710524241086</v>
      </c>
      <c r="CE129" s="38">
        <v>50.04122300433869</v>
      </c>
      <c r="CF129" s="38">
        <v>29.010997176453444</v>
      </c>
      <c r="CG129" s="38">
        <v>0</v>
      </c>
      <c r="CH129" s="38">
        <v>29.010997176453444</v>
      </c>
      <c r="CI129" s="38">
        <v>1.450533684478269</v>
      </c>
      <c r="CJ129" s="38">
        <v>0</v>
      </c>
      <c r="CK129" s="38">
        <v>1.450533684478269</v>
      </c>
      <c r="CL129" s="38"/>
      <c r="CM129" s="38">
        <v>0</v>
      </c>
      <c r="CN129" s="38"/>
      <c r="CO129" s="38">
        <v>0</v>
      </c>
      <c r="CP129" s="38">
        <v>0</v>
      </c>
      <c r="CQ129" s="38">
        <v>0</v>
      </c>
      <c r="CR129" s="38">
        <v>0</v>
      </c>
      <c r="CS129" s="38">
        <v>0</v>
      </c>
      <c r="CT129" s="38">
        <v>0</v>
      </c>
      <c r="CU129" s="38">
        <v>1620.8837675896461</v>
      </c>
      <c r="CV129" s="38">
        <v>9999</v>
      </c>
      <c r="CW129" s="50">
        <v>0</v>
      </c>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row>
    <row r="130" spans="1:131">
      <c r="A130" s="27" t="s">
        <v>248</v>
      </c>
      <c r="B130" s="27"/>
      <c r="C130" s="38">
        <v>45</v>
      </c>
      <c r="D130" s="38">
        <v>2474.6671090026025</v>
      </c>
      <c r="E130" s="38">
        <v>0</v>
      </c>
      <c r="F130" s="38">
        <v>3865.0968570659024</v>
      </c>
      <c r="G130" s="38">
        <v>0</v>
      </c>
      <c r="H130" s="38">
        <v>0</v>
      </c>
      <c r="I130" s="38"/>
      <c r="J130" s="38"/>
      <c r="K130" s="38"/>
      <c r="L130" s="38">
        <v>2829.0013451773661</v>
      </c>
      <c r="M130" s="38">
        <v>1.4747899217158611</v>
      </c>
      <c r="N130" s="38">
        <v>1.3992314247778568</v>
      </c>
      <c r="O130" s="38">
        <v>0</v>
      </c>
      <c r="P130" s="38">
        <v>0</v>
      </c>
      <c r="Q130" s="38">
        <v>0</v>
      </c>
      <c r="R130" s="38">
        <v>505.53814645609174</v>
      </c>
      <c r="S130" s="38">
        <v>125.16661762950061</v>
      </c>
      <c r="T130" s="38">
        <v>1044.2336077841831</v>
      </c>
      <c r="U130" s="38">
        <v>903.30669361884679</v>
      </c>
      <c r="V130" s="38">
        <v>231.90581142395416</v>
      </c>
      <c r="W130" s="38">
        <v>57.976452855988526</v>
      </c>
      <c r="X130" s="38">
        <v>483.13710713323781</v>
      </c>
      <c r="Y130" s="38">
        <v>0</v>
      </c>
      <c r="Z130" s="38">
        <v>0</v>
      </c>
      <c r="AA130" s="38">
        <v>0</v>
      </c>
      <c r="AB130" s="38">
        <v>0</v>
      </c>
      <c r="AC130" s="38">
        <v>0</v>
      </c>
      <c r="AD130" s="38">
        <v>0</v>
      </c>
      <c r="AE130" s="38">
        <v>0</v>
      </c>
      <c r="AF130" s="38">
        <v>0</v>
      </c>
      <c r="AG130" s="38">
        <v>0</v>
      </c>
      <c r="AH130" s="38">
        <v>737.4439578800459</v>
      </c>
      <c r="AI130" s="38">
        <v>183.14307048548915</v>
      </c>
      <c r="AJ130" s="38">
        <v>1527.3707149174209</v>
      </c>
      <c r="AK130" s="38">
        <v>903.30669361884679</v>
      </c>
      <c r="AL130" s="38">
        <v>3351.264436901803</v>
      </c>
      <c r="AM130" s="38">
        <v>1490.8404432130064</v>
      </c>
      <c r="AN130" s="38">
        <v>521.11478448608511</v>
      </c>
      <c r="AO130" s="38">
        <v>201.19552276990916</v>
      </c>
      <c r="AP130" s="38">
        <v>0</v>
      </c>
      <c r="AQ130" s="38">
        <v>2213.1507504690007</v>
      </c>
      <c r="AR130" s="38">
        <v>737.4439578800459</v>
      </c>
      <c r="AS130" s="49">
        <v>3.0011104258433647</v>
      </c>
      <c r="AT130" s="38">
        <v>1490.8404432130064</v>
      </c>
      <c r="AU130" s="38">
        <v>589.49636254082031</v>
      </c>
      <c r="AV130" s="38">
        <v>208.03368057538268</v>
      </c>
      <c r="AW130" s="38">
        <v>0</v>
      </c>
      <c r="AX130" s="38">
        <v>2288.3704863292096</v>
      </c>
      <c r="AY130" s="38">
        <v>183.14307048548915</v>
      </c>
      <c r="AZ130" s="49">
        <v>12.494988100084969</v>
      </c>
      <c r="BA130" s="38">
        <v>1490.8404432130064</v>
      </c>
      <c r="BB130" s="38">
        <v>1110.6111470269054</v>
      </c>
      <c r="BC130" s="38">
        <v>260.1451590239912</v>
      </c>
      <c r="BD130" s="38">
        <v>0</v>
      </c>
      <c r="BE130" s="38">
        <v>2861.5967492639033</v>
      </c>
      <c r="BF130" s="38">
        <v>920.58702836553505</v>
      </c>
      <c r="BG130" s="38">
        <v>-11.708811469012131</v>
      </c>
      <c r="BH130" s="49">
        <v>3.1084478284954247</v>
      </c>
      <c r="BI130" s="38">
        <v>19.180767546324162</v>
      </c>
      <c r="BJ130" s="38">
        <v>4.7635140611913886</v>
      </c>
      <c r="BK130" s="38">
        <v>39.726602037817997</v>
      </c>
      <c r="BL130" s="38">
        <v>23.494823610935409</v>
      </c>
      <c r="BM130" s="38">
        <v>87.165707256268973</v>
      </c>
      <c r="BN130" s="38">
        <v>1490.8404432130064</v>
      </c>
      <c r="BO130" s="38">
        <v>0</v>
      </c>
      <c r="BP130" s="38">
        <v>1110.6111470269054</v>
      </c>
      <c r="BQ130" s="38">
        <v>0</v>
      </c>
      <c r="BR130" s="38">
        <v>0</v>
      </c>
      <c r="BS130" s="38">
        <v>0</v>
      </c>
      <c r="BT130" s="38">
        <v>0</v>
      </c>
      <c r="BU130" s="38">
        <v>0</v>
      </c>
      <c r="BV130" s="38">
        <v>0</v>
      </c>
      <c r="BW130" s="38">
        <v>260.1451590239912</v>
      </c>
      <c r="BX130" s="38">
        <v>2578.2450654886225</v>
      </c>
      <c r="BY130" s="38">
        <v>773.01937141318058</v>
      </c>
      <c r="BZ130" s="38">
        <v>0</v>
      </c>
      <c r="CA130" s="38">
        <v>0</v>
      </c>
      <c r="CB130" s="38">
        <v>2861.5967492639033</v>
      </c>
      <c r="CC130" s="38">
        <v>3351.264436901803</v>
      </c>
      <c r="CD130" s="50">
        <v>0.85388569095114719</v>
      </c>
      <c r="CE130" s="38">
        <v>51.512614179741284</v>
      </c>
      <c r="CF130" s="38">
        <v>26.875812457713195</v>
      </c>
      <c r="CG130" s="38">
        <v>0</v>
      </c>
      <c r="CH130" s="38">
        <v>26.875812457713195</v>
      </c>
      <c r="CI130" s="38">
        <v>1.343775638959249</v>
      </c>
      <c r="CJ130" s="38">
        <v>0</v>
      </c>
      <c r="CK130" s="38">
        <v>1.343775638959249</v>
      </c>
      <c r="CL130" s="38"/>
      <c r="CM130" s="38">
        <v>0</v>
      </c>
      <c r="CN130" s="38"/>
      <c r="CO130" s="38">
        <v>0</v>
      </c>
      <c r="CP130" s="38">
        <v>0</v>
      </c>
      <c r="CQ130" s="38">
        <v>0</v>
      </c>
      <c r="CR130" s="38">
        <v>0</v>
      </c>
      <c r="CS130" s="38">
        <v>0</v>
      </c>
      <c r="CT130" s="38">
        <v>0</v>
      </c>
      <c r="CU130" s="38">
        <v>1527.3707149174209</v>
      </c>
      <c r="CV130" s="38">
        <v>9999</v>
      </c>
      <c r="CW130" s="50">
        <v>0</v>
      </c>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row>
    <row r="131" spans="1:131">
      <c r="A131" s="27" t="s">
        <v>238</v>
      </c>
      <c r="B131" s="27"/>
      <c r="C131" s="38">
        <v>45</v>
      </c>
      <c r="D131" s="38">
        <v>2346.1495251305123</v>
      </c>
      <c r="E131" s="38">
        <v>0</v>
      </c>
      <c r="F131" s="38">
        <v>3865.0968570659024</v>
      </c>
      <c r="G131" s="38">
        <v>0</v>
      </c>
      <c r="H131" s="38">
        <v>0</v>
      </c>
      <c r="I131" s="38"/>
      <c r="J131" s="38"/>
      <c r="K131" s="38"/>
      <c r="L131" s="38">
        <v>2682.0820216326224</v>
      </c>
      <c r="M131" s="38">
        <v>1.3981992413902868</v>
      </c>
      <c r="N131" s="38">
        <v>1.3265647451520746</v>
      </c>
      <c r="O131" s="38">
        <v>0</v>
      </c>
      <c r="P131" s="38">
        <v>0</v>
      </c>
      <c r="Q131" s="38">
        <v>0</v>
      </c>
      <c r="R131" s="38">
        <v>505.53814645609174</v>
      </c>
      <c r="S131" s="38">
        <v>125.16661762950061</v>
      </c>
      <c r="T131" s="38">
        <v>1044.2336077841831</v>
      </c>
      <c r="U131" s="38">
        <v>903.30669361884679</v>
      </c>
      <c r="V131" s="38">
        <v>231.90581142395416</v>
      </c>
      <c r="W131" s="38">
        <v>57.976452855988526</v>
      </c>
      <c r="X131" s="38">
        <v>483.13710713323781</v>
      </c>
      <c r="Y131" s="38">
        <v>0</v>
      </c>
      <c r="Z131" s="38">
        <v>0</v>
      </c>
      <c r="AA131" s="38">
        <v>0</v>
      </c>
      <c r="AB131" s="38">
        <v>0</v>
      </c>
      <c r="AC131" s="38">
        <v>0</v>
      </c>
      <c r="AD131" s="38">
        <v>0</v>
      </c>
      <c r="AE131" s="38">
        <v>0</v>
      </c>
      <c r="AF131" s="38">
        <v>0</v>
      </c>
      <c r="AG131" s="38">
        <v>0</v>
      </c>
      <c r="AH131" s="38">
        <v>737.4439578800459</v>
      </c>
      <c r="AI131" s="38">
        <v>183.14307048548915</v>
      </c>
      <c r="AJ131" s="38">
        <v>1527.3707149174209</v>
      </c>
      <c r="AK131" s="38">
        <v>903.30669361884679</v>
      </c>
      <c r="AL131" s="38">
        <v>3351.264436901803</v>
      </c>
      <c r="AM131" s="38">
        <v>1413.4162066344734</v>
      </c>
      <c r="AN131" s="38">
        <v>494.0515836302863</v>
      </c>
      <c r="AO131" s="38">
        <v>190.74677902647599</v>
      </c>
      <c r="AP131" s="38">
        <v>0</v>
      </c>
      <c r="AQ131" s="38">
        <v>2098.2145692912359</v>
      </c>
      <c r="AR131" s="38">
        <v>737.4439578800459</v>
      </c>
      <c r="AS131" s="49">
        <v>2.8452529129441122</v>
      </c>
      <c r="AT131" s="38">
        <v>1413.4162066344734</v>
      </c>
      <c r="AU131" s="38">
        <v>558.88188193471296</v>
      </c>
      <c r="AV131" s="38">
        <v>197.22980885691865</v>
      </c>
      <c r="AW131" s="38">
        <v>0</v>
      </c>
      <c r="AX131" s="38">
        <v>2169.527897426105</v>
      </c>
      <c r="AY131" s="38">
        <v>183.14307048548915</v>
      </c>
      <c r="AZ131" s="49">
        <v>11.846082364322934</v>
      </c>
      <c r="BA131" s="38">
        <v>1413.4162066344734</v>
      </c>
      <c r="BB131" s="38">
        <v>1052.9334655649993</v>
      </c>
      <c r="BC131" s="38">
        <v>246.63496721994727</v>
      </c>
      <c r="BD131" s="38">
        <v>0</v>
      </c>
      <c r="BE131" s="38">
        <v>2712.9846394194196</v>
      </c>
      <c r="BF131" s="38">
        <v>920.58702836553505</v>
      </c>
      <c r="BG131" s="38">
        <v>-10.397189517048234</v>
      </c>
      <c r="BH131" s="49">
        <v>2.947015932036555</v>
      </c>
      <c r="BI131" s="38">
        <v>20.231453308446955</v>
      </c>
      <c r="BJ131" s="38">
        <v>5.0244502510324818</v>
      </c>
      <c r="BK131" s="38">
        <v>41.902749318569171</v>
      </c>
      <c r="BL131" s="38">
        <v>24.7818251134549</v>
      </c>
      <c r="BM131" s="38">
        <v>91.940477991503514</v>
      </c>
      <c r="BN131" s="38">
        <v>1413.4162066344734</v>
      </c>
      <c r="BO131" s="38">
        <v>0</v>
      </c>
      <c r="BP131" s="38">
        <v>1052.9334655649993</v>
      </c>
      <c r="BQ131" s="38">
        <v>0</v>
      </c>
      <c r="BR131" s="38">
        <v>0</v>
      </c>
      <c r="BS131" s="38">
        <v>0</v>
      </c>
      <c r="BT131" s="38">
        <v>0</v>
      </c>
      <c r="BU131" s="38">
        <v>0</v>
      </c>
      <c r="BV131" s="38">
        <v>0</v>
      </c>
      <c r="BW131" s="38">
        <v>246.63496721994727</v>
      </c>
      <c r="BX131" s="38">
        <v>2578.2450654886225</v>
      </c>
      <c r="BY131" s="38">
        <v>773.01937141318058</v>
      </c>
      <c r="BZ131" s="38">
        <v>0</v>
      </c>
      <c r="CA131" s="38">
        <v>0</v>
      </c>
      <c r="CB131" s="38">
        <v>2712.9846394194201</v>
      </c>
      <c r="CC131" s="38">
        <v>3351.264436901803</v>
      </c>
      <c r="CD131" s="50">
        <v>0.80954060489703894</v>
      </c>
      <c r="CE131" s="38">
        <v>56.287384914975831</v>
      </c>
      <c r="CF131" s="38">
        <v>25.480063320748705</v>
      </c>
      <c r="CG131" s="38">
        <v>0</v>
      </c>
      <c r="CH131" s="38">
        <v>25.480063320748705</v>
      </c>
      <c r="CI131" s="38">
        <v>1.2739889602754957</v>
      </c>
      <c r="CJ131" s="38">
        <v>0</v>
      </c>
      <c r="CK131" s="38">
        <v>1.2739889602754957</v>
      </c>
      <c r="CL131" s="38"/>
      <c r="CM131" s="38">
        <v>0</v>
      </c>
      <c r="CN131" s="38"/>
      <c r="CO131" s="38">
        <v>0</v>
      </c>
      <c r="CP131" s="38">
        <v>0</v>
      </c>
      <c r="CQ131" s="38">
        <v>0</v>
      </c>
      <c r="CR131" s="38">
        <v>0</v>
      </c>
      <c r="CS131" s="38">
        <v>0</v>
      </c>
      <c r="CT131" s="38">
        <v>0</v>
      </c>
      <c r="CU131" s="38">
        <v>1527.3707149174209</v>
      </c>
      <c r="CV131" s="38">
        <v>9999</v>
      </c>
      <c r="CW131" s="50">
        <v>0</v>
      </c>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row>
    <row r="132" spans="1:131">
      <c r="A132" s="27" t="s">
        <v>229</v>
      </c>
      <c r="B132" s="27"/>
      <c r="C132" s="38">
        <v>45</v>
      </c>
      <c r="D132" s="38">
        <v>2379.0578507099417</v>
      </c>
      <c r="E132" s="38">
        <v>0</v>
      </c>
      <c r="F132" s="38">
        <v>4101.7368570659019</v>
      </c>
      <c r="G132" s="38">
        <v>0</v>
      </c>
      <c r="H132" s="38">
        <v>0</v>
      </c>
      <c r="I132" s="38"/>
      <c r="J132" s="38"/>
      <c r="K132" s="38"/>
      <c r="L132" s="38">
        <v>2719.7023128601013</v>
      </c>
      <c r="M132" s="38">
        <v>1.4178111183690243</v>
      </c>
      <c r="N132" s="38">
        <v>1.3451718390597951</v>
      </c>
      <c r="O132" s="38">
        <v>0</v>
      </c>
      <c r="P132" s="38">
        <v>0</v>
      </c>
      <c r="Q132" s="38">
        <v>0</v>
      </c>
      <c r="R132" s="38">
        <v>536.48964687157786</v>
      </c>
      <c r="S132" s="38">
        <v>132.82992581845238</v>
      </c>
      <c r="T132" s="38">
        <v>1108.1666604564084</v>
      </c>
      <c r="U132" s="38">
        <v>958.61151621008025</v>
      </c>
      <c r="V132" s="38">
        <v>246.10421142395413</v>
      </c>
      <c r="W132" s="38">
        <v>61.526052855988517</v>
      </c>
      <c r="X132" s="38">
        <v>512.71710713323773</v>
      </c>
      <c r="Y132" s="38">
        <v>0</v>
      </c>
      <c r="Z132" s="38">
        <v>0</v>
      </c>
      <c r="AA132" s="38">
        <v>0</v>
      </c>
      <c r="AB132" s="38">
        <v>0</v>
      </c>
      <c r="AC132" s="38">
        <v>0</v>
      </c>
      <c r="AD132" s="38">
        <v>0</v>
      </c>
      <c r="AE132" s="38">
        <v>0</v>
      </c>
      <c r="AF132" s="38">
        <v>0</v>
      </c>
      <c r="AG132" s="38">
        <v>0</v>
      </c>
      <c r="AH132" s="38">
        <v>782.59385829553196</v>
      </c>
      <c r="AI132" s="38">
        <v>194.35597867444091</v>
      </c>
      <c r="AJ132" s="38">
        <v>1620.8837675896461</v>
      </c>
      <c r="AK132" s="38">
        <v>958.61151621008025</v>
      </c>
      <c r="AL132" s="38">
        <v>3556.4451207696993</v>
      </c>
      <c r="AM132" s="38">
        <v>1433.2415247605979</v>
      </c>
      <c r="AN132" s="38">
        <v>500.98141064812478</v>
      </c>
      <c r="AO132" s="38">
        <v>193.42229354087229</v>
      </c>
      <c r="AP132" s="38">
        <v>0</v>
      </c>
      <c r="AQ132" s="38">
        <v>2127.6452289495951</v>
      </c>
      <c r="AR132" s="38">
        <v>782.59385829553196</v>
      </c>
      <c r="AS132" s="49">
        <v>2.7187093361345158</v>
      </c>
      <c r="AT132" s="38">
        <v>1433.2415247605979</v>
      </c>
      <c r="AU132" s="38">
        <v>566.72105276937191</v>
      </c>
      <c r="AV132" s="38">
        <v>199.996257752997</v>
      </c>
      <c r="AW132" s="38">
        <v>0</v>
      </c>
      <c r="AX132" s="38">
        <v>2199.9588352829669</v>
      </c>
      <c r="AY132" s="38">
        <v>194.35597867444091</v>
      </c>
      <c r="AZ132" s="49">
        <v>11.319223881288691</v>
      </c>
      <c r="BA132" s="38">
        <v>1433.2415247605979</v>
      </c>
      <c r="BB132" s="38">
        <v>1067.7024634174968</v>
      </c>
      <c r="BC132" s="38">
        <v>250.09439881780946</v>
      </c>
      <c r="BD132" s="38">
        <v>0</v>
      </c>
      <c r="BE132" s="38">
        <v>2751.0383869959041</v>
      </c>
      <c r="BF132" s="38">
        <v>976.94983696997292</v>
      </c>
      <c r="BG132" s="38">
        <v>-9.2216418667360607</v>
      </c>
      <c r="BH132" s="49">
        <v>2.8159464108498118</v>
      </c>
      <c r="BI132" s="38">
        <v>21.173135610295109</v>
      </c>
      <c r="BJ132" s="38">
        <v>5.2583155994965161</v>
      </c>
      <c r="BK132" s="38">
        <v>43.853132063223569</v>
      </c>
      <c r="BL132" s="38">
        <v>25.935306564394125</v>
      </c>
      <c r="BM132" s="38">
        <v>96.219889837409312</v>
      </c>
      <c r="BN132" s="38">
        <v>1433.2415247605979</v>
      </c>
      <c r="BO132" s="38">
        <v>0</v>
      </c>
      <c r="BP132" s="38">
        <v>1067.7024634174968</v>
      </c>
      <c r="BQ132" s="38">
        <v>0</v>
      </c>
      <c r="BR132" s="38">
        <v>0</v>
      </c>
      <c r="BS132" s="38">
        <v>0</v>
      </c>
      <c r="BT132" s="38">
        <v>0</v>
      </c>
      <c r="BU132" s="38">
        <v>0</v>
      </c>
      <c r="BV132" s="38">
        <v>0</v>
      </c>
      <c r="BW132" s="38">
        <v>250.09439881780946</v>
      </c>
      <c r="BX132" s="38">
        <v>2736.0977493565188</v>
      </c>
      <c r="BY132" s="38">
        <v>820.34737141318044</v>
      </c>
      <c r="BZ132" s="38">
        <v>0</v>
      </c>
      <c r="CA132" s="38">
        <v>0</v>
      </c>
      <c r="CB132" s="38">
        <v>2751.0383869959041</v>
      </c>
      <c r="CC132" s="38">
        <v>3556.4451207696993</v>
      </c>
      <c r="CD132" s="50">
        <v>0.77353601519950177</v>
      </c>
      <c r="CE132" s="38">
        <v>60.56679676088163</v>
      </c>
      <c r="CF132" s="38">
        <v>25.83746007255937</v>
      </c>
      <c r="CG132" s="38">
        <v>0</v>
      </c>
      <c r="CH132" s="38">
        <v>25.83746007255937</v>
      </c>
      <c r="CI132" s="38">
        <v>1.291858598608548</v>
      </c>
      <c r="CJ132" s="38">
        <v>0</v>
      </c>
      <c r="CK132" s="38">
        <v>1.291858598608548</v>
      </c>
      <c r="CL132" s="38"/>
      <c r="CM132" s="38">
        <v>0</v>
      </c>
      <c r="CN132" s="38"/>
      <c r="CO132" s="38">
        <v>0</v>
      </c>
      <c r="CP132" s="38">
        <v>0</v>
      </c>
      <c r="CQ132" s="38">
        <v>0</v>
      </c>
      <c r="CR132" s="38">
        <v>0</v>
      </c>
      <c r="CS132" s="38">
        <v>0</v>
      </c>
      <c r="CT132" s="38">
        <v>0</v>
      </c>
      <c r="CU132" s="38">
        <v>1620.8837675896461</v>
      </c>
      <c r="CV132" s="38">
        <v>9999</v>
      </c>
      <c r="CW132" s="50">
        <v>0</v>
      </c>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row>
    <row r="133" spans="1:131">
      <c r="A133" s="27" t="s">
        <v>235</v>
      </c>
      <c r="B133" s="27"/>
      <c r="C133" s="38">
        <v>45</v>
      </c>
      <c r="D133" s="38">
        <v>240.0970997130473</v>
      </c>
      <c r="E133" s="38">
        <v>0</v>
      </c>
      <c r="F133" s="38">
        <v>436.41697398915824</v>
      </c>
      <c r="G133" s="38">
        <v>0</v>
      </c>
      <c r="H133" s="38">
        <v>0</v>
      </c>
      <c r="I133" s="38"/>
      <c r="J133" s="38"/>
      <c r="K133" s="38"/>
      <c r="L133" s="38">
        <v>274.47530845276236</v>
      </c>
      <c r="M133" s="38">
        <v>0.1430870364752716</v>
      </c>
      <c r="N133" s="38">
        <v>0.13575620158944174</v>
      </c>
      <c r="O133" s="38">
        <v>0</v>
      </c>
      <c r="P133" s="38">
        <v>0</v>
      </c>
      <c r="Q133" s="38">
        <v>0</v>
      </c>
      <c r="R133" s="38">
        <v>57.081474610170091</v>
      </c>
      <c r="S133" s="38">
        <v>14.132850619374087</v>
      </c>
      <c r="T133" s="38">
        <v>117.90681788836326</v>
      </c>
      <c r="U133" s="38">
        <v>101.99443594605039</v>
      </c>
      <c r="V133" s="38">
        <v>26.185018439349495</v>
      </c>
      <c r="W133" s="38">
        <v>6.5462546098373728</v>
      </c>
      <c r="X133" s="38">
        <v>54.55212174864478</v>
      </c>
      <c r="Y133" s="38">
        <v>0</v>
      </c>
      <c r="Z133" s="38">
        <v>0</v>
      </c>
      <c r="AA133" s="38">
        <v>0</v>
      </c>
      <c r="AB133" s="38">
        <v>0</v>
      </c>
      <c r="AC133" s="38">
        <v>0</v>
      </c>
      <c r="AD133" s="38">
        <v>0</v>
      </c>
      <c r="AE133" s="38">
        <v>0</v>
      </c>
      <c r="AF133" s="38">
        <v>0</v>
      </c>
      <c r="AG133" s="38">
        <v>0</v>
      </c>
      <c r="AH133" s="38">
        <v>83.266493049519582</v>
      </c>
      <c r="AI133" s="38">
        <v>20.679105229211459</v>
      </c>
      <c r="AJ133" s="38">
        <v>172.45893963700803</v>
      </c>
      <c r="AK133" s="38">
        <v>101.99443594605039</v>
      </c>
      <c r="AL133" s="38">
        <v>378.39897386178944</v>
      </c>
      <c r="AM133" s="38">
        <v>144.64428983121886</v>
      </c>
      <c r="AN133" s="38">
        <v>50.559587557264116</v>
      </c>
      <c r="AO133" s="38">
        <v>19.520387738848299</v>
      </c>
      <c r="AP133" s="38">
        <v>0</v>
      </c>
      <c r="AQ133" s="38">
        <v>214.72426512733125</v>
      </c>
      <c r="AR133" s="38">
        <v>83.266493049519582</v>
      </c>
      <c r="AS133" s="49">
        <v>2.5787595617799366</v>
      </c>
      <c r="AT133" s="38">
        <v>144.64428983121886</v>
      </c>
      <c r="AU133" s="38">
        <v>57.194103571565748</v>
      </c>
      <c r="AV133" s="38">
        <v>20.18383934027846</v>
      </c>
      <c r="AW133" s="38">
        <v>0</v>
      </c>
      <c r="AX133" s="38">
        <v>222.02223274306309</v>
      </c>
      <c r="AY133" s="38">
        <v>20.679105229211459</v>
      </c>
      <c r="AZ133" s="49">
        <v>10.736549298537</v>
      </c>
      <c r="BA133" s="38">
        <v>144.64428983121886</v>
      </c>
      <c r="BB133" s="38">
        <v>107.75369112882987</v>
      </c>
      <c r="BC133" s="38">
        <v>25.239798096004872</v>
      </c>
      <c r="BD133" s="38">
        <v>0</v>
      </c>
      <c r="BE133" s="38">
        <v>277.6377790560536</v>
      </c>
      <c r="BF133" s="38">
        <v>103.94559827873104</v>
      </c>
      <c r="BG133" s="38">
        <v>-7.7872019571381239</v>
      </c>
      <c r="BH133" s="49">
        <v>2.6709912074541671</v>
      </c>
      <c r="BI133" s="38">
        <v>22.322205727167287</v>
      </c>
      <c r="BJ133" s="38">
        <v>5.5436853922222706</v>
      </c>
      <c r="BK133" s="38">
        <v>46.233049922938108</v>
      </c>
      <c r="BL133" s="38">
        <v>27.34282060924696</v>
      </c>
      <c r="BM133" s="38">
        <v>101.44176165157462</v>
      </c>
      <c r="BN133" s="38">
        <v>144.64428983121886</v>
      </c>
      <c r="BO133" s="38">
        <v>0</v>
      </c>
      <c r="BP133" s="38">
        <v>107.75369112882987</v>
      </c>
      <c r="BQ133" s="38">
        <v>0</v>
      </c>
      <c r="BR133" s="38">
        <v>0</v>
      </c>
      <c r="BS133" s="38">
        <v>0</v>
      </c>
      <c r="BT133" s="38">
        <v>0</v>
      </c>
      <c r="BU133" s="38">
        <v>0</v>
      </c>
      <c r="BV133" s="38">
        <v>0</v>
      </c>
      <c r="BW133" s="38">
        <v>25.239798096004872</v>
      </c>
      <c r="BX133" s="38">
        <v>291.1155790639578</v>
      </c>
      <c r="BY133" s="38">
        <v>87.283394797831647</v>
      </c>
      <c r="BZ133" s="38">
        <v>0</v>
      </c>
      <c r="CA133" s="38">
        <v>0</v>
      </c>
      <c r="CB133" s="38">
        <v>277.6377790560536</v>
      </c>
      <c r="CC133" s="38">
        <v>378.39897386178944</v>
      </c>
      <c r="CD133" s="50">
        <v>0.73371705061087467</v>
      </c>
      <c r="CE133" s="38">
        <v>65.788668575046941</v>
      </c>
      <c r="CF133" s="38">
        <v>2.607544505705047</v>
      </c>
      <c r="CG133" s="38">
        <v>0</v>
      </c>
      <c r="CH133" s="38">
        <v>2.607544505705047</v>
      </c>
      <c r="CI133" s="38">
        <v>0.13037577151506213</v>
      </c>
      <c r="CJ133" s="38">
        <v>0</v>
      </c>
      <c r="CK133" s="38">
        <v>0.13037577151506213</v>
      </c>
      <c r="CL133" s="38"/>
      <c r="CM133" s="38">
        <v>0</v>
      </c>
      <c r="CN133" s="38"/>
      <c r="CO133" s="38">
        <v>0</v>
      </c>
      <c r="CP133" s="38">
        <v>0</v>
      </c>
      <c r="CQ133" s="38">
        <v>0</v>
      </c>
      <c r="CR133" s="38">
        <v>0</v>
      </c>
      <c r="CS133" s="38">
        <v>0</v>
      </c>
      <c r="CT133" s="38">
        <v>0</v>
      </c>
      <c r="CU133" s="38">
        <v>172.45893963700803</v>
      </c>
      <c r="CV133" s="38">
        <v>9999</v>
      </c>
      <c r="CW133" s="50">
        <v>0</v>
      </c>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row>
    <row r="134" spans="1:131">
      <c r="A134" s="27" t="s">
        <v>219</v>
      </c>
      <c r="B134" s="27"/>
      <c r="C134" s="38">
        <v>45</v>
      </c>
      <c r="D134" s="38">
        <v>258.13863950285889</v>
      </c>
      <c r="E134" s="38">
        <v>0</v>
      </c>
      <c r="F134" s="38">
        <v>478.21740253086421</v>
      </c>
      <c r="G134" s="38">
        <v>0</v>
      </c>
      <c r="H134" s="38">
        <v>0</v>
      </c>
      <c r="I134" s="38"/>
      <c r="J134" s="38"/>
      <c r="K134" s="38"/>
      <c r="L134" s="38">
        <v>295.10011901769491</v>
      </c>
      <c r="M134" s="38">
        <v>0.15383898002252869</v>
      </c>
      <c r="N134" s="38">
        <v>0.14595728654888868</v>
      </c>
      <c r="O134" s="38">
        <v>0</v>
      </c>
      <c r="P134" s="38">
        <v>0</v>
      </c>
      <c r="Q134" s="38">
        <v>0</v>
      </c>
      <c r="R134" s="38">
        <v>62.548791975687799</v>
      </c>
      <c r="S134" s="38">
        <v>15.4865083540992</v>
      </c>
      <c r="T134" s="38">
        <v>129.20004388430013</v>
      </c>
      <c r="U134" s="38">
        <v>111.76355902218535</v>
      </c>
      <c r="V134" s="38">
        <v>28.693044151851854</v>
      </c>
      <c r="W134" s="38">
        <v>7.1732610379629618</v>
      </c>
      <c r="X134" s="38">
        <v>59.777175316358026</v>
      </c>
      <c r="Y134" s="38">
        <v>0</v>
      </c>
      <c r="Z134" s="38">
        <v>0</v>
      </c>
      <c r="AA134" s="38">
        <v>0</v>
      </c>
      <c r="AB134" s="38">
        <v>0</v>
      </c>
      <c r="AC134" s="38">
        <v>0</v>
      </c>
      <c r="AD134" s="38">
        <v>0</v>
      </c>
      <c r="AE134" s="38">
        <v>0</v>
      </c>
      <c r="AF134" s="38">
        <v>0</v>
      </c>
      <c r="AG134" s="38">
        <v>0</v>
      </c>
      <c r="AH134" s="38">
        <v>91.241836127539656</v>
      </c>
      <c r="AI134" s="38">
        <v>22.659769392062163</v>
      </c>
      <c r="AJ134" s="38">
        <v>188.97721920065817</v>
      </c>
      <c r="AK134" s="38">
        <v>111.76355902218535</v>
      </c>
      <c r="AL134" s="38">
        <v>414.6423837424453</v>
      </c>
      <c r="AM134" s="38">
        <v>155.51324957074848</v>
      </c>
      <c r="AN134" s="38">
        <v>54.358770520161364</v>
      </c>
      <c r="AO134" s="38">
        <v>20.987202009090986</v>
      </c>
      <c r="AP134" s="38">
        <v>0</v>
      </c>
      <c r="AQ134" s="38">
        <v>230.85922210000084</v>
      </c>
      <c r="AR134" s="38">
        <v>91.241836127539656</v>
      </c>
      <c r="AS134" s="49">
        <v>2.5301904465984357</v>
      </c>
      <c r="AT134" s="38">
        <v>155.51324957074848</v>
      </c>
      <c r="AU134" s="38">
        <v>61.491821855386142</v>
      </c>
      <c r="AV134" s="38">
        <v>21.700507142613464</v>
      </c>
      <c r="AW134" s="38">
        <v>0</v>
      </c>
      <c r="AX134" s="38">
        <v>238.70557856874811</v>
      </c>
      <c r="AY134" s="38">
        <v>22.659769392062163</v>
      </c>
      <c r="AZ134" s="49">
        <v>10.534333974835945</v>
      </c>
      <c r="BA134" s="38">
        <v>155.51324957074848</v>
      </c>
      <c r="BB134" s="38">
        <v>115.85059237554751</v>
      </c>
      <c r="BC134" s="38">
        <v>27.136384194629599</v>
      </c>
      <c r="BD134" s="38">
        <v>0</v>
      </c>
      <c r="BE134" s="38">
        <v>298.50022614092563</v>
      </c>
      <c r="BF134" s="38">
        <v>113.90160551960182</v>
      </c>
      <c r="BG134" s="38">
        <v>-7.2522929437742274</v>
      </c>
      <c r="BH134" s="49">
        <v>2.6206849743619762</v>
      </c>
      <c r="BI134" s="38">
        <v>22.750699077351843</v>
      </c>
      <c r="BJ134" s="38">
        <v>5.6501010554016275</v>
      </c>
      <c r="BK134" s="38">
        <v>47.120531863247408</v>
      </c>
      <c r="BL134" s="38">
        <v>27.867688848056005</v>
      </c>
      <c r="BM134" s="38">
        <v>103.38902084405687</v>
      </c>
      <c r="BN134" s="38">
        <v>155.51324957074848</v>
      </c>
      <c r="BO134" s="38">
        <v>0</v>
      </c>
      <c r="BP134" s="38">
        <v>115.85059237554751</v>
      </c>
      <c r="BQ134" s="38">
        <v>0</v>
      </c>
      <c r="BR134" s="38">
        <v>0</v>
      </c>
      <c r="BS134" s="38">
        <v>0</v>
      </c>
      <c r="BT134" s="38">
        <v>0</v>
      </c>
      <c r="BU134" s="38">
        <v>0</v>
      </c>
      <c r="BV134" s="38">
        <v>0</v>
      </c>
      <c r="BW134" s="38">
        <v>27.136384194629599</v>
      </c>
      <c r="BX134" s="38">
        <v>318.99890323627244</v>
      </c>
      <c r="BY134" s="38">
        <v>95.64348050617285</v>
      </c>
      <c r="BZ134" s="38">
        <v>0</v>
      </c>
      <c r="CA134" s="38">
        <v>0</v>
      </c>
      <c r="CB134" s="38">
        <v>298.50022614092558</v>
      </c>
      <c r="CC134" s="38">
        <v>414.6423837424453</v>
      </c>
      <c r="CD134" s="50">
        <v>0.7198980081262959</v>
      </c>
      <c r="CE134" s="38">
        <v>67.735927767529191</v>
      </c>
      <c r="CF134" s="38">
        <v>2.8034823908757027</v>
      </c>
      <c r="CG134" s="38">
        <v>0</v>
      </c>
      <c r="CH134" s="38">
        <v>2.8034823908757027</v>
      </c>
      <c r="CI134" s="38">
        <v>0.1401725565334051</v>
      </c>
      <c r="CJ134" s="38">
        <v>0</v>
      </c>
      <c r="CK134" s="38">
        <v>0.1401725565334051</v>
      </c>
      <c r="CL134" s="38"/>
      <c r="CM134" s="38">
        <v>0</v>
      </c>
      <c r="CN134" s="38"/>
      <c r="CO134" s="38">
        <v>0</v>
      </c>
      <c r="CP134" s="38">
        <v>0</v>
      </c>
      <c r="CQ134" s="38">
        <v>0</v>
      </c>
      <c r="CR134" s="38">
        <v>0</v>
      </c>
      <c r="CS134" s="38">
        <v>0</v>
      </c>
      <c r="CT134" s="38">
        <v>0</v>
      </c>
      <c r="CU134" s="38">
        <v>188.97721920065817</v>
      </c>
      <c r="CV134" s="38">
        <v>9999</v>
      </c>
      <c r="CW134" s="50">
        <v>0</v>
      </c>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row>
    <row r="135" spans="1:131">
      <c r="A135" s="27" t="s">
        <v>230</v>
      </c>
      <c r="B135" s="27"/>
      <c r="C135" s="38">
        <v>45</v>
      </c>
      <c r="D135" s="38">
        <v>255.17049569415468</v>
      </c>
      <c r="E135" s="38">
        <v>0</v>
      </c>
      <c r="F135" s="38">
        <v>478.21740253086421</v>
      </c>
      <c r="G135" s="38">
        <v>0</v>
      </c>
      <c r="H135" s="38">
        <v>0</v>
      </c>
      <c r="I135" s="38"/>
      <c r="J135" s="38"/>
      <c r="K135" s="38"/>
      <c r="L135" s="38">
        <v>291.70698270576145</v>
      </c>
      <c r="M135" s="38">
        <v>0.15207010025710255</v>
      </c>
      <c r="N135" s="38">
        <v>0.14427903250199481</v>
      </c>
      <c r="O135" s="38">
        <v>0</v>
      </c>
      <c r="P135" s="38">
        <v>0</v>
      </c>
      <c r="Q135" s="38">
        <v>0</v>
      </c>
      <c r="R135" s="38">
        <v>62.548791975687799</v>
      </c>
      <c r="S135" s="38">
        <v>15.4865083540992</v>
      </c>
      <c r="T135" s="38">
        <v>129.20004388430013</v>
      </c>
      <c r="U135" s="38">
        <v>111.76355902218535</v>
      </c>
      <c r="V135" s="38">
        <v>28.693044151851854</v>
      </c>
      <c r="W135" s="38">
        <v>7.1732610379629618</v>
      </c>
      <c r="X135" s="38">
        <v>59.777175316358026</v>
      </c>
      <c r="Y135" s="38">
        <v>0</v>
      </c>
      <c r="Z135" s="38">
        <v>0</v>
      </c>
      <c r="AA135" s="38">
        <v>0</v>
      </c>
      <c r="AB135" s="38">
        <v>0</v>
      </c>
      <c r="AC135" s="38">
        <v>0</v>
      </c>
      <c r="AD135" s="38">
        <v>0</v>
      </c>
      <c r="AE135" s="38">
        <v>0</v>
      </c>
      <c r="AF135" s="38">
        <v>0</v>
      </c>
      <c r="AG135" s="38">
        <v>0</v>
      </c>
      <c r="AH135" s="38">
        <v>91.241836127539656</v>
      </c>
      <c r="AI135" s="38">
        <v>22.659769392062163</v>
      </c>
      <c r="AJ135" s="38">
        <v>188.97721920065817</v>
      </c>
      <c r="AK135" s="38">
        <v>111.76355902218535</v>
      </c>
      <c r="AL135" s="38">
        <v>414.6423837424453</v>
      </c>
      <c r="AM135" s="38">
        <v>153.72511862772561</v>
      </c>
      <c r="AN135" s="38">
        <v>53.733739534955419</v>
      </c>
      <c r="AO135" s="38">
        <v>20.745885816268103</v>
      </c>
      <c r="AP135" s="38">
        <v>0</v>
      </c>
      <c r="AQ135" s="38">
        <v>228.20474397894912</v>
      </c>
      <c r="AR135" s="38">
        <v>91.241836127539656</v>
      </c>
      <c r="AS135" s="49">
        <v>2.5010976725628362</v>
      </c>
      <c r="AT135" s="38">
        <v>153.72511862772561</v>
      </c>
      <c r="AU135" s="38">
        <v>60.784773229587557</v>
      </c>
      <c r="AV135" s="38">
        <v>21.450989185731316</v>
      </c>
      <c r="AW135" s="38">
        <v>0</v>
      </c>
      <c r="AX135" s="38">
        <v>235.96088104304448</v>
      </c>
      <c r="AY135" s="38">
        <v>22.659769392062163</v>
      </c>
      <c r="AZ135" s="49">
        <v>10.413207520359974</v>
      </c>
      <c r="BA135" s="38">
        <v>153.72511862772561</v>
      </c>
      <c r="BB135" s="38">
        <v>114.51851276454298</v>
      </c>
      <c r="BC135" s="38">
        <v>26.824363139226861</v>
      </c>
      <c r="BD135" s="38">
        <v>0</v>
      </c>
      <c r="BE135" s="38">
        <v>295.06799453149546</v>
      </c>
      <c r="BF135" s="38">
        <v>113.90160551960182</v>
      </c>
      <c r="BG135" s="38">
        <v>-6.9219347695387503</v>
      </c>
      <c r="BH135" s="49">
        <v>2.5905516712028782</v>
      </c>
      <c r="BI135" s="38">
        <v>23.015335262763625</v>
      </c>
      <c r="BJ135" s="38">
        <v>5.7158230442253055</v>
      </c>
      <c r="BK135" s="38">
        <v>47.668638001193635</v>
      </c>
      <c r="BL135" s="38">
        <v>28.191845870568493</v>
      </c>
      <c r="BM135" s="38">
        <v>104.59164217875106</v>
      </c>
      <c r="BN135" s="38">
        <v>153.72511862772561</v>
      </c>
      <c r="BO135" s="38">
        <v>0</v>
      </c>
      <c r="BP135" s="38">
        <v>114.51851276454298</v>
      </c>
      <c r="BQ135" s="38">
        <v>0</v>
      </c>
      <c r="BR135" s="38">
        <v>0</v>
      </c>
      <c r="BS135" s="38">
        <v>0</v>
      </c>
      <c r="BT135" s="38">
        <v>0</v>
      </c>
      <c r="BU135" s="38">
        <v>0</v>
      </c>
      <c r="BV135" s="38">
        <v>0</v>
      </c>
      <c r="BW135" s="38">
        <v>26.824363139226861</v>
      </c>
      <c r="BX135" s="38">
        <v>318.99890323627244</v>
      </c>
      <c r="BY135" s="38">
        <v>95.64348050617285</v>
      </c>
      <c r="BZ135" s="38">
        <v>0</v>
      </c>
      <c r="CA135" s="38">
        <v>0</v>
      </c>
      <c r="CB135" s="38">
        <v>295.0679945314954</v>
      </c>
      <c r="CC135" s="38">
        <v>414.6423837424453</v>
      </c>
      <c r="CD135" s="50">
        <v>0.71162043751604653</v>
      </c>
      <c r="CE135" s="38">
        <v>68.938549102223377</v>
      </c>
      <c r="CF135" s="38">
        <v>2.7712472364745082</v>
      </c>
      <c r="CG135" s="38">
        <v>0</v>
      </c>
      <c r="CH135" s="38">
        <v>2.7712472364745082</v>
      </c>
      <c r="CI135" s="38">
        <v>0.13856081678523668</v>
      </c>
      <c r="CJ135" s="38">
        <v>0</v>
      </c>
      <c r="CK135" s="38">
        <v>0.13856081678523668</v>
      </c>
      <c r="CL135" s="38"/>
      <c r="CM135" s="38">
        <v>0</v>
      </c>
      <c r="CN135" s="38"/>
      <c r="CO135" s="38">
        <v>0</v>
      </c>
      <c r="CP135" s="38">
        <v>0</v>
      </c>
      <c r="CQ135" s="38">
        <v>0</v>
      </c>
      <c r="CR135" s="38">
        <v>0</v>
      </c>
      <c r="CS135" s="38">
        <v>0</v>
      </c>
      <c r="CT135" s="38">
        <v>0</v>
      </c>
      <c r="CU135" s="38">
        <v>188.97721920065817</v>
      </c>
      <c r="CV135" s="38">
        <v>9999</v>
      </c>
      <c r="CW135" s="50">
        <v>0</v>
      </c>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row>
    <row r="136" spans="1:131">
      <c r="A136" s="27" t="s">
        <v>227</v>
      </c>
      <c r="B136" s="27"/>
      <c r="C136" s="38">
        <v>45</v>
      </c>
      <c r="D136" s="38">
        <v>2056.8706080555621</v>
      </c>
      <c r="E136" s="38">
        <v>0</v>
      </c>
      <c r="F136" s="38">
        <v>3865.0968570659024</v>
      </c>
      <c r="G136" s="38">
        <v>0</v>
      </c>
      <c r="H136" s="38">
        <v>0</v>
      </c>
      <c r="I136" s="38"/>
      <c r="J136" s="38"/>
      <c r="K136" s="38"/>
      <c r="L136" s="38">
        <v>2351.3828166529579</v>
      </c>
      <c r="M136" s="38">
        <v>1.2258020612140152</v>
      </c>
      <c r="N136" s="38">
        <v>1.163000058077813</v>
      </c>
      <c r="O136" s="38">
        <v>0</v>
      </c>
      <c r="P136" s="38">
        <v>0</v>
      </c>
      <c r="Q136" s="38">
        <v>0</v>
      </c>
      <c r="R136" s="38">
        <v>505.53814645609174</v>
      </c>
      <c r="S136" s="38">
        <v>125.16661762950061</v>
      </c>
      <c r="T136" s="38">
        <v>1044.2336077841831</v>
      </c>
      <c r="U136" s="38">
        <v>903.30669361884679</v>
      </c>
      <c r="V136" s="38">
        <v>231.90581142395416</v>
      </c>
      <c r="W136" s="38">
        <v>57.976452855988526</v>
      </c>
      <c r="X136" s="38">
        <v>483.13710713323781</v>
      </c>
      <c r="Y136" s="38">
        <v>0</v>
      </c>
      <c r="Z136" s="38">
        <v>0</v>
      </c>
      <c r="AA136" s="38">
        <v>0</v>
      </c>
      <c r="AB136" s="38">
        <v>0</v>
      </c>
      <c r="AC136" s="38">
        <v>0</v>
      </c>
      <c r="AD136" s="38">
        <v>0</v>
      </c>
      <c r="AE136" s="38">
        <v>0</v>
      </c>
      <c r="AF136" s="38">
        <v>0</v>
      </c>
      <c r="AG136" s="38">
        <v>0</v>
      </c>
      <c r="AH136" s="38">
        <v>737.4439578800459</v>
      </c>
      <c r="AI136" s="38">
        <v>183.14307048548915</v>
      </c>
      <c r="AJ136" s="38">
        <v>1527.3707149174209</v>
      </c>
      <c r="AK136" s="38">
        <v>903.30669361884679</v>
      </c>
      <c r="AL136" s="38">
        <v>3351.264436901803</v>
      </c>
      <c r="AM136" s="38">
        <v>1239.1427832009606</v>
      </c>
      <c r="AN136" s="38">
        <v>433.13530120204564</v>
      </c>
      <c r="AO136" s="38">
        <v>167.22780844030063</v>
      </c>
      <c r="AP136" s="38">
        <v>0</v>
      </c>
      <c r="AQ136" s="38">
        <v>1839.5058928433068</v>
      </c>
      <c r="AR136" s="38">
        <v>737.4439578800459</v>
      </c>
      <c r="AS136" s="49">
        <v>2.4944348288260358</v>
      </c>
      <c r="AT136" s="38">
        <v>1239.1427832009606</v>
      </c>
      <c r="AU136" s="38">
        <v>489.97206018330934</v>
      </c>
      <c r="AV136" s="38">
        <v>172.91148433842702</v>
      </c>
      <c r="AW136" s="38">
        <v>0</v>
      </c>
      <c r="AX136" s="38">
        <v>1902.026327722697</v>
      </c>
      <c r="AY136" s="38">
        <v>183.14307048548915</v>
      </c>
      <c r="AZ136" s="49">
        <v>10.385467070529426</v>
      </c>
      <c r="BA136" s="38">
        <v>1239.1427832009606</v>
      </c>
      <c r="BB136" s="38">
        <v>923.10736138535503</v>
      </c>
      <c r="BC136" s="38">
        <v>216.22501445863156</v>
      </c>
      <c r="BD136" s="38">
        <v>0</v>
      </c>
      <c r="BE136" s="38">
        <v>2378.4751590449468</v>
      </c>
      <c r="BF136" s="38">
        <v>920.58702836553505</v>
      </c>
      <c r="BG136" s="38">
        <v>-6.8451914463760994</v>
      </c>
      <c r="BH136" s="49">
        <v>2.5836505248915285</v>
      </c>
      <c r="BI136" s="38">
        <v>23.076811145249621</v>
      </c>
      <c r="BJ136" s="38">
        <v>5.7310904849019604</v>
      </c>
      <c r="BK136" s="38">
        <v>47.795964914078994</v>
      </c>
      <c r="BL136" s="38">
        <v>28.267148645175759</v>
      </c>
      <c r="BM136" s="38">
        <v>104.87101518940634</v>
      </c>
      <c r="BN136" s="38">
        <v>1239.1427832009606</v>
      </c>
      <c r="BO136" s="38">
        <v>0</v>
      </c>
      <c r="BP136" s="38">
        <v>923.10736138535503</v>
      </c>
      <c r="BQ136" s="38">
        <v>0</v>
      </c>
      <c r="BR136" s="38">
        <v>0</v>
      </c>
      <c r="BS136" s="38">
        <v>0</v>
      </c>
      <c r="BT136" s="38">
        <v>0</v>
      </c>
      <c r="BU136" s="38">
        <v>0</v>
      </c>
      <c r="BV136" s="38">
        <v>0</v>
      </c>
      <c r="BW136" s="38">
        <v>216.22501445863156</v>
      </c>
      <c r="BX136" s="38">
        <v>2578.2450654886225</v>
      </c>
      <c r="BY136" s="38">
        <v>773.01937141318058</v>
      </c>
      <c r="BZ136" s="38">
        <v>0</v>
      </c>
      <c r="CA136" s="38">
        <v>0</v>
      </c>
      <c r="CB136" s="38">
        <v>2378.4751590449468</v>
      </c>
      <c r="CC136" s="38">
        <v>3351.264436901803</v>
      </c>
      <c r="CD136" s="50">
        <v>0.70972470356407136</v>
      </c>
      <c r="CE136" s="38">
        <v>69.217922112878682</v>
      </c>
      <c r="CF136" s="38">
        <v>22.338385842192778</v>
      </c>
      <c r="CG136" s="38">
        <v>0</v>
      </c>
      <c r="CH136" s="38">
        <v>22.338385842192778</v>
      </c>
      <c r="CI136" s="38">
        <v>1.116906837910155</v>
      </c>
      <c r="CJ136" s="38">
        <v>0</v>
      </c>
      <c r="CK136" s="38">
        <v>1.116906837910155</v>
      </c>
      <c r="CL136" s="38"/>
      <c r="CM136" s="38">
        <v>0</v>
      </c>
      <c r="CN136" s="38"/>
      <c r="CO136" s="38">
        <v>0</v>
      </c>
      <c r="CP136" s="38">
        <v>0</v>
      </c>
      <c r="CQ136" s="38">
        <v>0</v>
      </c>
      <c r="CR136" s="38">
        <v>0</v>
      </c>
      <c r="CS136" s="38">
        <v>0</v>
      </c>
      <c r="CT136" s="38">
        <v>0</v>
      </c>
      <c r="CU136" s="38">
        <v>1527.3707149174209</v>
      </c>
      <c r="CV136" s="38">
        <v>9999</v>
      </c>
      <c r="CW136" s="50">
        <v>0</v>
      </c>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row>
    <row r="137" spans="1:131">
      <c r="A137" s="27" t="s">
        <v>224</v>
      </c>
      <c r="B137" s="27"/>
      <c r="C137" s="38">
        <v>44.999999999999993</v>
      </c>
      <c r="D137" s="38">
        <v>214.47042744325265</v>
      </c>
      <c r="E137" s="38">
        <v>0</v>
      </c>
      <c r="F137" s="38">
        <v>436.41697398915824</v>
      </c>
      <c r="G137" s="38">
        <v>0</v>
      </c>
      <c r="H137" s="38">
        <v>0</v>
      </c>
      <c r="I137" s="38"/>
      <c r="J137" s="38"/>
      <c r="K137" s="38"/>
      <c r="L137" s="38">
        <v>245.17929119859181</v>
      </c>
      <c r="M137" s="38">
        <v>0.12781469626712091</v>
      </c>
      <c r="N137" s="38">
        <v>0.12126631524394772</v>
      </c>
      <c r="O137" s="38">
        <v>0</v>
      </c>
      <c r="P137" s="38">
        <v>0</v>
      </c>
      <c r="Q137" s="38">
        <v>0</v>
      </c>
      <c r="R137" s="38">
        <v>57.081474610170091</v>
      </c>
      <c r="S137" s="38">
        <v>14.132850619374087</v>
      </c>
      <c r="T137" s="38">
        <v>117.90681788836326</v>
      </c>
      <c r="U137" s="38">
        <v>101.99443594605039</v>
      </c>
      <c r="V137" s="38">
        <v>26.185018439349495</v>
      </c>
      <c r="W137" s="38">
        <v>6.5462546098373728</v>
      </c>
      <c r="X137" s="38">
        <v>54.55212174864478</v>
      </c>
      <c r="Y137" s="38">
        <v>0</v>
      </c>
      <c r="Z137" s="38">
        <v>0</v>
      </c>
      <c r="AA137" s="38">
        <v>0</v>
      </c>
      <c r="AB137" s="38">
        <v>0</v>
      </c>
      <c r="AC137" s="38">
        <v>0</v>
      </c>
      <c r="AD137" s="38">
        <v>0</v>
      </c>
      <c r="AE137" s="38">
        <v>0</v>
      </c>
      <c r="AF137" s="38">
        <v>0</v>
      </c>
      <c r="AG137" s="38">
        <v>0</v>
      </c>
      <c r="AH137" s="38">
        <v>83.266493049519582</v>
      </c>
      <c r="AI137" s="38">
        <v>20.679105229211459</v>
      </c>
      <c r="AJ137" s="38">
        <v>172.45893963700803</v>
      </c>
      <c r="AK137" s="38">
        <v>101.99443594605039</v>
      </c>
      <c r="AL137" s="38">
        <v>378.39897386178944</v>
      </c>
      <c r="AM137" s="38">
        <v>129.20573678067402</v>
      </c>
      <c r="AN137" s="38">
        <v>45.163129282780503</v>
      </c>
      <c r="AO137" s="38">
        <v>17.436886606345453</v>
      </c>
      <c r="AP137" s="38">
        <v>0</v>
      </c>
      <c r="AQ137" s="38">
        <v>191.80575266979997</v>
      </c>
      <c r="AR137" s="38">
        <v>83.266493049519582</v>
      </c>
      <c r="AS137" s="49">
        <v>2.303516644513067</v>
      </c>
      <c r="AT137" s="38">
        <v>129.20573678067402</v>
      </c>
      <c r="AU137" s="38">
        <v>51.089512763326347</v>
      </c>
      <c r="AV137" s="38">
        <v>18.029524954400038</v>
      </c>
      <c r="AW137" s="38">
        <v>0</v>
      </c>
      <c r="AX137" s="38">
        <v>198.32477449840042</v>
      </c>
      <c r="AY137" s="38">
        <v>20.679105229211459</v>
      </c>
      <c r="AZ137" s="49">
        <v>9.5905878083276708</v>
      </c>
      <c r="BA137" s="38">
        <v>129.20573678067402</v>
      </c>
      <c r="BB137" s="38">
        <v>96.252642046106843</v>
      </c>
      <c r="BC137" s="38">
        <v>22.545837882678089</v>
      </c>
      <c r="BD137" s="38">
        <v>0</v>
      </c>
      <c r="BE137" s="38">
        <v>248.00421670945894</v>
      </c>
      <c r="BF137" s="38">
        <v>103.94559827873104</v>
      </c>
      <c r="BG137" s="38">
        <v>-4.4575584825787891</v>
      </c>
      <c r="BH137" s="49">
        <v>2.385903980699918</v>
      </c>
      <c r="BI137" s="38">
        <v>24.989444550386434</v>
      </c>
      <c r="BJ137" s="38">
        <v>6.2060900435624555</v>
      </c>
      <c r="BK137" s="38">
        <v>51.757351023711912</v>
      </c>
      <c r="BL137" s="38">
        <v>30.60996336192488</v>
      </c>
      <c r="BM137" s="38">
        <v>113.56284897958568</v>
      </c>
      <c r="BN137" s="38">
        <v>129.20573678067402</v>
      </c>
      <c r="BO137" s="38">
        <v>0</v>
      </c>
      <c r="BP137" s="38">
        <v>96.252642046106843</v>
      </c>
      <c r="BQ137" s="38">
        <v>0</v>
      </c>
      <c r="BR137" s="38">
        <v>0</v>
      </c>
      <c r="BS137" s="38">
        <v>0</v>
      </c>
      <c r="BT137" s="38">
        <v>0</v>
      </c>
      <c r="BU137" s="38">
        <v>0</v>
      </c>
      <c r="BV137" s="38">
        <v>0</v>
      </c>
      <c r="BW137" s="38">
        <v>22.545837882678089</v>
      </c>
      <c r="BX137" s="38">
        <v>291.1155790639578</v>
      </c>
      <c r="BY137" s="38">
        <v>87.283394797831647</v>
      </c>
      <c r="BZ137" s="38">
        <v>0</v>
      </c>
      <c r="CA137" s="38">
        <v>0</v>
      </c>
      <c r="CB137" s="38">
        <v>248.00421670945894</v>
      </c>
      <c r="CC137" s="38">
        <v>378.39897386178944</v>
      </c>
      <c r="CD137" s="50">
        <v>0.65540404134405161</v>
      </c>
      <c r="CE137" s="38">
        <v>77.909755903057984</v>
      </c>
      <c r="CF137" s="38">
        <v>2.3292292384383031</v>
      </c>
      <c r="CG137" s="38">
        <v>0</v>
      </c>
      <c r="CH137" s="38">
        <v>2.3292292384383031</v>
      </c>
      <c r="CI137" s="38">
        <v>0.11646016331933115</v>
      </c>
      <c r="CJ137" s="38">
        <v>0</v>
      </c>
      <c r="CK137" s="38">
        <v>0.11646016331933115</v>
      </c>
      <c r="CL137" s="38"/>
      <c r="CM137" s="38">
        <v>0</v>
      </c>
      <c r="CN137" s="38"/>
      <c r="CO137" s="38">
        <v>0</v>
      </c>
      <c r="CP137" s="38">
        <v>0</v>
      </c>
      <c r="CQ137" s="38">
        <v>0</v>
      </c>
      <c r="CR137" s="38">
        <v>0</v>
      </c>
      <c r="CS137" s="38">
        <v>0</v>
      </c>
      <c r="CT137" s="38">
        <v>0</v>
      </c>
      <c r="CU137" s="38">
        <v>172.45893963700803</v>
      </c>
      <c r="CV137" s="38">
        <v>9999</v>
      </c>
      <c r="CW137" s="50">
        <v>0</v>
      </c>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row>
    <row r="138" spans="1:131">
      <c r="A138" s="27" t="s">
        <v>236</v>
      </c>
      <c r="B138" s="27"/>
      <c r="C138" s="38">
        <v>45</v>
      </c>
      <c r="D138" s="38">
        <v>312.51710368259592</v>
      </c>
      <c r="E138" s="38">
        <v>0</v>
      </c>
      <c r="F138" s="38">
        <v>689.0794326144603</v>
      </c>
      <c r="G138" s="38">
        <v>0</v>
      </c>
      <c r="H138" s="38">
        <v>0</v>
      </c>
      <c r="I138" s="38"/>
      <c r="J138" s="38"/>
      <c r="K138" s="38"/>
      <c r="L138" s="38">
        <v>357.26474219206523</v>
      </c>
      <c r="M138" s="38">
        <v>0.1862460907158881</v>
      </c>
      <c r="N138" s="38">
        <v>0.17670407088793938</v>
      </c>
      <c r="O138" s="38">
        <v>0</v>
      </c>
      <c r="P138" s="38">
        <v>0</v>
      </c>
      <c r="Q138" s="38">
        <v>0</v>
      </c>
      <c r="R138" s="38">
        <v>90.128644121321173</v>
      </c>
      <c r="S138" s="38">
        <v>22.315027293748557</v>
      </c>
      <c r="T138" s="38">
        <v>186.16865982373147</v>
      </c>
      <c r="U138" s="38">
        <v>161.04384623060582</v>
      </c>
      <c r="V138" s="38">
        <v>41.344765956867619</v>
      </c>
      <c r="W138" s="38">
        <v>10.336191489216903</v>
      </c>
      <c r="X138" s="38">
        <v>86.134929076807538</v>
      </c>
      <c r="Y138" s="38">
        <v>0</v>
      </c>
      <c r="Z138" s="38">
        <v>0</v>
      </c>
      <c r="AA138" s="38">
        <v>0</v>
      </c>
      <c r="AB138" s="38">
        <v>0</v>
      </c>
      <c r="AC138" s="38">
        <v>0</v>
      </c>
      <c r="AD138" s="38">
        <v>0</v>
      </c>
      <c r="AE138" s="38">
        <v>0</v>
      </c>
      <c r="AF138" s="38">
        <v>0</v>
      </c>
      <c r="AG138" s="38">
        <v>0</v>
      </c>
      <c r="AH138" s="38">
        <v>131.47341007818881</v>
      </c>
      <c r="AI138" s="38">
        <v>32.651218782965458</v>
      </c>
      <c r="AJ138" s="38">
        <v>272.30358890053901</v>
      </c>
      <c r="AK138" s="38">
        <v>161.04384623060582</v>
      </c>
      <c r="AL138" s="38">
        <v>597.47206399229913</v>
      </c>
      <c r="AM138" s="38">
        <v>188.27305526099201</v>
      </c>
      <c r="AN138" s="38">
        <v>65.809773985887759</v>
      </c>
      <c r="AO138" s="38">
        <v>25.408282924687978</v>
      </c>
      <c r="AP138" s="38">
        <v>0</v>
      </c>
      <c r="AQ138" s="38">
        <v>279.49111217156775</v>
      </c>
      <c r="AR138" s="38">
        <v>131.47341007818881</v>
      </c>
      <c r="AS138" s="49">
        <v>2.1258375515273471</v>
      </c>
      <c r="AT138" s="38">
        <v>188.27305526099201</v>
      </c>
      <c r="AU138" s="38">
        <v>74.445445685393395</v>
      </c>
      <c r="AV138" s="38">
        <v>26.271850094638541</v>
      </c>
      <c r="AW138" s="38">
        <v>0</v>
      </c>
      <c r="AX138" s="38">
        <v>288.99035104102393</v>
      </c>
      <c r="AY138" s="38">
        <v>32.651218782965458</v>
      </c>
      <c r="AZ138" s="49">
        <v>8.8508289066316177</v>
      </c>
      <c r="BA138" s="38">
        <v>188.27305526099201</v>
      </c>
      <c r="BB138" s="38">
        <v>140.25521967128117</v>
      </c>
      <c r="BC138" s="38">
        <v>32.852827493227316</v>
      </c>
      <c r="BD138" s="38">
        <v>0</v>
      </c>
      <c r="BE138" s="38">
        <v>361.3811024255005</v>
      </c>
      <c r="BF138" s="38">
        <v>164.12462886115424</v>
      </c>
      <c r="BG138" s="38">
        <v>-1.8502123625165503</v>
      </c>
      <c r="BH138" s="49">
        <v>2.2018700357959125</v>
      </c>
      <c r="BI138" s="38">
        <v>27.078081021569055</v>
      </c>
      <c r="BJ138" s="38">
        <v>6.7247996924420841</v>
      </c>
      <c r="BK138" s="38">
        <v>56.083269144139066</v>
      </c>
      <c r="BL138" s="38">
        <v>33.168367000323926</v>
      </c>
      <c r="BM138" s="38">
        <v>123.05451685847413</v>
      </c>
      <c r="BN138" s="38">
        <v>188.27305526099201</v>
      </c>
      <c r="BO138" s="38">
        <v>0</v>
      </c>
      <c r="BP138" s="38">
        <v>140.25521967128117</v>
      </c>
      <c r="BQ138" s="38">
        <v>0</v>
      </c>
      <c r="BR138" s="38">
        <v>0</v>
      </c>
      <c r="BS138" s="38">
        <v>0</v>
      </c>
      <c r="BT138" s="38">
        <v>0</v>
      </c>
      <c r="BU138" s="38">
        <v>0</v>
      </c>
      <c r="BV138" s="38">
        <v>0</v>
      </c>
      <c r="BW138" s="38">
        <v>32.852827493227316</v>
      </c>
      <c r="BX138" s="38">
        <v>459.656177469407</v>
      </c>
      <c r="BY138" s="38">
        <v>137.81588652289207</v>
      </c>
      <c r="BZ138" s="38">
        <v>0</v>
      </c>
      <c r="CA138" s="38">
        <v>0</v>
      </c>
      <c r="CB138" s="38">
        <v>361.3811024255005</v>
      </c>
      <c r="CC138" s="38">
        <v>597.47206399229913</v>
      </c>
      <c r="CD138" s="50">
        <v>0.60485020841101345</v>
      </c>
      <c r="CE138" s="38">
        <v>87.401423781946448</v>
      </c>
      <c r="CF138" s="38">
        <v>3.3940528961838408</v>
      </c>
      <c r="CG138" s="38">
        <v>0</v>
      </c>
      <c r="CH138" s="38">
        <v>3.3940528961838408</v>
      </c>
      <c r="CI138" s="38">
        <v>0.16970075254123099</v>
      </c>
      <c r="CJ138" s="38">
        <v>0</v>
      </c>
      <c r="CK138" s="38">
        <v>0.16970075254123099</v>
      </c>
      <c r="CL138" s="38"/>
      <c r="CM138" s="38">
        <v>0</v>
      </c>
      <c r="CN138" s="38"/>
      <c r="CO138" s="38">
        <v>0</v>
      </c>
      <c r="CP138" s="38">
        <v>0</v>
      </c>
      <c r="CQ138" s="38">
        <v>0</v>
      </c>
      <c r="CR138" s="38">
        <v>0</v>
      </c>
      <c r="CS138" s="38">
        <v>0</v>
      </c>
      <c r="CT138" s="38">
        <v>0</v>
      </c>
      <c r="CU138" s="38">
        <v>272.30358890053901</v>
      </c>
      <c r="CV138" s="38">
        <v>9999</v>
      </c>
      <c r="CW138" s="50">
        <v>0</v>
      </c>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row>
    <row r="139" spans="1:131">
      <c r="A139" s="27" t="s">
        <v>220</v>
      </c>
      <c r="B139" s="27"/>
      <c r="C139" s="38">
        <v>45</v>
      </c>
      <c r="D139" s="38">
        <v>273.95772266662885</v>
      </c>
      <c r="E139" s="38">
        <v>0</v>
      </c>
      <c r="F139" s="38">
        <v>616.64875589506175</v>
      </c>
      <c r="G139" s="38">
        <v>0</v>
      </c>
      <c r="H139" s="38">
        <v>0</v>
      </c>
      <c r="I139" s="38"/>
      <c r="J139" s="38"/>
      <c r="K139" s="38"/>
      <c r="L139" s="38">
        <v>313.18425137916427</v>
      </c>
      <c r="M139" s="38">
        <v>0.16326643971431565</v>
      </c>
      <c r="N139" s="38">
        <v>0.15490174545950247</v>
      </c>
      <c r="O139" s="38">
        <v>0</v>
      </c>
      <c r="P139" s="38">
        <v>0</v>
      </c>
      <c r="Q139" s="38">
        <v>0</v>
      </c>
      <c r="R139" s="38">
        <v>80.65502123180795</v>
      </c>
      <c r="S139" s="38">
        <v>19.969444982917388</v>
      </c>
      <c r="T139" s="38">
        <v>166.60005658765019</v>
      </c>
      <c r="U139" s="38">
        <v>144.116168212818</v>
      </c>
      <c r="V139" s="38">
        <v>36.998925353703704</v>
      </c>
      <c r="W139" s="38">
        <v>9.2497313384259243</v>
      </c>
      <c r="X139" s="38">
        <v>77.081094486882719</v>
      </c>
      <c r="Y139" s="38">
        <v>0</v>
      </c>
      <c r="Z139" s="38">
        <v>0</v>
      </c>
      <c r="AA139" s="38">
        <v>0</v>
      </c>
      <c r="AB139" s="38">
        <v>0</v>
      </c>
      <c r="AC139" s="38">
        <v>0</v>
      </c>
      <c r="AD139" s="38">
        <v>0</v>
      </c>
      <c r="AE139" s="38">
        <v>0</v>
      </c>
      <c r="AF139" s="38">
        <v>0</v>
      </c>
      <c r="AG139" s="38">
        <v>0</v>
      </c>
      <c r="AH139" s="38">
        <v>117.65394658551165</v>
      </c>
      <c r="AI139" s="38">
        <v>29.219176321343312</v>
      </c>
      <c r="AJ139" s="38">
        <v>243.68115107453292</v>
      </c>
      <c r="AK139" s="38">
        <v>144.116168212818</v>
      </c>
      <c r="AL139" s="38">
        <v>534.67044219420586</v>
      </c>
      <c r="AM139" s="38">
        <v>165.04331075324191</v>
      </c>
      <c r="AN139" s="38">
        <v>57.689949119362097</v>
      </c>
      <c r="AO139" s="38">
        <v>22.273325987260403</v>
      </c>
      <c r="AP139" s="38">
        <v>0</v>
      </c>
      <c r="AQ139" s="38">
        <v>245.0065858598644</v>
      </c>
      <c r="AR139" s="38">
        <v>117.65394658551165</v>
      </c>
      <c r="AS139" s="49">
        <v>2.0824340616724832</v>
      </c>
      <c r="AT139" s="38">
        <v>165.04331075324191</v>
      </c>
      <c r="AU139" s="38">
        <v>65.260123438192394</v>
      </c>
      <c r="AV139" s="38">
        <v>23.030343419143431</v>
      </c>
      <c r="AW139" s="38">
        <v>0</v>
      </c>
      <c r="AX139" s="38">
        <v>253.33377761057773</v>
      </c>
      <c r="AY139" s="38">
        <v>29.219176321343312</v>
      </c>
      <c r="AZ139" s="49">
        <v>8.6701204313390807</v>
      </c>
      <c r="BA139" s="38">
        <v>165.04331075324191</v>
      </c>
      <c r="BB139" s="38">
        <v>122.95007255755449</v>
      </c>
      <c r="BC139" s="38">
        <v>28.799338331079642</v>
      </c>
      <c r="BD139" s="38">
        <v>0</v>
      </c>
      <c r="BE139" s="38">
        <v>316.79272164187603</v>
      </c>
      <c r="BF139" s="38">
        <v>146.87312290685497</v>
      </c>
      <c r="BG139" s="38">
        <v>-1.1456700112655702</v>
      </c>
      <c r="BH139" s="49">
        <v>2.1569141812473194</v>
      </c>
      <c r="BI139" s="38">
        <v>27.642460579385641</v>
      </c>
      <c r="BJ139" s="38">
        <v>6.8649624858764646</v>
      </c>
      <c r="BK139" s="38">
        <v>57.252194320752032</v>
      </c>
      <c r="BL139" s="38">
        <v>33.859684390438474</v>
      </c>
      <c r="BM139" s="38">
        <v>125.61930177645262</v>
      </c>
      <c r="BN139" s="38">
        <v>165.04331075324191</v>
      </c>
      <c r="BO139" s="38">
        <v>0</v>
      </c>
      <c r="BP139" s="38">
        <v>122.95007255755449</v>
      </c>
      <c r="BQ139" s="38">
        <v>0</v>
      </c>
      <c r="BR139" s="38">
        <v>0</v>
      </c>
      <c r="BS139" s="38">
        <v>0</v>
      </c>
      <c r="BT139" s="38">
        <v>0</v>
      </c>
      <c r="BU139" s="38">
        <v>0</v>
      </c>
      <c r="BV139" s="38">
        <v>0</v>
      </c>
      <c r="BW139" s="38">
        <v>28.799338331079642</v>
      </c>
      <c r="BX139" s="38">
        <v>411.34069101519356</v>
      </c>
      <c r="BY139" s="38">
        <v>123.32975117901236</v>
      </c>
      <c r="BZ139" s="38">
        <v>0</v>
      </c>
      <c r="CA139" s="38">
        <v>0</v>
      </c>
      <c r="CB139" s="38">
        <v>316.79272164187603</v>
      </c>
      <c r="CC139" s="38">
        <v>534.67044219420586</v>
      </c>
      <c r="CD139" s="50">
        <v>0.59250090643089803</v>
      </c>
      <c r="CE139" s="38">
        <v>89.966208699924948</v>
      </c>
      <c r="CF139" s="38">
        <v>2.9752835639772379</v>
      </c>
      <c r="CG139" s="38">
        <v>0</v>
      </c>
      <c r="CH139" s="38">
        <v>2.9752835639772379</v>
      </c>
      <c r="CI139" s="38">
        <v>0.14876251940510304</v>
      </c>
      <c r="CJ139" s="38">
        <v>0</v>
      </c>
      <c r="CK139" s="38">
        <v>0.14876251940510304</v>
      </c>
      <c r="CL139" s="38"/>
      <c r="CM139" s="38">
        <v>0</v>
      </c>
      <c r="CN139" s="38"/>
      <c r="CO139" s="38">
        <v>0</v>
      </c>
      <c r="CP139" s="38">
        <v>0</v>
      </c>
      <c r="CQ139" s="38">
        <v>0</v>
      </c>
      <c r="CR139" s="38">
        <v>0</v>
      </c>
      <c r="CS139" s="38">
        <v>0</v>
      </c>
      <c r="CT139" s="38">
        <v>0</v>
      </c>
      <c r="CU139" s="38">
        <v>243.68115107453292</v>
      </c>
      <c r="CV139" s="38">
        <v>9999</v>
      </c>
      <c r="CW139" s="50">
        <v>0</v>
      </c>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row>
    <row r="140" spans="1:131">
      <c r="A140" s="27" t="s">
        <v>231</v>
      </c>
      <c r="B140" s="27"/>
      <c r="C140" s="38">
        <v>45</v>
      </c>
      <c r="D140" s="38">
        <v>270.85865359604821</v>
      </c>
      <c r="E140" s="38">
        <v>0</v>
      </c>
      <c r="F140" s="38">
        <v>616.64875589506175</v>
      </c>
      <c r="G140" s="38">
        <v>0</v>
      </c>
      <c r="H140" s="38">
        <v>0</v>
      </c>
      <c r="I140" s="38"/>
      <c r="J140" s="38"/>
      <c r="K140" s="38"/>
      <c r="L140" s="38">
        <v>309.64144332325418</v>
      </c>
      <c r="M140" s="38">
        <v>0.16141953440112555</v>
      </c>
      <c r="N140" s="38">
        <v>0.15314946337867696</v>
      </c>
      <c r="O140" s="38">
        <v>0</v>
      </c>
      <c r="P140" s="38">
        <v>0</v>
      </c>
      <c r="Q140" s="38">
        <v>0</v>
      </c>
      <c r="R140" s="38">
        <v>80.65502123180795</v>
      </c>
      <c r="S140" s="38">
        <v>19.969444982917388</v>
      </c>
      <c r="T140" s="38">
        <v>166.60005658765019</v>
      </c>
      <c r="U140" s="38">
        <v>144.116168212818</v>
      </c>
      <c r="V140" s="38">
        <v>36.998925353703704</v>
      </c>
      <c r="W140" s="38">
        <v>9.2497313384259243</v>
      </c>
      <c r="X140" s="38">
        <v>77.081094486882719</v>
      </c>
      <c r="Y140" s="38">
        <v>0</v>
      </c>
      <c r="Z140" s="38">
        <v>0</v>
      </c>
      <c r="AA140" s="38">
        <v>0</v>
      </c>
      <c r="AB140" s="38">
        <v>0</v>
      </c>
      <c r="AC140" s="38">
        <v>0</v>
      </c>
      <c r="AD140" s="38">
        <v>0</v>
      </c>
      <c r="AE140" s="38">
        <v>0</v>
      </c>
      <c r="AF140" s="38">
        <v>0</v>
      </c>
      <c r="AG140" s="38">
        <v>0</v>
      </c>
      <c r="AH140" s="38">
        <v>117.65394658551165</v>
      </c>
      <c r="AI140" s="38">
        <v>29.219176321343312</v>
      </c>
      <c r="AJ140" s="38">
        <v>243.68115107453292</v>
      </c>
      <c r="AK140" s="38">
        <v>144.116168212818</v>
      </c>
      <c r="AL140" s="38">
        <v>534.67044219420586</v>
      </c>
      <c r="AM140" s="38">
        <v>163.17630509016715</v>
      </c>
      <c r="AN140" s="38">
        <v>57.037347925064886</v>
      </c>
      <c r="AO140" s="38">
        <v>22.021365301523204</v>
      </c>
      <c r="AP140" s="38">
        <v>0</v>
      </c>
      <c r="AQ140" s="38">
        <v>242.23501831675526</v>
      </c>
      <c r="AR140" s="38">
        <v>117.65394658551165</v>
      </c>
      <c r="AS140" s="49">
        <v>2.0588771167204092</v>
      </c>
      <c r="AT140" s="38">
        <v>163.17630509016715</v>
      </c>
      <c r="AU140" s="38">
        <v>64.521886793059807</v>
      </c>
      <c r="AV140" s="38">
        <v>22.769819188322696</v>
      </c>
      <c r="AW140" s="38">
        <v>0</v>
      </c>
      <c r="AX140" s="38">
        <v>250.46801107154965</v>
      </c>
      <c r="AY140" s="38">
        <v>29.219176321343312</v>
      </c>
      <c r="AZ140" s="49">
        <v>8.5720421519409467</v>
      </c>
      <c r="BA140" s="38">
        <v>163.17630509016715</v>
      </c>
      <c r="BB140" s="38">
        <v>121.55923471812469</v>
      </c>
      <c r="BC140" s="38">
        <v>28.473553980829184</v>
      </c>
      <c r="BD140" s="38">
        <v>0</v>
      </c>
      <c r="BE140" s="38">
        <v>313.20909378912103</v>
      </c>
      <c r="BF140" s="38">
        <v>146.87312290685497</v>
      </c>
      <c r="BG140" s="38">
        <v>-0.75084826159208962</v>
      </c>
      <c r="BH140" s="49">
        <v>2.1325147010576888</v>
      </c>
      <c r="BI140" s="38">
        <v>27.958735852407109</v>
      </c>
      <c r="BJ140" s="38">
        <v>6.9435089625284716</v>
      </c>
      <c r="BK140" s="38">
        <v>57.907253711643513</v>
      </c>
      <c r="BL140" s="38">
        <v>34.247094942919936</v>
      </c>
      <c r="BM140" s="38">
        <v>127.05659346949902</v>
      </c>
      <c r="BN140" s="38">
        <v>163.17630509016715</v>
      </c>
      <c r="BO140" s="38">
        <v>0</v>
      </c>
      <c r="BP140" s="38">
        <v>121.55923471812469</v>
      </c>
      <c r="BQ140" s="38">
        <v>0</v>
      </c>
      <c r="BR140" s="38">
        <v>0</v>
      </c>
      <c r="BS140" s="38">
        <v>0</v>
      </c>
      <c r="BT140" s="38">
        <v>0</v>
      </c>
      <c r="BU140" s="38">
        <v>0</v>
      </c>
      <c r="BV140" s="38">
        <v>0</v>
      </c>
      <c r="BW140" s="38">
        <v>28.473553980829184</v>
      </c>
      <c r="BX140" s="38">
        <v>411.34069101519356</v>
      </c>
      <c r="BY140" s="38">
        <v>123.32975117901236</v>
      </c>
      <c r="BZ140" s="38">
        <v>0</v>
      </c>
      <c r="CA140" s="38">
        <v>0</v>
      </c>
      <c r="CB140" s="38">
        <v>313.20909378912103</v>
      </c>
      <c r="CC140" s="38">
        <v>534.67044219420586</v>
      </c>
      <c r="CD140" s="50">
        <v>0.58579840790105908</v>
      </c>
      <c r="CE140" s="38">
        <v>91.403500392971353</v>
      </c>
      <c r="CF140" s="38">
        <v>2.9416265121534133</v>
      </c>
      <c r="CG140" s="38">
        <v>0</v>
      </c>
      <c r="CH140" s="38">
        <v>2.9416265121534133</v>
      </c>
      <c r="CI140" s="38">
        <v>0.14707968557854575</v>
      </c>
      <c r="CJ140" s="38">
        <v>0</v>
      </c>
      <c r="CK140" s="38">
        <v>0.14707968557854575</v>
      </c>
      <c r="CL140" s="38"/>
      <c r="CM140" s="38">
        <v>0</v>
      </c>
      <c r="CN140" s="38"/>
      <c r="CO140" s="38">
        <v>0</v>
      </c>
      <c r="CP140" s="38">
        <v>0</v>
      </c>
      <c r="CQ140" s="38">
        <v>0</v>
      </c>
      <c r="CR140" s="38">
        <v>0</v>
      </c>
      <c r="CS140" s="38">
        <v>0</v>
      </c>
      <c r="CT140" s="38">
        <v>0</v>
      </c>
      <c r="CU140" s="38">
        <v>243.68115107453292</v>
      </c>
      <c r="CV140" s="38">
        <v>9999</v>
      </c>
      <c r="CW140" s="50">
        <v>0</v>
      </c>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row>
    <row r="141" spans="1:131">
      <c r="A141" s="27" t="s">
        <v>1676</v>
      </c>
      <c r="B141" s="27"/>
      <c r="C141" s="38">
        <v>45</v>
      </c>
      <c r="D141" s="38">
        <v>104.85086836591684</v>
      </c>
      <c r="E141" s="38">
        <v>0</v>
      </c>
      <c r="F141" s="38">
        <v>239.1087012654321</v>
      </c>
      <c r="G141" s="38">
        <v>0</v>
      </c>
      <c r="H141" s="38">
        <v>0</v>
      </c>
      <c r="I141" s="38"/>
      <c r="J141" s="38"/>
      <c r="K141" s="38"/>
      <c r="L141" s="38">
        <v>119.86389869211362</v>
      </c>
      <c r="M141" s="38">
        <v>6.248638590082297E-2</v>
      </c>
      <c r="N141" s="38">
        <v>5.928499611083772E-2</v>
      </c>
      <c r="O141" s="38">
        <v>0</v>
      </c>
      <c r="P141" s="38">
        <v>0</v>
      </c>
      <c r="Q141" s="38">
        <v>0</v>
      </c>
      <c r="R141" s="38">
        <v>31.274395987843899</v>
      </c>
      <c r="S141" s="38">
        <v>7.7432541770496002</v>
      </c>
      <c r="T141" s="38">
        <v>64.600021942150065</v>
      </c>
      <c r="U141" s="38">
        <v>55.881779511092674</v>
      </c>
      <c r="V141" s="38">
        <v>14.346522075925927</v>
      </c>
      <c r="W141" s="38">
        <v>3.5866305189814809</v>
      </c>
      <c r="X141" s="38">
        <v>29.888587658179013</v>
      </c>
      <c r="Y141" s="38">
        <v>0</v>
      </c>
      <c r="Z141" s="38">
        <v>0</v>
      </c>
      <c r="AA141" s="38">
        <v>0</v>
      </c>
      <c r="AB141" s="38">
        <v>0</v>
      </c>
      <c r="AC141" s="38">
        <v>0</v>
      </c>
      <c r="AD141" s="38">
        <v>0</v>
      </c>
      <c r="AE141" s="38">
        <v>0</v>
      </c>
      <c r="AF141" s="38">
        <v>0</v>
      </c>
      <c r="AG141" s="38">
        <v>0</v>
      </c>
      <c r="AH141" s="38">
        <v>45.620918063769828</v>
      </c>
      <c r="AI141" s="38">
        <v>11.329884696031082</v>
      </c>
      <c r="AJ141" s="38">
        <v>94.488609600329085</v>
      </c>
      <c r="AK141" s="38">
        <v>55.881779511092674</v>
      </c>
      <c r="AL141" s="38">
        <v>207.32119187122265</v>
      </c>
      <c r="AM141" s="38">
        <v>63.166441456812372</v>
      </c>
      <c r="AN141" s="38">
        <v>22.079469789254063</v>
      </c>
      <c r="AO141" s="38">
        <v>8.5245911246066441</v>
      </c>
      <c r="AP141" s="38">
        <v>0</v>
      </c>
      <c r="AQ141" s="38">
        <v>93.770502370673086</v>
      </c>
      <c r="AR141" s="38">
        <v>45.620918063769828</v>
      </c>
      <c r="AS141" s="49">
        <v>2.0554277807298575</v>
      </c>
      <c r="AT141" s="38">
        <v>63.166441456812372</v>
      </c>
      <c r="AU141" s="38">
        <v>24.97677577969916</v>
      </c>
      <c r="AV141" s="38">
        <v>8.8143217236511529</v>
      </c>
      <c r="AW141" s="38">
        <v>0</v>
      </c>
      <c r="AX141" s="38">
        <v>96.95753896016268</v>
      </c>
      <c r="AY141" s="38">
        <v>11.329884696031082</v>
      </c>
      <c r="AZ141" s="49">
        <v>8.5576809968884699</v>
      </c>
      <c r="BA141" s="38">
        <v>63.166441456812372</v>
      </c>
      <c r="BB141" s="38">
        <v>47.056245568953223</v>
      </c>
      <c r="BC141" s="38">
        <v>11.022268702576561</v>
      </c>
      <c r="BD141" s="38">
        <v>0</v>
      </c>
      <c r="BE141" s="38">
        <v>121.24495572834215</v>
      </c>
      <c r="BF141" s="38">
        <v>56.950802759800908</v>
      </c>
      <c r="BG141" s="38">
        <v>-0.69227672221722736</v>
      </c>
      <c r="BH141" s="49">
        <v>2.1289419964756613</v>
      </c>
      <c r="BI141" s="38">
        <v>28.005655075125706</v>
      </c>
      <c r="BJ141" s="38">
        <v>6.9551612791847477</v>
      </c>
      <c r="BK141" s="38">
        <v>58.004431328981482</v>
      </c>
      <c r="BL141" s="38">
        <v>34.304567036206763</v>
      </c>
      <c r="BM141" s="38">
        <v>127.2698147194987</v>
      </c>
      <c r="BN141" s="38">
        <v>63.166441456812372</v>
      </c>
      <c r="BO141" s="38">
        <v>0</v>
      </c>
      <c r="BP141" s="38">
        <v>47.056245568953223</v>
      </c>
      <c r="BQ141" s="38">
        <v>0</v>
      </c>
      <c r="BR141" s="38">
        <v>0</v>
      </c>
      <c r="BS141" s="38">
        <v>0</v>
      </c>
      <c r="BT141" s="38">
        <v>0</v>
      </c>
      <c r="BU141" s="38">
        <v>0</v>
      </c>
      <c r="BV141" s="38">
        <v>0</v>
      </c>
      <c r="BW141" s="38">
        <v>11.022268702576561</v>
      </c>
      <c r="BX141" s="38">
        <v>159.49945161813622</v>
      </c>
      <c r="BY141" s="38">
        <v>47.821740253086425</v>
      </c>
      <c r="BZ141" s="38">
        <v>0</v>
      </c>
      <c r="CA141" s="38">
        <v>0</v>
      </c>
      <c r="CB141" s="38">
        <v>121.24495572834215</v>
      </c>
      <c r="CC141" s="38">
        <v>207.32119187122265</v>
      </c>
      <c r="CD141" s="50">
        <v>0.58481699161585632</v>
      </c>
      <c r="CE141" s="38">
        <v>91.616721642971015</v>
      </c>
      <c r="CF141" s="38">
        <v>1.138719734860224</v>
      </c>
      <c r="CG141" s="38">
        <v>0</v>
      </c>
      <c r="CH141" s="38">
        <v>1.138719734860224</v>
      </c>
      <c r="CI141" s="38">
        <v>5.6935351878753981E-2</v>
      </c>
      <c r="CJ141" s="38">
        <v>0</v>
      </c>
      <c r="CK141" s="38">
        <v>5.6935351878753981E-2</v>
      </c>
      <c r="CL141" s="38"/>
      <c r="CM141" s="38">
        <v>0</v>
      </c>
      <c r="CN141" s="38"/>
      <c r="CO141" s="38">
        <v>0</v>
      </c>
      <c r="CP141" s="38">
        <v>0</v>
      </c>
      <c r="CQ141" s="38">
        <v>0</v>
      </c>
      <c r="CR141" s="38">
        <v>0</v>
      </c>
      <c r="CS141" s="38">
        <v>0</v>
      </c>
      <c r="CT141" s="38">
        <v>0</v>
      </c>
      <c r="CU141" s="38">
        <v>94.488609600329085</v>
      </c>
      <c r="CV141" s="38">
        <v>9999</v>
      </c>
      <c r="CW141" s="50">
        <v>0</v>
      </c>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row>
    <row r="142" spans="1:131">
      <c r="A142" s="27" t="s">
        <v>251</v>
      </c>
      <c r="B142" s="27"/>
      <c r="C142" s="38">
        <v>45</v>
      </c>
      <c r="D142" s="38">
        <v>1729.8965551925849</v>
      </c>
      <c r="E142" s="38">
        <v>0</v>
      </c>
      <c r="F142" s="38">
        <v>4101.7368570659019</v>
      </c>
      <c r="G142" s="38">
        <v>0</v>
      </c>
      <c r="H142" s="38">
        <v>0</v>
      </c>
      <c r="I142" s="38"/>
      <c r="J142" s="38"/>
      <c r="K142" s="38"/>
      <c r="L142" s="38">
        <v>1977.5911127011982</v>
      </c>
      <c r="M142" s="38">
        <v>1.0309402811908981</v>
      </c>
      <c r="N142" s="38">
        <v>0.97812170890977046</v>
      </c>
      <c r="O142" s="38">
        <v>0</v>
      </c>
      <c r="P142" s="38">
        <v>0</v>
      </c>
      <c r="Q142" s="38">
        <v>0</v>
      </c>
      <c r="R142" s="38">
        <v>536.48964687157786</v>
      </c>
      <c r="S142" s="38">
        <v>132.82992581845238</v>
      </c>
      <c r="T142" s="38">
        <v>1108.1666604564084</v>
      </c>
      <c r="U142" s="38">
        <v>958.61151621008025</v>
      </c>
      <c r="V142" s="38">
        <v>246.10421142395413</v>
      </c>
      <c r="W142" s="38">
        <v>61.526052855988517</v>
      </c>
      <c r="X142" s="38">
        <v>512.71710713323773</v>
      </c>
      <c r="Y142" s="38">
        <v>0</v>
      </c>
      <c r="Z142" s="38">
        <v>0</v>
      </c>
      <c r="AA142" s="38">
        <v>0</v>
      </c>
      <c r="AB142" s="38">
        <v>0</v>
      </c>
      <c r="AC142" s="38">
        <v>0</v>
      </c>
      <c r="AD142" s="38">
        <v>0</v>
      </c>
      <c r="AE142" s="38">
        <v>0</v>
      </c>
      <c r="AF142" s="38">
        <v>0</v>
      </c>
      <c r="AG142" s="38">
        <v>0</v>
      </c>
      <c r="AH142" s="38">
        <v>782.59385829553196</v>
      </c>
      <c r="AI142" s="38">
        <v>194.35597867444091</v>
      </c>
      <c r="AJ142" s="38">
        <v>1620.8837675896461</v>
      </c>
      <c r="AK142" s="38">
        <v>958.61151621008025</v>
      </c>
      <c r="AL142" s="38">
        <v>3556.4451207696993</v>
      </c>
      <c r="AM142" s="38">
        <v>1042.1602718498216</v>
      </c>
      <c r="AN142" s="38">
        <v>364.2811864524835</v>
      </c>
      <c r="AO142" s="38">
        <v>140.64414583023051</v>
      </c>
      <c r="AP142" s="38">
        <v>0</v>
      </c>
      <c r="AQ142" s="38">
        <v>1547.0856041325355</v>
      </c>
      <c r="AR142" s="38">
        <v>782.59385829553196</v>
      </c>
      <c r="AS142" s="49">
        <v>1.9768690844342245</v>
      </c>
      <c r="AT142" s="38">
        <v>1042.1602718498216</v>
      </c>
      <c r="AU142" s="38">
        <v>412.08279010461922</v>
      </c>
      <c r="AV142" s="38">
        <v>145.42430619544407</v>
      </c>
      <c r="AW142" s="38">
        <v>0</v>
      </c>
      <c r="AX142" s="38">
        <v>1599.6673681498849</v>
      </c>
      <c r="AY142" s="38">
        <v>194.35597867444091</v>
      </c>
      <c r="AZ142" s="49">
        <v>8.2306054028285551</v>
      </c>
      <c r="BA142" s="38">
        <v>1042.1602718498216</v>
      </c>
      <c r="BB142" s="38">
        <v>776.36397655710266</v>
      </c>
      <c r="BC142" s="38">
        <v>181.85242484069244</v>
      </c>
      <c r="BD142" s="38">
        <v>0</v>
      </c>
      <c r="BE142" s="38">
        <v>2000.3766732476167</v>
      </c>
      <c r="BF142" s="38">
        <v>976.94983696997292</v>
      </c>
      <c r="BG142" s="38">
        <v>0.69702931521907197</v>
      </c>
      <c r="BH142" s="49">
        <v>2.0475735780373534</v>
      </c>
      <c r="BI142" s="38">
        <v>29.118570325270696</v>
      </c>
      <c r="BJ142" s="38">
        <v>7.2315520664760502</v>
      </c>
      <c r="BK142" s="38">
        <v>60.309466366685264</v>
      </c>
      <c r="BL142" s="38">
        <v>35.667794416598426</v>
      </c>
      <c r="BM142" s="38">
        <v>132.32738317503043</v>
      </c>
      <c r="BN142" s="38">
        <v>1042.1602718498216</v>
      </c>
      <c r="BO142" s="38">
        <v>0</v>
      </c>
      <c r="BP142" s="38">
        <v>776.36397655710266</v>
      </c>
      <c r="BQ142" s="38">
        <v>0</v>
      </c>
      <c r="BR142" s="38">
        <v>0</v>
      </c>
      <c r="BS142" s="38">
        <v>0</v>
      </c>
      <c r="BT142" s="38">
        <v>0</v>
      </c>
      <c r="BU142" s="38">
        <v>0</v>
      </c>
      <c r="BV142" s="38">
        <v>0</v>
      </c>
      <c r="BW142" s="38">
        <v>181.85242484069244</v>
      </c>
      <c r="BX142" s="38">
        <v>2736.0977493565188</v>
      </c>
      <c r="BY142" s="38">
        <v>820.34737141318044</v>
      </c>
      <c r="BZ142" s="38">
        <v>0</v>
      </c>
      <c r="CA142" s="38">
        <v>0</v>
      </c>
      <c r="CB142" s="38">
        <v>2000.376673247617</v>
      </c>
      <c r="CC142" s="38">
        <v>3556.4451207696993</v>
      </c>
      <c r="CD142" s="50">
        <v>0.56246521605672573</v>
      </c>
      <c r="CE142" s="38">
        <v>96.674290098502752</v>
      </c>
      <c r="CF142" s="38">
        <v>18.787325058576659</v>
      </c>
      <c r="CG142" s="38">
        <v>0</v>
      </c>
      <c r="CH142" s="38">
        <v>18.787325058576659</v>
      </c>
      <c r="CI142" s="38">
        <v>0.93935577853306917</v>
      </c>
      <c r="CJ142" s="38">
        <v>0</v>
      </c>
      <c r="CK142" s="38">
        <v>0.93935577853306917</v>
      </c>
      <c r="CL142" s="38"/>
      <c r="CM142" s="38">
        <v>0</v>
      </c>
      <c r="CN142" s="38"/>
      <c r="CO142" s="38">
        <v>0</v>
      </c>
      <c r="CP142" s="38">
        <v>0</v>
      </c>
      <c r="CQ142" s="38">
        <v>0</v>
      </c>
      <c r="CR142" s="38">
        <v>0</v>
      </c>
      <c r="CS142" s="38">
        <v>0</v>
      </c>
      <c r="CT142" s="38">
        <v>0</v>
      </c>
      <c r="CU142" s="38">
        <v>1620.8837675896461</v>
      </c>
      <c r="CV142" s="38">
        <v>9999</v>
      </c>
      <c r="CW142" s="50">
        <v>0</v>
      </c>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row>
    <row r="143" spans="1:131">
      <c r="A143" s="27" t="s">
        <v>225</v>
      </c>
      <c r="B143" s="27"/>
      <c r="C143" s="38">
        <v>45</v>
      </c>
      <c r="D143" s="38">
        <v>278.87595778559358</v>
      </c>
      <c r="E143" s="38">
        <v>0</v>
      </c>
      <c r="F143" s="38">
        <v>689.07943261446042</v>
      </c>
      <c r="G143" s="38">
        <v>0</v>
      </c>
      <c r="H143" s="38">
        <v>0</v>
      </c>
      <c r="I143" s="38"/>
      <c r="J143" s="38"/>
      <c r="K143" s="38"/>
      <c r="L143" s="38">
        <v>318.80670205822048</v>
      </c>
      <c r="M143" s="38">
        <v>0.16619748589814018</v>
      </c>
      <c r="N143" s="38">
        <v>0.15768262419178383</v>
      </c>
      <c r="O143" s="38">
        <v>0</v>
      </c>
      <c r="P143" s="38">
        <v>0</v>
      </c>
      <c r="Q143" s="38">
        <v>0</v>
      </c>
      <c r="R143" s="38">
        <v>90.128644121321173</v>
      </c>
      <c r="S143" s="38">
        <v>22.315027293748564</v>
      </c>
      <c r="T143" s="38">
        <v>186.16865982373153</v>
      </c>
      <c r="U143" s="38">
        <v>161.04384623060588</v>
      </c>
      <c r="V143" s="38">
        <v>41.344765956867626</v>
      </c>
      <c r="W143" s="38">
        <v>10.336191489216905</v>
      </c>
      <c r="X143" s="38">
        <v>86.134929076807552</v>
      </c>
      <c r="Y143" s="38">
        <v>0</v>
      </c>
      <c r="Z143" s="38">
        <v>0</v>
      </c>
      <c r="AA143" s="38">
        <v>0</v>
      </c>
      <c r="AB143" s="38">
        <v>0</v>
      </c>
      <c r="AC143" s="38">
        <v>0</v>
      </c>
      <c r="AD143" s="38">
        <v>0</v>
      </c>
      <c r="AE143" s="38">
        <v>0</v>
      </c>
      <c r="AF143" s="38">
        <v>0</v>
      </c>
      <c r="AG143" s="38">
        <v>0</v>
      </c>
      <c r="AH143" s="38">
        <v>131.47341007818881</v>
      </c>
      <c r="AI143" s="38">
        <v>32.651218782965472</v>
      </c>
      <c r="AJ143" s="38">
        <v>272.30358890053907</v>
      </c>
      <c r="AK143" s="38">
        <v>161.04384623060588</v>
      </c>
      <c r="AL143" s="38">
        <v>597.47206399229924</v>
      </c>
      <c r="AM143" s="38">
        <v>168.00625627343257</v>
      </c>
      <c r="AN143" s="38">
        <v>58.72562984779114</v>
      </c>
      <c r="AO143" s="38">
        <v>22.673188612122374</v>
      </c>
      <c r="AP143" s="38">
        <v>0</v>
      </c>
      <c r="AQ143" s="38">
        <v>249.40507473334608</v>
      </c>
      <c r="AR143" s="38">
        <v>131.47341007818881</v>
      </c>
      <c r="AS143" s="49">
        <v>1.8970001202906497</v>
      </c>
      <c r="AT143" s="38">
        <v>168.00625627343257</v>
      </c>
      <c r="AU143" s="38">
        <v>66.43170797261439</v>
      </c>
      <c r="AV143" s="38">
        <v>23.443796424604699</v>
      </c>
      <c r="AW143" s="38">
        <v>0</v>
      </c>
      <c r="AX143" s="38">
        <v>257.88176067065166</v>
      </c>
      <c r="AY143" s="38">
        <v>32.651218782965472</v>
      </c>
      <c r="AZ143" s="49">
        <v>7.8980745675929143</v>
      </c>
      <c r="BA143" s="38">
        <v>168.00625627343257</v>
      </c>
      <c r="BB143" s="38">
        <v>125.15733782040553</v>
      </c>
      <c r="BC143" s="38">
        <v>29.316359409383811</v>
      </c>
      <c r="BD143" s="38">
        <v>0</v>
      </c>
      <c r="BE143" s="38">
        <v>322.47995350322196</v>
      </c>
      <c r="BF143" s="38">
        <v>164.12462886115426</v>
      </c>
      <c r="BG143" s="38">
        <v>2.2274702418522936</v>
      </c>
      <c r="BH143" s="49">
        <v>1.964848028847838</v>
      </c>
      <c r="BI143" s="38">
        <v>30.344542861774752</v>
      </c>
      <c r="BJ143" s="38">
        <v>7.5360204566052413</v>
      </c>
      <c r="BK143" s="38">
        <v>62.848662097479917</v>
      </c>
      <c r="BL143" s="38">
        <v>37.169507443850755</v>
      </c>
      <c r="BM143" s="38">
        <v>137.89873285971066</v>
      </c>
      <c r="BN143" s="38">
        <v>168.00625627343257</v>
      </c>
      <c r="BO143" s="38">
        <v>0</v>
      </c>
      <c r="BP143" s="38">
        <v>125.15733782040553</v>
      </c>
      <c r="BQ143" s="38">
        <v>0</v>
      </c>
      <c r="BR143" s="38">
        <v>0</v>
      </c>
      <c r="BS143" s="38">
        <v>0</v>
      </c>
      <c r="BT143" s="38">
        <v>0</v>
      </c>
      <c r="BU143" s="38">
        <v>0</v>
      </c>
      <c r="BV143" s="38">
        <v>0</v>
      </c>
      <c r="BW143" s="38">
        <v>29.316359409383811</v>
      </c>
      <c r="BX143" s="38">
        <v>459.65617746940717</v>
      </c>
      <c r="BY143" s="38">
        <v>137.8158865228921</v>
      </c>
      <c r="BZ143" s="38">
        <v>0</v>
      </c>
      <c r="CA143" s="38">
        <v>0</v>
      </c>
      <c r="CB143" s="38">
        <v>322.47995350322191</v>
      </c>
      <c r="CC143" s="38">
        <v>597.47206399229924</v>
      </c>
      <c r="CD143" s="50">
        <v>0.53974063883157275</v>
      </c>
      <c r="CE143" s="38">
        <v>102.24563978318299</v>
      </c>
      <c r="CF143" s="38">
        <v>3.0286974410192777</v>
      </c>
      <c r="CG143" s="38">
        <v>0</v>
      </c>
      <c r="CH143" s="38">
        <v>3.0286974410192777</v>
      </c>
      <c r="CI143" s="38">
        <v>0.15143318347765472</v>
      </c>
      <c r="CJ143" s="38">
        <v>0</v>
      </c>
      <c r="CK143" s="38">
        <v>0.15143318347765472</v>
      </c>
      <c r="CL143" s="38"/>
      <c r="CM143" s="38">
        <v>0</v>
      </c>
      <c r="CN143" s="38"/>
      <c r="CO143" s="38">
        <v>0</v>
      </c>
      <c r="CP143" s="38">
        <v>0</v>
      </c>
      <c r="CQ143" s="38">
        <v>0</v>
      </c>
      <c r="CR143" s="38">
        <v>0</v>
      </c>
      <c r="CS143" s="38">
        <v>0</v>
      </c>
      <c r="CT143" s="38">
        <v>0</v>
      </c>
      <c r="CU143" s="38">
        <v>272.30358890053907</v>
      </c>
      <c r="CV143" s="38">
        <v>9999</v>
      </c>
      <c r="CW143" s="50">
        <v>0</v>
      </c>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row>
    <row r="144" spans="1:131">
      <c r="A144" s="27" t="s">
        <v>249</v>
      </c>
      <c r="B144" s="27"/>
      <c r="C144" s="38">
        <v>45</v>
      </c>
      <c r="D144" s="38">
        <v>1533.293330511465</v>
      </c>
      <c r="E144" s="38">
        <v>0</v>
      </c>
      <c r="F144" s="38">
        <v>3865.0968570659024</v>
      </c>
      <c r="G144" s="38">
        <v>0</v>
      </c>
      <c r="H144" s="38">
        <v>0</v>
      </c>
      <c r="I144" s="38"/>
      <c r="J144" s="38"/>
      <c r="K144" s="38"/>
      <c r="L144" s="38">
        <v>1752.8373326611568</v>
      </c>
      <c r="M144" s="38">
        <v>0.91377363146991153</v>
      </c>
      <c r="N144" s="38">
        <v>0.86695790462040934</v>
      </c>
      <c r="O144" s="38">
        <v>0</v>
      </c>
      <c r="P144" s="38">
        <v>0</v>
      </c>
      <c r="Q144" s="38">
        <v>0</v>
      </c>
      <c r="R144" s="38">
        <v>505.53814645609174</v>
      </c>
      <c r="S144" s="38">
        <v>125.16661762950061</v>
      </c>
      <c r="T144" s="38">
        <v>1044.2336077841831</v>
      </c>
      <c r="U144" s="38">
        <v>903.30669361884679</v>
      </c>
      <c r="V144" s="38">
        <v>231.90581142395416</v>
      </c>
      <c r="W144" s="38">
        <v>57.976452855988526</v>
      </c>
      <c r="X144" s="38">
        <v>483.13710713323781</v>
      </c>
      <c r="Y144" s="38">
        <v>0</v>
      </c>
      <c r="Z144" s="38">
        <v>0</v>
      </c>
      <c r="AA144" s="38">
        <v>0</v>
      </c>
      <c r="AB144" s="38">
        <v>0</v>
      </c>
      <c r="AC144" s="38">
        <v>0</v>
      </c>
      <c r="AD144" s="38">
        <v>0</v>
      </c>
      <c r="AE144" s="38">
        <v>0</v>
      </c>
      <c r="AF144" s="38">
        <v>0</v>
      </c>
      <c r="AG144" s="38">
        <v>0</v>
      </c>
      <c r="AH144" s="38">
        <v>737.4439578800459</v>
      </c>
      <c r="AI144" s="38">
        <v>183.14307048548915</v>
      </c>
      <c r="AJ144" s="38">
        <v>1527.3707149174209</v>
      </c>
      <c r="AK144" s="38">
        <v>903.30669361884679</v>
      </c>
      <c r="AL144" s="38">
        <v>3351.264436901803</v>
      </c>
      <c r="AM144" s="38">
        <v>923.71846706952533</v>
      </c>
      <c r="AN144" s="38">
        <v>322.88052828466061</v>
      </c>
      <c r="AO144" s="38">
        <v>124.6598995354186</v>
      </c>
      <c r="AP144" s="38">
        <v>0</v>
      </c>
      <c r="AQ144" s="38">
        <v>1371.2588948896046</v>
      </c>
      <c r="AR144" s="38">
        <v>737.4439578800459</v>
      </c>
      <c r="AS144" s="49">
        <v>1.8594753950274501</v>
      </c>
      <c r="AT144" s="38">
        <v>923.71846706952533</v>
      </c>
      <c r="AU144" s="38">
        <v>365.24946638536261</v>
      </c>
      <c r="AV144" s="38">
        <v>128.89679334548879</v>
      </c>
      <c r="AW144" s="38">
        <v>0</v>
      </c>
      <c r="AX144" s="38">
        <v>1417.8647268003767</v>
      </c>
      <c r="AY144" s="38">
        <v>183.14307048548915</v>
      </c>
      <c r="AZ144" s="49">
        <v>7.7418420639219185</v>
      </c>
      <c r="BA144" s="38">
        <v>923.71846706952533</v>
      </c>
      <c r="BB144" s="38">
        <v>688.12999467002328</v>
      </c>
      <c r="BC144" s="38">
        <v>161.18484617395487</v>
      </c>
      <c r="BD144" s="38">
        <v>0</v>
      </c>
      <c r="BE144" s="38">
        <v>1773.0333079135034</v>
      </c>
      <c r="BF144" s="38">
        <v>920.58702836553505</v>
      </c>
      <c r="BG144" s="38">
        <v>2.9919104356503383</v>
      </c>
      <c r="BH144" s="49">
        <v>1.9259811981724881</v>
      </c>
      <c r="BI144" s="38">
        <v>30.956904088586615</v>
      </c>
      <c r="BJ144" s="38">
        <v>7.6880994235914057</v>
      </c>
      <c r="BK144" s="38">
        <v>64.116965396719223</v>
      </c>
      <c r="BL144" s="38">
        <v>37.919598334393768</v>
      </c>
      <c r="BM144" s="38">
        <v>140.68156724329103</v>
      </c>
      <c r="BN144" s="38">
        <v>923.71846706952533</v>
      </c>
      <c r="BO144" s="38">
        <v>0</v>
      </c>
      <c r="BP144" s="38">
        <v>688.12999467002328</v>
      </c>
      <c r="BQ144" s="38">
        <v>0</v>
      </c>
      <c r="BR144" s="38">
        <v>0</v>
      </c>
      <c r="BS144" s="38">
        <v>0</v>
      </c>
      <c r="BT144" s="38">
        <v>0</v>
      </c>
      <c r="BU144" s="38">
        <v>0</v>
      </c>
      <c r="BV144" s="38">
        <v>0</v>
      </c>
      <c r="BW144" s="38">
        <v>161.18484617395487</v>
      </c>
      <c r="BX144" s="38">
        <v>2578.2450654886225</v>
      </c>
      <c r="BY144" s="38">
        <v>773.01937141318058</v>
      </c>
      <c r="BZ144" s="38">
        <v>0</v>
      </c>
      <c r="CA144" s="38">
        <v>0</v>
      </c>
      <c r="CB144" s="38">
        <v>1773.0333079135034</v>
      </c>
      <c r="CC144" s="38">
        <v>3351.264436901803</v>
      </c>
      <c r="CD144" s="50">
        <v>0.52906398205706739</v>
      </c>
      <c r="CE144" s="38">
        <v>105.02847416676336</v>
      </c>
      <c r="CF144" s="38">
        <v>16.652140339836421</v>
      </c>
      <c r="CG144" s="38">
        <v>0</v>
      </c>
      <c r="CH144" s="38">
        <v>16.652140339836421</v>
      </c>
      <c r="CI144" s="38">
        <v>0.8325977330140496</v>
      </c>
      <c r="CJ144" s="38">
        <v>0</v>
      </c>
      <c r="CK144" s="38">
        <v>0.8325977330140496</v>
      </c>
      <c r="CL144" s="38"/>
      <c r="CM144" s="38">
        <v>0</v>
      </c>
      <c r="CN144" s="38"/>
      <c r="CO144" s="38">
        <v>0</v>
      </c>
      <c r="CP144" s="38">
        <v>0</v>
      </c>
      <c r="CQ144" s="38">
        <v>0</v>
      </c>
      <c r="CR144" s="38">
        <v>0</v>
      </c>
      <c r="CS144" s="38">
        <v>0</v>
      </c>
      <c r="CT144" s="38">
        <v>0</v>
      </c>
      <c r="CU144" s="38">
        <v>1527.3707149174209</v>
      </c>
      <c r="CV144" s="38">
        <v>9999</v>
      </c>
      <c r="CW144" s="50">
        <v>0</v>
      </c>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row>
    <row r="145" spans="1:131">
      <c r="A145" s="27" t="s">
        <v>1675</v>
      </c>
      <c r="B145" s="27"/>
      <c r="C145" s="38">
        <v>44.999999999999993</v>
      </c>
      <c r="D145" s="38">
        <v>49.583799360863814</v>
      </c>
      <c r="E145" s="38">
        <v>0</v>
      </c>
      <c r="F145" s="38">
        <v>138.43135336419752</v>
      </c>
      <c r="G145" s="38">
        <v>0</v>
      </c>
      <c r="H145" s="38">
        <v>0</v>
      </c>
      <c r="I145" s="38"/>
      <c r="J145" s="38"/>
      <c r="K145" s="38"/>
      <c r="L145" s="38">
        <v>56.683436160197026</v>
      </c>
      <c r="M145" s="38">
        <v>2.9549706831985219E-2</v>
      </c>
      <c r="N145" s="38">
        <v>2.8035774982908174E-2</v>
      </c>
      <c r="O145" s="38">
        <v>0</v>
      </c>
      <c r="P145" s="38">
        <v>0</v>
      </c>
      <c r="Q145" s="38">
        <v>0</v>
      </c>
      <c r="R145" s="38">
        <v>18.106229256120152</v>
      </c>
      <c r="S145" s="38">
        <v>4.4829366288181891</v>
      </c>
      <c r="T145" s="38">
        <v>37.400012703350043</v>
      </c>
      <c r="U145" s="38">
        <v>32.352609190632599</v>
      </c>
      <c r="V145" s="38">
        <v>8.305881201851852</v>
      </c>
      <c r="W145" s="38">
        <v>2.0764703004629625</v>
      </c>
      <c r="X145" s="38">
        <v>17.30391917052469</v>
      </c>
      <c r="Y145" s="38">
        <v>0</v>
      </c>
      <c r="Z145" s="38">
        <v>0</v>
      </c>
      <c r="AA145" s="38">
        <v>0</v>
      </c>
      <c r="AB145" s="38">
        <v>0</v>
      </c>
      <c r="AC145" s="38">
        <v>0</v>
      </c>
      <c r="AD145" s="38">
        <v>0</v>
      </c>
      <c r="AE145" s="38">
        <v>0</v>
      </c>
      <c r="AF145" s="38">
        <v>0</v>
      </c>
      <c r="AG145" s="38">
        <v>0</v>
      </c>
      <c r="AH145" s="38">
        <v>26.412110457972005</v>
      </c>
      <c r="AI145" s="38">
        <v>6.5594069292811517</v>
      </c>
      <c r="AJ145" s="38">
        <v>54.703931873874737</v>
      </c>
      <c r="AK145" s="38">
        <v>32.352609190632599</v>
      </c>
      <c r="AL145" s="38">
        <v>120.02805845176047</v>
      </c>
      <c r="AM145" s="38">
        <v>29.87130396101179</v>
      </c>
      <c r="AN145" s="38">
        <v>10.441344140364812</v>
      </c>
      <c r="AO145" s="38">
        <v>4.0312648101376602</v>
      </c>
      <c r="AP145" s="38">
        <v>0</v>
      </c>
      <c r="AQ145" s="38">
        <v>44.343912911514266</v>
      </c>
      <c r="AR145" s="38">
        <v>26.412110457972005</v>
      </c>
      <c r="AS145" s="49">
        <v>1.6789234992060196</v>
      </c>
      <c r="AT145" s="38">
        <v>29.87130396101179</v>
      </c>
      <c r="AU145" s="38">
        <v>11.81147527190589</v>
      </c>
      <c r="AV145" s="38">
        <v>4.1682779232917682</v>
      </c>
      <c r="AW145" s="38">
        <v>0</v>
      </c>
      <c r="AX145" s="38">
        <v>45.85105715620945</v>
      </c>
      <c r="AY145" s="38">
        <v>6.5594069292811517</v>
      </c>
      <c r="AZ145" s="49">
        <v>6.9901223769988441</v>
      </c>
      <c r="BA145" s="38">
        <v>29.87130396101179</v>
      </c>
      <c r="BB145" s="38">
        <v>22.252819412270703</v>
      </c>
      <c r="BC145" s="38">
        <v>5.2124123373282494</v>
      </c>
      <c r="BD145" s="38">
        <v>0</v>
      </c>
      <c r="BE145" s="38">
        <v>57.336535710610747</v>
      </c>
      <c r="BF145" s="38">
        <v>32.971517387253158</v>
      </c>
      <c r="BG145" s="38">
        <v>7.1478047640395204</v>
      </c>
      <c r="BH145" s="49">
        <v>1.7389717020660125</v>
      </c>
      <c r="BI145" s="38">
        <v>34.286018086097407</v>
      </c>
      <c r="BJ145" s="38">
        <v>8.5148797544698116</v>
      </c>
      <c r="BK145" s="38">
        <v>71.012121526328116</v>
      </c>
      <c r="BL145" s="38">
        <v>41.997482390039998</v>
      </c>
      <c r="BM145" s="38">
        <v>155.81050175693531</v>
      </c>
      <c r="BN145" s="38">
        <v>29.87130396101179</v>
      </c>
      <c r="BO145" s="38">
        <v>0</v>
      </c>
      <c r="BP145" s="38">
        <v>22.252819412270703</v>
      </c>
      <c r="BQ145" s="38">
        <v>0</v>
      </c>
      <c r="BR145" s="38">
        <v>0</v>
      </c>
      <c r="BS145" s="38">
        <v>0</v>
      </c>
      <c r="BT145" s="38">
        <v>0</v>
      </c>
      <c r="BU145" s="38">
        <v>0</v>
      </c>
      <c r="BV145" s="38">
        <v>0</v>
      </c>
      <c r="BW145" s="38">
        <v>5.2124123373282494</v>
      </c>
      <c r="BX145" s="38">
        <v>92.341787778920974</v>
      </c>
      <c r="BY145" s="38">
        <v>27.686270672839505</v>
      </c>
      <c r="BZ145" s="38">
        <v>0</v>
      </c>
      <c r="CA145" s="38">
        <v>0</v>
      </c>
      <c r="CB145" s="38">
        <v>57.336535710610747</v>
      </c>
      <c r="CC145" s="38">
        <v>120.02805845176047</v>
      </c>
      <c r="CD145" s="50">
        <v>0.47769276992557885</v>
      </c>
      <c r="CE145" s="38">
        <v>120.1574086804076</v>
      </c>
      <c r="CF145" s="38">
        <v>0.53849864804666758</v>
      </c>
      <c r="CG145" s="38">
        <v>0</v>
      </c>
      <c r="CH145" s="38">
        <v>0.53849864804666758</v>
      </c>
      <c r="CI145" s="38">
        <v>2.6924632176093585E-2</v>
      </c>
      <c r="CJ145" s="38">
        <v>0</v>
      </c>
      <c r="CK145" s="38">
        <v>2.6924632176093585E-2</v>
      </c>
      <c r="CL145" s="38"/>
      <c r="CM145" s="38">
        <v>0</v>
      </c>
      <c r="CN145" s="38"/>
      <c r="CO145" s="38">
        <v>0</v>
      </c>
      <c r="CP145" s="38">
        <v>0</v>
      </c>
      <c r="CQ145" s="38">
        <v>0</v>
      </c>
      <c r="CR145" s="38">
        <v>0</v>
      </c>
      <c r="CS145" s="38">
        <v>0</v>
      </c>
      <c r="CT145" s="38">
        <v>0</v>
      </c>
      <c r="CU145" s="38">
        <v>54.703931873874737</v>
      </c>
      <c r="CV145" s="38">
        <v>9999</v>
      </c>
      <c r="CW145" s="50">
        <v>0</v>
      </c>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row>
    <row r="146" spans="1:131">
      <c r="A146" s="27" t="s">
        <v>1673</v>
      </c>
      <c r="B146" s="27"/>
      <c r="C146" s="38">
        <v>45</v>
      </c>
      <c r="D146" s="38">
        <v>49.083580521539076</v>
      </c>
      <c r="E146" s="38">
        <v>0</v>
      </c>
      <c r="F146" s="38">
        <v>138.43135336419752</v>
      </c>
      <c r="G146" s="38">
        <v>0</v>
      </c>
      <c r="H146" s="38">
        <v>0</v>
      </c>
      <c r="I146" s="38"/>
      <c r="J146" s="38"/>
      <c r="K146" s="38"/>
      <c r="L146" s="38">
        <v>56.111593683209037</v>
      </c>
      <c r="M146" s="38">
        <v>2.925159897731467E-2</v>
      </c>
      <c r="N146" s="38">
        <v>2.7752940206180899E-2</v>
      </c>
      <c r="O146" s="38">
        <v>0</v>
      </c>
      <c r="P146" s="38">
        <v>0</v>
      </c>
      <c r="Q146" s="38">
        <v>0</v>
      </c>
      <c r="R146" s="38">
        <v>18.106229256120152</v>
      </c>
      <c r="S146" s="38">
        <v>4.4829366288181891</v>
      </c>
      <c r="T146" s="38">
        <v>37.400012703350043</v>
      </c>
      <c r="U146" s="38">
        <v>32.352609190632599</v>
      </c>
      <c r="V146" s="38">
        <v>8.305881201851852</v>
      </c>
      <c r="W146" s="38">
        <v>2.0764703004629625</v>
      </c>
      <c r="X146" s="38">
        <v>17.30391917052469</v>
      </c>
      <c r="Y146" s="38">
        <v>0</v>
      </c>
      <c r="Z146" s="38">
        <v>0</v>
      </c>
      <c r="AA146" s="38">
        <v>0</v>
      </c>
      <c r="AB146" s="38">
        <v>0</v>
      </c>
      <c r="AC146" s="38">
        <v>0</v>
      </c>
      <c r="AD146" s="38">
        <v>0</v>
      </c>
      <c r="AE146" s="38">
        <v>0</v>
      </c>
      <c r="AF146" s="38">
        <v>0</v>
      </c>
      <c r="AG146" s="38">
        <v>0</v>
      </c>
      <c r="AH146" s="38">
        <v>26.412110457972005</v>
      </c>
      <c r="AI146" s="38">
        <v>6.5594069292811517</v>
      </c>
      <c r="AJ146" s="38">
        <v>54.703931873874737</v>
      </c>
      <c r="AK146" s="38">
        <v>32.352609190632599</v>
      </c>
      <c r="AL146" s="38">
        <v>120.02805845176047</v>
      </c>
      <c r="AM146" s="38">
        <v>29.569951721185483</v>
      </c>
      <c r="AN146" s="38">
        <v>10.336008181559565</v>
      </c>
      <c r="AO146" s="38">
        <v>3.990595990274505</v>
      </c>
      <c r="AP146" s="38">
        <v>0</v>
      </c>
      <c r="AQ146" s="38">
        <v>43.896555893019553</v>
      </c>
      <c r="AR146" s="38">
        <v>26.412110457972005</v>
      </c>
      <c r="AS146" s="49">
        <v>1.6619859273597044</v>
      </c>
      <c r="AT146" s="38">
        <v>29.569951721185483</v>
      </c>
      <c r="AU146" s="38">
        <v>11.692316947465567</v>
      </c>
      <c r="AV146" s="38">
        <v>4.126226866865105</v>
      </c>
      <c r="AW146" s="38">
        <v>0</v>
      </c>
      <c r="AX146" s="38">
        <v>45.388495535516149</v>
      </c>
      <c r="AY146" s="38">
        <v>6.5594069292811517</v>
      </c>
      <c r="AZ146" s="49">
        <v>6.9196035594166583</v>
      </c>
      <c r="BA146" s="38">
        <v>29.569951721185483</v>
      </c>
      <c r="BB146" s="38">
        <v>22.028325129025134</v>
      </c>
      <c r="BC146" s="38">
        <v>5.159827685021062</v>
      </c>
      <c r="BD146" s="38">
        <v>0</v>
      </c>
      <c r="BE146" s="38">
        <v>56.758104535231674</v>
      </c>
      <c r="BF146" s="38">
        <v>32.971517387253158</v>
      </c>
      <c r="BG146" s="38">
        <v>7.5839957511756575</v>
      </c>
      <c r="BH146" s="49">
        <v>1.7214283427906307</v>
      </c>
      <c r="BI146" s="38">
        <v>34.635432533655255</v>
      </c>
      <c r="BJ146" s="38">
        <v>8.6016562940480839</v>
      </c>
      <c r="BK146" s="38">
        <v>71.735817732482019</v>
      </c>
      <c r="BL146" s="38">
        <v>42.425485638223741</v>
      </c>
      <c r="BM146" s="38">
        <v>157.39839219840906</v>
      </c>
      <c r="BN146" s="38">
        <v>29.569951721185483</v>
      </c>
      <c r="BO146" s="38">
        <v>0</v>
      </c>
      <c r="BP146" s="38">
        <v>22.028325129025134</v>
      </c>
      <c r="BQ146" s="38">
        <v>0</v>
      </c>
      <c r="BR146" s="38">
        <v>0</v>
      </c>
      <c r="BS146" s="38">
        <v>0</v>
      </c>
      <c r="BT146" s="38">
        <v>0</v>
      </c>
      <c r="BU146" s="38">
        <v>0</v>
      </c>
      <c r="BV146" s="38">
        <v>0</v>
      </c>
      <c r="BW146" s="38">
        <v>5.159827685021062</v>
      </c>
      <c r="BX146" s="38">
        <v>92.341787778920974</v>
      </c>
      <c r="BY146" s="38">
        <v>27.686270672839505</v>
      </c>
      <c r="BZ146" s="38">
        <v>0</v>
      </c>
      <c r="CA146" s="38">
        <v>0</v>
      </c>
      <c r="CB146" s="38">
        <v>56.758104535231681</v>
      </c>
      <c r="CC146" s="38">
        <v>120.02805845176047</v>
      </c>
      <c r="CD146" s="50">
        <v>0.47287363694250606</v>
      </c>
      <c r="CE146" s="38">
        <v>121.74529912188139</v>
      </c>
      <c r="CF146" s="38">
        <v>0.53306608393952015</v>
      </c>
      <c r="CG146" s="38">
        <v>0</v>
      </c>
      <c r="CH146" s="38">
        <v>0.53306608393952015</v>
      </c>
      <c r="CI146" s="38">
        <v>2.6653006999524297E-2</v>
      </c>
      <c r="CJ146" s="38">
        <v>0</v>
      </c>
      <c r="CK146" s="38">
        <v>2.6653006999524297E-2</v>
      </c>
      <c r="CL146" s="38"/>
      <c r="CM146" s="38">
        <v>0</v>
      </c>
      <c r="CN146" s="38"/>
      <c r="CO146" s="38">
        <v>0</v>
      </c>
      <c r="CP146" s="38">
        <v>0</v>
      </c>
      <c r="CQ146" s="38">
        <v>0</v>
      </c>
      <c r="CR146" s="38">
        <v>0</v>
      </c>
      <c r="CS146" s="38">
        <v>0</v>
      </c>
      <c r="CT146" s="38">
        <v>0</v>
      </c>
      <c r="CU146" s="38">
        <v>54.703931873874737</v>
      </c>
      <c r="CV146" s="38">
        <v>9999</v>
      </c>
      <c r="CW146" s="50">
        <v>0</v>
      </c>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row>
    <row r="147" spans="1:131">
      <c r="A147" s="27" t="s">
        <v>241</v>
      </c>
      <c r="B147" s="27"/>
      <c r="C147" s="38">
        <v>45</v>
      </c>
      <c r="D147" s="38">
        <v>143.03235276320603</v>
      </c>
      <c r="E147" s="38">
        <v>0</v>
      </c>
      <c r="F147" s="38">
        <v>478.21740253086421</v>
      </c>
      <c r="G147" s="38">
        <v>0</v>
      </c>
      <c r="H147" s="38">
        <v>0</v>
      </c>
      <c r="I147" s="38"/>
      <c r="J147" s="38"/>
      <c r="K147" s="38"/>
      <c r="L147" s="38">
        <v>163.51238390770072</v>
      </c>
      <c r="M147" s="38">
        <v>8.5240827571148772E-2</v>
      </c>
      <c r="N147" s="38">
        <v>8.0873650447010212E-2</v>
      </c>
      <c r="O147" s="38">
        <v>0</v>
      </c>
      <c r="P147" s="38">
        <v>0</v>
      </c>
      <c r="Q147" s="38">
        <v>0</v>
      </c>
      <c r="R147" s="38">
        <v>62.548791975687799</v>
      </c>
      <c r="S147" s="38">
        <v>15.4865083540992</v>
      </c>
      <c r="T147" s="38">
        <v>129.20004388430013</v>
      </c>
      <c r="U147" s="38">
        <v>111.76355902218535</v>
      </c>
      <c r="V147" s="38">
        <v>28.693044151851854</v>
      </c>
      <c r="W147" s="38">
        <v>7.1732610379629618</v>
      </c>
      <c r="X147" s="38">
        <v>59.777175316358026</v>
      </c>
      <c r="Y147" s="38">
        <v>0</v>
      </c>
      <c r="Z147" s="38">
        <v>0</v>
      </c>
      <c r="AA147" s="38">
        <v>0</v>
      </c>
      <c r="AB147" s="38">
        <v>0</v>
      </c>
      <c r="AC147" s="38">
        <v>0</v>
      </c>
      <c r="AD147" s="38">
        <v>0</v>
      </c>
      <c r="AE147" s="38">
        <v>0</v>
      </c>
      <c r="AF147" s="38">
        <v>0</v>
      </c>
      <c r="AG147" s="38">
        <v>0</v>
      </c>
      <c r="AH147" s="38">
        <v>91.241836127539656</v>
      </c>
      <c r="AI147" s="38">
        <v>22.659769392062163</v>
      </c>
      <c r="AJ147" s="38">
        <v>188.97721920065817</v>
      </c>
      <c r="AK147" s="38">
        <v>111.76355902218535</v>
      </c>
      <c r="AL147" s="38">
        <v>414.6423837424453</v>
      </c>
      <c r="AM147" s="38">
        <v>86.16852562171124</v>
      </c>
      <c r="AN147" s="38">
        <v>30.119717279782808</v>
      </c>
      <c r="AO147" s="38">
        <v>11.628824290149405</v>
      </c>
      <c r="AP147" s="38">
        <v>0</v>
      </c>
      <c r="AQ147" s="38">
        <v>127.91706719164345</v>
      </c>
      <c r="AR147" s="38">
        <v>91.241836127539656</v>
      </c>
      <c r="AS147" s="49">
        <v>1.401956302291401</v>
      </c>
      <c r="AT147" s="38">
        <v>86.16852562171124</v>
      </c>
      <c r="AU147" s="38">
        <v>34.072078370795019</v>
      </c>
      <c r="AV147" s="38">
        <v>12.024060399250626</v>
      </c>
      <c r="AW147" s="38">
        <v>0</v>
      </c>
      <c r="AX147" s="38">
        <v>132.2646643917569</v>
      </c>
      <c r="AY147" s="38">
        <v>22.659769392062163</v>
      </c>
      <c r="AZ147" s="49">
        <v>5.8369819261307185</v>
      </c>
      <c r="BA147" s="38">
        <v>86.16852562171124</v>
      </c>
      <c r="BB147" s="38">
        <v>64.191795650577831</v>
      </c>
      <c r="BC147" s="38">
        <v>15.036032127228907</v>
      </c>
      <c r="BD147" s="38">
        <v>0</v>
      </c>
      <c r="BE147" s="38">
        <v>165.39635339951798</v>
      </c>
      <c r="BF147" s="38">
        <v>113.90160551960182</v>
      </c>
      <c r="BG147" s="38">
        <v>15.603449694595122</v>
      </c>
      <c r="BH147" s="49">
        <v>1.4520985252578744</v>
      </c>
      <c r="BI147" s="38">
        <v>41.059483355413924</v>
      </c>
      <c r="BJ147" s="38">
        <v>10.197059415708873</v>
      </c>
      <c r="BK147" s="38">
        <v>85.041109601035643</v>
      </c>
      <c r="BL147" s="38">
        <v>50.29440644967633</v>
      </c>
      <c r="BM147" s="38">
        <v>186.59205882183477</v>
      </c>
      <c r="BN147" s="38">
        <v>86.16852562171124</v>
      </c>
      <c r="BO147" s="38">
        <v>0</v>
      </c>
      <c r="BP147" s="38">
        <v>64.191795650577831</v>
      </c>
      <c r="BQ147" s="38">
        <v>0</v>
      </c>
      <c r="BR147" s="38">
        <v>0</v>
      </c>
      <c r="BS147" s="38">
        <v>0</v>
      </c>
      <c r="BT147" s="38">
        <v>0</v>
      </c>
      <c r="BU147" s="38">
        <v>0</v>
      </c>
      <c r="BV147" s="38">
        <v>0</v>
      </c>
      <c r="BW147" s="38">
        <v>15.036032127228907</v>
      </c>
      <c r="BX147" s="38">
        <v>318.99890323627244</v>
      </c>
      <c r="BY147" s="38">
        <v>95.64348050617285</v>
      </c>
      <c r="BZ147" s="38">
        <v>0</v>
      </c>
      <c r="CA147" s="38">
        <v>0</v>
      </c>
      <c r="CB147" s="38">
        <v>165.39635339951798</v>
      </c>
      <c r="CC147" s="38">
        <v>414.6423837424453</v>
      </c>
      <c r="CD147" s="50">
        <v>0.39888916301005484</v>
      </c>
      <c r="CE147" s="38">
        <v>150.93896574530709</v>
      </c>
      <c r="CF147" s="38">
        <v>1.553384968129611</v>
      </c>
      <c r="CG147" s="38">
        <v>0</v>
      </c>
      <c r="CH147" s="38">
        <v>1.553384968129611</v>
      </c>
      <c r="CI147" s="38">
        <v>7.7668382356157861E-2</v>
      </c>
      <c r="CJ147" s="38">
        <v>0</v>
      </c>
      <c r="CK147" s="38">
        <v>7.7668382356157861E-2</v>
      </c>
      <c r="CL147" s="38"/>
      <c r="CM147" s="38">
        <v>0</v>
      </c>
      <c r="CN147" s="38"/>
      <c r="CO147" s="38">
        <v>0</v>
      </c>
      <c r="CP147" s="38">
        <v>0</v>
      </c>
      <c r="CQ147" s="38">
        <v>0</v>
      </c>
      <c r="CR147" s="38">
        <v>0</v>
      </c>
      <c r="CS147" s="38">
        <v>0</v>
      </c>
      <c r="CT147" s="38">
        <v>0</v>
      </c>
      <c r="CU147" s="38">
        <v>188.97721920065817</v>
      </c>
      <c r="CV147" s="38">
        <v>9999</v>
      </c>
      <c r="CW147" s="50">
        <v>0</v>
      </c>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row>
    <row r="148" spans="1:131">
      <c r="A148" s="27" t="s">
        <v>221</v>
      </c>
      <c r="B148" s="27"/>
      <c r="C148" s="38">
        <v>45</v>
      </c>
      <c r="D148" s="38">
        <v>68.389419897086313</v>
      </c>
      <c r="E148" s="38">
        <v>0</v>
      </c>
      <c r="F148" s="38">
        <v>239.1087012654321</v>
      </c>
      <c r="G148" s="38">
        <v>0</v>
      </c>
      <c r="H148" s="38">
        <v>0</v>
      </c>
      <c r="I148" s="38"/>
      <c r="J148" s="38"/>
      <c r="K148" s="38"/>
      <c r="L148" s="38">
        <v>78.181732072535269</v>
      </c>
      <c r="M148" s="38">
        <v>4.0757008023138926E-2</v>
      </c>
      <c r="N148" s="38">
        <v>3.8668888067494231E-2</v>
      </c>
      <c r="O148" s="38">
        <v>0</v>
      </c>
      <c r="P148" s="38">
        <v>0</v>
      </c>
      <c r="Q148" s="38">
        <v>0</v>
      </c>
      <c r="R148" s="38">
        <v>31.274395987843899</v>
      </c>
      <c r="S148" s="38">
        <v>7.7432541770496002</v>
      </c>
      <c r="T148" s="38">
        <v>64.600021942150065</v>
      </c>
      <c r="U148" s="38">
        <v>55.881779511092674</v>
      </c>
      <c r="V148" s="38">
        <v>14.346522075925927</v>
      </c>
      <c r="W148" s="38">
        <v>3.5866305189814809</v>
      </c>
      <c r="X148" s="38">
        <v>29.888587658179013</v>
      </c>
      <c r="Y148" s="38">
        <v>0</v>
      </c>
      <c r="Z148" s="38">
        <v>0</v>
      </c>
      <c r="AA148" s="38">
        <v>0</v>
      </c>
      <c r="AB148" s="38">
        <v>0</v>
      </c>
      <c r="AC148" s="38">
        <v>0</v>
      </c>
      <c r="AD148" s="38">
        <v>0</v>
      </c>
      <c r="AE148" s="38">
        <v>0</v>
      </c>
      <c r="AF148" s="38">
        <v>0</v>
      </c>
      <c r="AG148" s="38">
        <v>0</v>
      </c>
      <c r="AH148" s="38">
        <v>45.620918063769828</v>
      </c>
      <c r="AI148" s="38">
        <v>11.329884696031082</v>
      </c>
      <c r="AJ148" s="38">
        <v>94.488609600329085</v>
      </c>
      <c r="AK148" s="38">
        <v>55.881779511092674</v>
      </c>
      <c r="AL148" s="38">
        <v>207.32119187122265</v>
      </c>
      <c r="AM148" s="38">
        <v>41.200577119863972</v>
      </c>
      <c r="AN148" s="38">
        <v>14.401427036852027</v>
      </c>
      <c r="AO148" s="38">
        <v>5.5602004156716003</v>
      </c>
      <c r="AP148" s="38">
        <v>0</v>
      </c>
      <c r="AQ148" s="38">
        <v>61.162204572387601</v>
      </c>
      <c r="AR148" s="38">
        <v>45.620918063769828</v>
      </c>
      <c r="AS148" s="49">
        <v>1.3406614151625325</v>
      </c>
      <c r="AT148" s="38">
        <v>41.200577119863972</v>
      </c>
      <c r="AU148" s="38">
        <v>16.291207055262479</v>
      </c>
      <c r="AV148" s="38">
        <v>5.7491784175126455</v>
      </c>
      <c r="AW148" s="38">
        <v>0</v>
      </c>
      <c r="AX148" s="38">
        <v>63.2409625926391</v>
      </c>
      <c r="AY148" s="38">
        <v>11.329884696031082</v>
      </c>
      <c r="AZ148" s="49">
        <v>5.5817834240442661</v>
      </c>
      <c r="BA148" s="38">
        <v>41.200577119863972</v>
      </c>
      <c r="BB148" s="38">
        <v>30.692634092114506</v>
      </c>
      <c r="BC148" s="38">
        <v>7.1893211211978478</v>
      </c>
      <c r="BD148" s="38">
        <v>0</v>
      </c>
      <c r="BE148" s="38">
        <v>79.082532333176331</v>
      </c>
      <c r="BF148" s="38">
        <v>56.950802759800908</v>
      </c>
      <c r="BG148" s="38">
        <v>17.94689298925514</v>
      </c>
      <c r="BH148" s="49">
        <v>1.3886113715853932</v>
      </c>
      <c r="BI148" s="38">
        <v>42.936718255573041</v>
      </c>
      <c r="BJ148" s="38">
        <v>10.663267810209794</v>
      </c>
      <c r="BK148" s="38">
        <v>88.929179441307284</v>
      </c>
      <c r="BL148" s="38">
        <v>52.593860981358127</v>
      </c>
      <c r="BM148" s="38">
        <v>195.12302648844823</v>
      </c>
      <c r="BN148" s="38">
        <v>41.200577119863972</v>
      </c>
      <c r="BO148" s="38">
        <v>0</v>
      </c>
      <c r="BP148" s="38">
        <v>30.692634092114506</v>
      </c>
      <c r="BQ148" s="38">
        <v>0</v>
      </c>
      <c r="BR148" s="38">
        <v>0</v>
      </c>
      <c r="BS148" s="38">
        <v>0</v>
      </c>
      <c r="BT148" s="38">
        <v>0</v>
      </c>
      <c r="BU148" s="38">
        <v>0</v>
      </c>
      <c r="BV148" s="38">
        <v>0</v>
      </c>
      <c r="BW148" s="38">
        <v>7.1893211211978478</v>
      </c>
      <c r="BX148" s="38">
        <v>159.49945161813622</v>
      </c>
      <c r="BY148" s="38">
        <v>47.821740253086425</v>
      </c>
      <c r="BZ148" s="38">
        <v>0</v>
      </c>
      <c r="CA148" s="38">
        <v>0</v>
      </c>
      <c r="CB148" s="38">
        <v>79.082532333176331</v>
      </c>
      <c r="CC148" s="38">
        <v>207.32119187122265</v>
      </c>
      <c r="CD148" s="50">
        <v>0.38144934253657181</v>
      </c>
      <c r="CE148" s="38">
        <v>159.46993341192052</v>
      </c>
      <c r="CF148" s="38">
        <v>0.74273473654672539</v>
      </c>
      <c r="CG148" s="38">
        <v>0</v>
      </c>
      <c r="CH148" s="38">
        <v>0.74273473654672539</v>
      </c>
      <c r="CI148" s="38">
        <v>3.7136322734454254E-2</v>
      </c>
      <c r="CJ148" s="38">
        <v>0</v>
      </c>
      <c r="CK148" s="38">
        <v>3.7136322734454254E-2</v>
      </c>
      <c r="CL148" s="38"/>
      <c r="CM148" s="38">
        <v>0</v>
      </c>
      <c r="CN148" s="38"/>
      <c r="CO148" s="38">
        <v>0</v>
      </c>
      <c r="CP148" s="38">
        <v>0</v>
      </c>
      <c r="CQ148" s="38">
        <v>0</v>
      </c>
      <c r="CR148" s="38">
        <v>0</v>
      </c>
      <c r="CS148" s="38">
        <v>0</v>
      </c>
      <c r="CT148" s="38">
        <v>0</v>
      </c>
      <c r="CU148" s="38">
        <v>94.488609600329085</v>
      </c>
      <c r="CV148" s="38">
        <v>9999</v>
      </c>
      <c r="CW148" s="50">
        <v>0</v>
      </c>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row>
    <row r="149" spans="1:131">
      <c r="A149" s="27" t="s">
        <v>232</v>
      </c>
      <c r="B149" s="27"/>
      <c r="C149" s="38">
        <v>45</v>
      </c>
      <c r="D149" s="38">
        <v>67.720566368354085</v>
      </c>
      <c r="E149" s="38">
        <v>0</v>
      </c>
      <c r="F149" s="38">
        <v>239.1087012654321</v>
      </c>
      <c r="G149" s="38">
        <v>0</v>
      </c>
      <c r="H149" s="38">
        <v>0</v>
      </c>
      <c r="I149" s="38"/>
      <c r="J149" s="38"/>
      <c r="K149" s="38"/>
      <c r="L149" s="38">
        <v>77.417109014497882</v>
      </c>
      <c r="M149" s="38">
        <v>4.035840150362368E-2</v>
      </c>
      <c r="N149" s="38">
        <v>3.8290703513874452E-2</v>
      </c>
      <c r="O149" s="38">
        <v>0</v>
      </c>
      <c r="P149" s="38">
        <v>0</v>
      </c>
      <c r="Q149" s="38">
        <v>0</v>
      </c>
      <c r="R149" s="38">
        <v>31.274395987843899</v>
      </c>
      <c r="S149" s="38">
        <v>7.7432541770496002</v>
      </c>
      <c r="T149" s="38">
        <v>64.600021942150065</v>
      </c>
      <c r="U149" s="38">
        <v>55.881779511092674</v>
      </c>
      <c r="V149" s="38">
        <v>14.346522075925927</v>
      </c>
      <c r="W149" s="38">
        <v>3.5866305189814809</v>
      </c>
      <c r="X149" s="38">
        <v>29.888587658179013</v>
      </c>
      <c r="Y149" s="38">
        <v>0</v>
      </c>
      <c r="Z149" s="38">
        <v>0</v>
      </c>
      <c r="AA149" s="38">
        <v>0</v>
      </c>
      <c r="AB149" s="38">
        <v>0</v>
      </c>
      <c r="AC149" s="38">
        <v>0</v>
      </c>
      <c r="AD149" s="38">
        <v>0</v>
      </c>
      <c r="AE149" s="38">
        <v>0</v>
      </c>
      <c r="AF149" s="38">
        <v>0</v>
      </c>
      <c r="AG149" s="38">
        <v>0</v>
      </c>
      <c r="AH149" s="38">
        <v>45.620918063769828</v>
      </c>
      <c r="AI149" s="38">
        <v>11.329884696031082</v>
      </c>
      <c r="AJ149" s="38">
        <v>94.488609600329085</v>
      </c>
      <c r="AK149" s="38">
        <v>55.881779511092674</v>
      </c>
      <c r="AL149" s="38">
        <v>207.32119187122265</v>
      </c>
      <c r="AM149" s="38">
        <v>40.797632462139177</v>
      </c>
      <c r="AN149" s="38">
        <v>14.260580027082488</v>
      </c>
      <c r="AO149" s="38">
        <v>5.5058212489221665</v>
      </c>
      <c r="AP149" s="38">
        <v>0</v>
      </c>
      <c r="AQ149" s="38">
        <v>60.564033738143834</v>
      </c>
      <c r="AR149" s="38">
        <v>45.620918063769828</v>
      </c>
      <c r="AS149" s="49">
        <v>1.3275496484635891</v>
      </c>
      <c r="AT149" s="38">
        <v>40.797632462139177</v>
      </c>
      <c r="AU149" s="38">
        <v>16.131877858690597</v>
      </c>
      <c r="AV149" s="38">
        <v>5.6929510320829779</v>
      </c>
      <c r="AW149" s="38">
        <v>0</v>
      </c>
      <c r="AX149" s="38">
        <v>62.622461352912758</v>
      </c>
      <c r="AY149" s="38">
        <v>11.329884696031082</v>
      </c>
      <c r="AZ149" s="49">
        <v>5.5271931738943234</v>
      </c>
      <c r="BA149" s="38">
        <v>40.797632462139177</v>
      </c>
      <c r="BB149" s="38">
        <v>30.392457885773084</v>
      </c>
      <c r="BC149" s="38">
        <v>7.1190090347912269</v>
      </c>
      <c r="BD149" s="38">
        <v>0</v>
      </c>
      <c r="BE149" s="38">
        <v>78.309099382703494</v>
      </c>
      <c r="BF149" s="38">
        <v>56.950802759800908</v>
      </c>
      <c r="BG149" s="38">
        <v>18.476282238971319</v>
      </c>
      <c r="BH149" s="49">
        <v>1.3750306508054786</v>
      </c>
      <c r="BI149" s="38">
        <v>43.360789952806236</v>
      </c>
      <c r="BJ149" s="38">
        <v>10.768585362692765</v>
      </c>
      <c r="BK149" s="38">
        <v>89.807503393192817</v>
      </c>
      <c r="BL149" s="38">
        <v>53.113313067976705</v>
      </c>
      <c r="BM149" s="38">
        <v>197.05019177666853</v>
      </c>
      <c r="BN149" s="38">
        <v>40.797632462139177</v>
      </c>
      <c r="BO149" s="38">
        <v>0</v>
      </c>
      <c r="BP149" s="38">
        <v>30.392457885773084</v>
      </c>
      <c r="BQ149" s="38">
        <v>0</v>
      </c>
      <c r="BR149" s="38">
        <v>0</v>
      </c>
      <c r="BS149" s="38">
        <v>0</v>
      </c>
      <c r="BT149" s="38">
        <v>0</v>
      </c>
      <c r="BU149" s="38">
        <v>0</v>
      </c>
      <c r="BV149" s="38">
        <v>0</v>
      </c>
      <c r="BW149" s="38">
        <v>7.1190090347912269</v>
      </c>
      <c r="BX149" s="38">
        <v>159.49945161813622</v>
      </c>
      <c r="BY149" s="38">
        <v>47.821740253086425</v>
      </c>
      <c r="BZ149" s="38">
        <v>0</v>
      </c>
      <c r="CA149" s="38">
        <v>0</v>
      </c>
      <c r="CB149" s="38">
        <v>78.309099382703494</v>
      </c>
      <c r="CC149" s="38">
        <v>207.32119187122265</v>
      </c>
      <c r="CD149" s="50">
        <v>0.37771874006659728</v>
      </c>
      <c r="CE149" s="38">
        <v>161.39709870014082</v>
      </c>
      <c r="CF149" s="38">
        <v>0.73547073649819539</v>
      </c>
      <c r="CG149" s="38">
        <v>0</v>
      </c>
      <c r="CH149" s="38">
        <v>0.73547073649819539</v>
      </c>
      <c r="CI149" s="38">
        <v>3.6773126781886496E-2</v>
      </c>
      <c r="CJ149" s="38">
        <v>0</v>
      </c>
      <c r="CK149" s="38">
        <v>3.6773126781886496E-2</v>
      </c>
      <c r="CL149" s="38"/>
      <c r="CM149" s="38">
        <v>0</v>
      </c>
      <c r="CN149" s="38"/>
      <c r="CO149" s="38">
        <v>0</v>
      </c>
      <c r="CP149" s="38">
        <v>0</v>
      </c>
      <c r="CQ149" s="38">
        <v>0</v>
      </c>
      <c r="CR149" s="38">
        <v>0</v>
      </c>
      <c r="CS149" s="38">
        <v>0</v>
      </c>
      <c r="CT149" s="38">
        <v>0</v>
      </c>
      <c r="CU149" s="38">
        <v>94.488609600329085</v>
      </c>
      <c r="CV149" s="38">
        <v>9999</v>
      </c>
      <c r="CW149" s="50">
        <v>0</v>
      </c>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row>
    <row r="150" spans="1:131">
      <c r="A150" s="27" t="s">
        <v>242</v>
      </c>
      <c r="B150" s="27"/>
      <c r="C150" s="38">
        <v>45</v>
      </c>
      <c r="D150" s="38">
        <v>151.85277255595079</v>
      </c>
      <c r="E150" s="38">
        <v>0</v>
      </c>
      <c r="F150" s="38">
        <v>616.64875589506164</v>
      </c>
      <c r="G150" s="38">
        <v>0</v>
      </c>
      <c r="H150" s="38">
        <v>0</v>
      </c>
      <c r="I150" s="38"/>
      <c r="J150" s="38"/>
      <c r="K150" s="38"/>
      <c r="L150" s="38">
        <v>173.59575203746954</v>
      </c>
      <c r="M150" s="38">
        <v>9.0497399725165059E-2</v>
      </c>
      <c r="N150" s="38">
        <v>8.5860910555185063E-2</v>
      </c>
      <c r="O150" s="38">
        <v>0</v>
      </c>
      <c r="P150" s="38">
        <v>0</v>
      </c>
      <c r="Q150" s="38">
        <v>0</v>
      </c>
      <c r="R150" s="38">
        <v>80.655021231807922</v>
      </c>
      <c r="S150" s="38">
        <v>19.969444982917384</v>
      </c>
      <c r="T150" s="38">
        <v>166.60005658765016</v>
      </c>
      <c r="U150" s="38">
        <v>144.11616821281794</v>
      </c>
      <c r="V150" s="38">
        <v>36.998925353703697</v>
      </c>
      <c r="W150" s="38">
        <v>9.2497313384259225</v>
      </c>
      <c r="X150" s="38">
        <v>77.081094486882705</v>
      </c>
      <c r="Y150" s="38">
        <v>0</v>
      </c>
      <c r="Z150" s="38">
        <v>0</v>
      </c>
      <c r="AA150" s="38">
        <v>0</v>
      </c>
      <c r="AB150" s="38">
        <v>0</v>
      </c>
      <c r="AC150" s="38">
        <v>0</v>
      </c>
      <c r="AD150" s="38">
        <v>0</v>
      </c>
      <c r="AE150" s="38">
        <v>0</v>
      </c>
      <c r="AF150" s="38">
        <v>0</v>
      </c>
      <c r="AG150" s="38">
        <v>0</v>
      </c>
      <c r="AH150" s="38">
        <v>117.65394658551162</v>
      </c>
      <c r="AI150" s="38">
        <v>29.219176321343305</v>
      </c>
      <c r="AJ150" s="38">
        <v>243.68115107453286</v>
      </c>
      <c r="AK150" s="38">
        <v>144.11616821281794</v>
      </c>
      <c r="AL150" s="38">
        <v>534.67044219420575</v>
      </c>
      <c r="AM150" s="38">
        <v>91.482306414813763</v>
      </c>
      <c r="AN150" s="38">
        <v>31.977119086535531</v>
      </c>
      <c r="AO150" s="38">
        <v>12.34594255013493</v>
      </c>
      <c r="AP150" s="38">
        <v>0</v>
      </c>
      <c r="AQ150" s="38">
        <v>135.80536805148424</v>
      </c>
      <c r="AR150" s="38">
        <v>117.65394658551162</v>
      </c>
      <c r="AS150" s="49">
        <v>1.1542780501016177</v>
      </c>
      <c r="AT150" s="38">
        <v>91.482306414813763</v>
      </c>
      <c r="AU150" s="38">
        <v>36.173211636352413</v>
      </c>
      <c r="AV150" s="38">
        <v>12.765551805116619</v>
      </c>
      <c r="AW150" s="38">
        <v>0</v>
      </c>
      <c r="AX150" s="38">
        <v>140.4210698562828</v>
      </c>
      <c r="AY150" s="38">
        <v>29.219176321343305</v>
      </c>
      <c r="AZ150" s="49">
        <v>4.8057846775684592</v>
      </c>
      <c r="BA150" s="38">
        <v>91.482306414813763</v>
      </c>
      <c r="BB150" s="38">
        <v>68.150330722887944</v>
      </c>
      <c r="BC150" s="38">
        <v>15.963263713770171</v>
      </c>
      <c r="BD150" s="38">
        <v>0</v>
      </c>
      <c r="BE150" s="38">
        <v>175.5959008514719</v>
      </c>
      <c r="BF150" s="38">
        <v>146.87312290685492</v>
      </c>
      <c r="BG150" s="38">
        <v>26.601779711981298</v>
      </c>
      <c r="BH150" s="49">
        <v>1.1955618385184918</v>
      </c>
      <c r="BI150" s="38">
        <v>49.869787833082178</v>
      </c>
      <c r="BJ150" s="38">
        <v>12.385084955426809</v>
      </c>
      <c r="BK150" s="38">
        <v>103.28873493568541</v>
      </c>
      <c r="BL150" s="38">
        <v>61.086286866428459</v>
      </c>
      <c r="BM150" s="38">
        <v>226.62989459062285</v>
      </c>
      <c r="BN150" s="38">
        <v>91.482306414813763</v>
      </c>
      <c r="BO150" s="38">
        <v>0</v>
      </c>
      <c r="BP150" s="38">
        <v>68.150330722887944</v>
      </c>
      <c r="BQ150" s="38">
        <v>0</v>
      </c>
      <c r="BR150" s="38">
        <v>0</v>
      </c>
      <c r="BS150" s="38">
        <v>0</v>
      </c>
      <c r="BT150" s="38">
        <v>0</v>
      </c>
      <c r="BU150" s="38">
        <v>0</v>
      </c>
      <c r="BV150" s="38">
        <v>0</v>
      </c>
      <c r="BW150" s="38">
        <v>15.963263713770171</v>
      </c>
      <c r="BX150" s="38">
        <v>411.34069101519344</v>
      </c>
      <c r="BY150" s="38">
        <v>123.32975117901233</v>
      </c>
      <c r="BZ150" s="38">
        <v>0</v>
      </c>
      <c r="CA150" s="38">
        <v>0</v>
      </c>
      <c r="CB150" s="38">
        <v>175.5959008514719</v>
      </c>
      <c r="CC150" s="38">
        <v>534.67044219420575</v>
      </c>
      <c r="CD150" s="50">
        <v>0.32841894182676934</v>
      </c>
      <c r="CE150" s="38">
        <v>190.97680151409514</v>
      </c>
      <c r="CF150" s="38">
        <v>1.6491780335022097</v>
      </c>
      <c r="CG150" s="38">
        <v>0</v>
      </c>
      <c r="CH150" s="38">
        <v>1.6491780335022097</v>
      </c>
      <c r="CI150" s="38">
        <v>8.2457982217798029E-2</v>
      </c>
      <c r="CJ150" s="38">
        <v>0</v>
      </c>
      <c r="CK150" s="38">
        <v>8.2457982217798029E-2</v>
      </c>
      <c r="CL150" s="38"/>
      <c r="CM150" s="38">
        <v>0</v>
      </c>
      <c r="CN150" s="38"/>
      <c r="CO150" s="38">
        <v>0</v>
      </c>
      <c r="CP150" s="38">
        <v>0</v>
      </c>
      <c r="CQ150" s="38">
        <v>0</v>
      </c>
      <c r="CR150" s="38">
        <v>0</v>
      </c>
      <c r="CS150" s="38">
        <v>0</v>
      </c>
      <c r="CT150" s="38">
        <v>0</v>
      </c>
      <c r="CU150" s="38">
        <v>243.68115107453286</v>
      </c>
      <c r="CV150" s="38">
        <v>9999</v>
      </c>
      <c r="CW150" s="50">
        <v>0</v>
      </c>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row>
    <row r="151" spans="1:131">
      <c r="A151" s="27" t="s">
        <v>222</v>
      </c>
      <c r="B151" s="27"/>
      <c r="C151" s="38">
        <v>45</v>
      </c>
      <c r="D151" s="38">
        <v>84.208503060856287</v>
      </c>
      <c r="E151" s="38">
        <v>0</v>
      </c>
      <c r="F151" s="38">
        <v>377.54005462962965</v>
      </c>
      <c r="G151" s="38">
        <v>0</v>
      </c>
      <c r="H151" s="38">
        <v>0</v>
      </c>
      <c r="I151" s="38"/>
      <c r="J151" s="38"/>
      <c r="K151" s="38"/>
      <c r="L151" s="38">
        <v>96.265864434004669</v>
      </c>
      <c r="M151" s="38">
        <v>5.0184467714925893E-2</v>
      </c>
      <c r="N151" s="38">
        <v>4.7613346978108054E-2</v>
      </c>
      <c r="O151" s="38">
        <v>0</v>
      </c>
      <c r="P151" s="38">
        <v>0</v>
      </c>
      <c r="Q151" s="38">
        <v>0</v>
      </c>
      <c r="R151" s="38">
        <v>49.380625243964055</v>
      </c>
      <c r="S151" s="38">
        <v>12.226190805867789</v>
      </c>
      <c r="T151" s="38">
        <v>102.00003464550014</v>
      </c>
      <c r="U151" s="38">
        <v>88.234388701725294</v>
      </c>
      <c r="V151" s="38">
        <v>22.652403277777779</v>
      </c>
      <c r="W151" s="38">
        <v>5.6631008194444439</v>
      </c>
      <c r="X151" s="38">
        <v>47.192506828703706</v>
      </c>
      <c r="Y151" s="38">
        <v>0</v>
      </c>
      <c r="Z151" s="38">
        <v>0</v>
      </c>
      <c r="AA151" s="38">
        <v>0</v>
      </c>
      <c r="AB151" s="38">
        <v>0</v>
      </c>
      <c r="AC151" s="38">
        <v>0</v>
      </c>
      <c r="AD151" s="38">
        <v>0</v>
      </c>
      <c r="AE151" s="38">
        <v>0</v>
      </c>
      <c r="AF151" s="38">
        <v>0</v>
      </c>
      <c r="AG151" s="38">
        <v>0</v>
      </c>
      <c r="AH151" s="38">
        <v>72.033028521741841</v>
      </c>
      <c r="AI151" s="38">
        <v>17.889291625312232</v>
      </c>
      <c r="AJ151" s="38">
        <v>149.19254147420384</v>
      </c>
      <c r="AK151" s="38">
        <v>88.234388701725294</v>
      </c>
      <c r="AL151" s="38">
        <v>327.34925032298321</v>
      </c>
      <c r="AM151" s="38">
        <v>50.730638302357143</v>
      </c>
      <c r="AN151" s="38">
        <v>17.732605636052774</v>
      </c>
      <c r="AO151" s="38">
        <v>6.8463243938409919</v>
      </c>
      <c r="AP151" s="38">
        <v>0</v>
      </c>
      <c r="AQ151" s="38">
        <v>75.309568332250905</v>
      </c>
      <c r="AR151" s="38">
        <v>72.033028521741841</v>
      </c>
      <c r="AS151" s="49">
        <v>1.0454866313099704</v>
      </c>
      <c r="AT151" s="38">
        <v>50.730638302357143</v>
      </c>
      <c r="AU151" s="38">
        <v>20.059508638068756</v>
      </c>
      <c r="AV151" s="38">
        <v>7.0790146940425904</v>
      </c>
      <c r="AW151" s="38">
        <v>0</v>
      </c>
      <c r="AX151" s="38">
        <v>77.869161634468483</v>
      </c>
      <c r="AY151" s="38">
        <v>17.889291625312232</v>
      </c>
      <c r="AZ151" s="49">
        <v>4.3528365049563211</v>
      </c>
      <c r="BA151" s="38">
        <v>50.730638302357143</v>
      </c>
      <c r="BB151" s="38">
        <v>37.792114274121531</v>
      </c>
      <c r="BC151" s="38">
        <v>8.852275257647868</v>
      </c>
      <c r="BD151" s="38">
        <v>0</v>
      </c>
      <c r="BE151" s="38">
        <v>97.375027834126541</v>
      </c>
      <c r="BF151" s="38">
        <v>89.922320147054066</v>
      </c>
      <c r="BG151" s="38">
        <v>33.07990744171542</v>
      </c>
      <c r="BH151" s="49">
        <v>1.0828793971828654</v>
      </c>
      <c r="BI151" s="38">
        <v>55.059146367874312</v>
      </c>
      <c r="BJ151" s="38">
        <v>13.673854150368806</v>
      </c>
      <c r="BK151" s="38">
        <v>114.03677100073584</v>
      </c>
      <c r="BL151" s="38">
        <v>67.442813691248276</v>
      </c>
      <c r="BM151" s="38">
        <v>250.21258521022722</v>
      </c>
      <c r="BN151" s="38">
        <v>50.730638302357143</v>
      </c>
      <c r="BO151" s="38">
        <v>0</v>
      </c>
      <c r="BP151" s="38">
        <v>37.792114274121531</v>
      </c>
      <c r="BQ151" s="38">
        <v>0</v>
      </c>
      <c r="BR151" s="38">
        <v>0</v>
      </c>
      <c r="BS151" s="38">
        <v>0</v>
      </c>
      <c r="BT151" s="38">
        <v>0</v>
      </c>
      <c r="BU151" s="38">
        <v>0</v>
      </c>
      <c r="BV151" s="38">
        <v>0</v>
      </c>
      <c r="BW151" s="38">
        <v>8.852275257647868</v>
      </c>
      <c r="BX151" s="38">
        <v>251.84123939705728</v>
      </c>
      <c r="BY151" s="38">
        <v>75.50801092592593</v>
      </c>
      <c r="BZ151" s="38">
        <v>0</v>
      </c>
      <c r="CA151" s="38">
        <v>0</v>
      </c>
      <c r="CB151" s="38">
        <v>97.375027834126541</v>
      </c>
      <c r="CC151" s="38">
        <v>327.34925032298321</v>
      </c>
      <c r="CD151" s="50">
        <v>0.2974652538169868</v>
      </c>
      <c r="CE151" s="38">
        <v>214.55949213369954</v>
      </c>
      <c r="CF151" s="38">
        <v>0.91453590964826603</v>
      </c>
      <c r="CG151" s="38">
        <v>0</v>
      </c>
      <c r="CH151" s="38">
        <v>0.91453590964826603</v>
      </c>
      <c r="CI151" s="38">
        <v>4.5726285606152224E-2</v>
      </c>
      <c r="CJ151" s="38">
        <v>0</v>
      </c>
      <c r="CK151" s="38">
        <v>4.5726285606152224E-2</v>
      </c>
      <c r="CL151" s="38"/>
      <c r="CM151" s="38">
        <v>0</v>
      </c>
      <c r="CN151" s="38"/>
      <c r="CO151" s="38">
        <v>0</v>
      </c>
      <c r="CP151" s="38">
        <v>0</v>
      </c>
      <c r="CQ151" s="38">
        <v>0</v>
      </c>
      <c r="CR151" s="38">
        <v>0</v>
      </c>
      <c r="CS151" s="38">
        <v>0</v>
      </c>
      <c r="CT151" s="38">
        <v>0</v>
      </c>
      <c r="CU151" s="38">
        <v>149.19254147420384</v>
      </c>
      <c r="CV151" s="38">
        <v>9999</v>
      </c>
      <c r="CW151" s="50">
        <v>0</v>
      </c>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row>
    <row r="152" spans="1:131">
      <c r="A152" s="27" t="s">
        <v>233</v>
      </c>
      <c r="B152" s="27"/>
      <c r="C152" s="38">
        <v>45</v>
      </c>
      <c r="D152" s="38">
        <v>83.408724270247603</v>
      </c>
      <c r="E152" s="38">
        <v>0</v>
      </c>
      <c r="F152" s="38">
        <v>377.54005462962965</v>
      </c>
      <c r="G152" s="38">
        <v>0</v>
      </c>
      <c r="H152" s="38">
        <v>0</v>
      </c>
      <c r="I152" s="38"/>
      <c r="J152" s="38"/>
      <c r="K152" s="38"/>
      <c r="L152" s="38">
        <v>95.351569631990586</v>
      </c>
      <c r="M152" s="38">
        <v>4.9707835647646678E-2</v>
      </c>
      <c r="N152" s="38">
        <v>4.7161134390556615E-2</v>
      </c>
      <c r="O152" s="38">
        <v>0</v>
      </c>
      <c r="P152" s="38">
        <v>0</v>
      </c>
      <c r="Q152" s="38">
        <v>0</v>
      </c>
      <c r="R152" s="38">
        <v>49.380625243964055</v>
      </c>
      <c r="S152" s="38">
        <v>12.226190805867789</v>
      </c>
      <c r="T152" s="38">
        <v>102.00003464550014</v>
      </c>
      <c r="U152" s="38">
        <v>88.234388701725294</v>
      </c>
      <c r="V152" s="38">
        <v>22.652403277777779</v>
      </c>
      <c r="W152" s="38">
        <v>5.6631008194444439</v>
      </c>
      <c r="X152" s="38">
        <v>47.192506828703706</v>
      </c>
      <c r="Y152" s="38">
        <v>0</v>
      </c>
      <c r="Z152" s="38">
        <v>0</v>
      </c>
      <c r="AA152" s="38">
        <v>0</v>
      </c>
      <c r="AB152" s="38">
        <v>0</v>
      </c>
      <c r="AC152" s="38">
        <v>0</v>
      </c>
      <c r="AD152" s="38">
        <v>0</v>
      </c>
      <c r="AE152" s="38">
        <v>0</v>
      </c>
      <c r="AF152" s="38">
        <v>0</v>
      </c>
      <c r="AG152" s="38">
        <v>0</v>
      </c>
      <c r="AH152" s="38">
        <v>72.033028521741841</v>
      </c>
      <c r="AI152" s="38">
        <v>17.889291625312232</v>
      </c>
      <c r="AJ152" s="38">
        <v>149.19254147420384</v>
      </c>
      <c r="AK152" s="38">
        <v>88.234388701725294</v>
      </c>
      <c r="AL152" s="38">
        <v>327.34925032298321</v>
      </c>
      <c r="AM152" s="38">
        <v>50.248818924580682</v>
      </c>
      <c r="AN152" s="38">
        <v>17.56418841719195</v>
      </c>
      <c r="AO152" s="38">
        <v>6.7813007341772638</v>
      </c>
      <c r="AP152" s="38">
        <v>0</v>
      </c>
      <c r="AQ152" s="38">
        <v>74.594308075949897</v>
      </c>
      <c r="AR152" s="38">
        <v>72.033028521741841</v>
      </c>
      <c r="AS152" s="49">
        <v>1.0355570160906811</v>
      </c>
      <c r="AT152" s="38">
        <v>50.248818924580682</v>
      </c>
      <c r="AU152" s="38">
        <v>19.868991422162836</v>
      </c>
      <c r="AV152" s="38">
        <v>7.0117810346743523</v>
      </c>
      <c r="AW152" s="38">
        <v>0</v>
      </c>
      <c r="AX152" s="38">
        <v>77.129591381417868</v>
      </c>
      <c r="AY152" s="38">
        <v>17.889291625312232</v>
      </c>
      <c r="AZ152" s="49">
        <v>4.3114949991806446</v>
      </c>
      <c r="BA152" s="38">
        <v>50.248818924580682</v>
      </c>
      <c r="BB152" s="38">
        <v>37.433179839354786</v>
      </c>
      <c r="BC152" s="38">
        <v>8.7681998763935471</v>
      </c>
      <c r="BD152" s="38">
        <v>0</v>
      </c>
      <c r="BE152" s="38">
        <v>96.45019864032902</v>
      </c>
      <c r="BF152" s="38">
        <v>89.922320147054066</v>
      </c>
      <c r="BG152" s="38">
        <v>33.738965549968917</v>
      </c>
      <c r="BH152" s="49">
        <v>1.0725946403807154</v>
      </c>
      <c r="BI152" s="38">
        <v>55.587090391467925</v>
      </c>
      <c r="BJ152" s="38">
        <v>13.80496823502868</v>
      </c>
      <c r="BK152" s="38">
        <v>115.13023204565462</v>
      </c>
      <c r="BL152" s="38">
        <v>68.089500622875093</v>
      </c>
      <c r="BM152" s="38">
        <v>252.61179129502628</v>
      </c>
      <c r="BN152" s="38">
        <v>50.248818924580682</v>
      </c>
      <c r="BO152" s="38">
        <v>0</v>
      </c>
      <c r="BP152" s="38">
        <v>37.433179839354786</v>
      </c>
      <c r="BQ152" s="38">
        <v>0</v>
      </c>
      <c r="BR152" s="38">
        <v>0</v>
      </c>
      <c r="BS152" s="38">
        <v>0</v>
      </c>
      <c r="BT152" s="38">
        <v>0</v>
      </c>
      <c r="BU152" s="38">
        <v>0</v>
      </c>
      <c r="BV152" s="38">
        <v>0</v>
      </c>
      <c r="BW152" s="38">
        <v>8.7681998763935471</v>
      </c>
      <c r="BX152" s="38">
        <v>251.84123939705728</v>
      </c>
      <c r="BY152" s="38">
        <v>75.50801092592593</v>
      </c>
      <c r="BZ152" s="38">
        <v>0</v>
      </c>
      <c r="CA152" s="38">
        <v>0</v>
      </c>
      <c r="CB152" s="38">
        <v>96.45019864032902</v>
      </c>
      <c r="CC152" s="38">
        <v>327.34925032298321</v>
      </c>
      <c r="CD152" s="50">
        <v>0.29464004742691552</v>
      </c>
      <c r="CE152" s="38">
        <v>216.95869821849863</v>
      </c>
      <c r="CF152" s="38">
        <v>0.90585001217710448</v>
      </c>
      <c r="CG152" s="38">
        <v>0</v>
      </c>
      <c r="CH152" s="38">
        <v>0.90585001217710448</v>
      </c>
      <c r="CI152" s="38">
        <v>4.5291995575195532E-2</v>
      </c>
      <c r="CJ152" s="38">
        <v>0</v>
      </c>
      <c r="CK152" s="38">
        <v>4.5291995575195532E-2</v>
      </c>
      <c r="CL152" s="38"/>
      <c r="CM152" s="38">
        <v>0</v>
      </c>
      <c r="CN152" s="38"/>
      <c r="CO152" s="38">
        <v>0</v>
      </c>
      <c r="CP152" s="38">
        <v>0</v>
      </c>
      <c r="CQ152" s="38">
        <v>0</v>
      </c>
      <c r="CR152" s="38">
        <v>0</v>
      </c>
      <c r="CS152" s="38">
        <v>0</v>
      </c>
      <c r="CT152" s="38">
        <v>0</v>
      </c>
      <c r="CU152" s="38">
        <v>149.19254147420384</v>
      </c>
      <c r="CV152" s="38">
        <v>9999</v>
      </c>
      <c r="CW152" s="50">
        <v>0</v>
      </c>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row>
    <row r="153" spans="1:131">
      <c r="A153" s="27" t="s">
        <v>1677</v>
      </c>
      <c r="B153" s="27"/>
      <c r="C153" s="38">
        <v>45</v>
      </c>
      <c r="D153" s="38">
        <v>27.624173265655006</v>
      </c>
      <c r="E153" s="38">
        <v>0</v>
      </c>
      <c r="F153" s="38">
        <v>138.43135336419752</v>
      </c>
      <c r="G153" s="38">
        <v>0</v>
      </c>
      <c r="H153" s="38">
        <v>0</v>
      </c>
      <c r="I153" s="38"/>
      <c r="J153" s="38"/>
      <c r="K153" s="38"/>
      <c r="L153" s="38">
        <v>31.579529644069172</v>
      </c>
      <c r="M153" s="38">
        <v>1.6462760659691576E-2</v>
      </c>
      <c r="N153" s="38">
        <v>1.5619317513938875E-2</v>
      </c>
      <c r="O153" s="38">
        <v>0</v>
      </c>
      <c r="P153" s="38">
        <v>0</v>
      </c>
      <c r="Q153" s="38">
        <v>0</v>
      </c>
      <c r="R153" s="38">
        <v>18.106229256120152</v>
      </c>
      <c r="S153" s="38">
        <v>4.4829366288181891</v>
      </c>
      <c r="T153" s="38">
        <v>37.400012703350043</v>
      </c>
      <c r="U153" s="38">
        <v>32.352609190632599</v>
      </c>
      <c r="V153" s="38">
        <v>8.305881201851852</v>
      </c>
      <c r="W153" s="38">
        <v>2.0764703004629625</v>
      </c>
      <c r="X153" s="38">
        <v>17.30391917052469</v>
      </c>
      <c r="Y153" s="38">
        <v>0</v>
      </c>
      <c r="Z153" s="38">
        <v>0</v>
      </c>
      <c r="AA153" s="38">
        <v>0</v>
      </c>
      <c r="AB153" s="38">
        <v>0</v>
      </c>
      <c r="AC153" s="38">
        <v>0</v>
      </c>
      <c r="AD153" s="38">
        <v>0</v>
      </c>
      <c r="AE153" s="38">
        <v>0</v>
      </c>
      <c r="AF153" s="38">
        <v>0</v>
      </c>
      <c r="AG153" s="38">
        <v>0</v>
      </c>
      <c r="AH153" s="38">
        <v>26.412110457972005</v>
      </c>
      <c r="AI153" s="38">
        <v>6.5594069292811517</v>
      </c>
      <c r="AJ153" s="38">
        <v>54.703931873874737</v>
      </c>
      <c r="AK153" s="38">
        <v>32.352609190632599</v>
      </c>
      <c r="AL153" s="38">
        <v>120.02805845176047</v>
      </c>
      <c r="AM153" s="38">
        <v>16.64192915683136</v>
      </c>
      <c r="AN153" s="38">
        <v>5.8170915375119039</v>
      </c>
      <c r="AO153" s="38">
        <v>2.2459020694343264</v>
      </c>
      <c r="AP153" s="38">
        <v>0</v>
      </c>
      <c r="AQ153" s="38">
        <v>24.704922763777589</v>
      </c>
      <c r="AR153" s="38">
        <v>26.412110457972005</v>
      </c>
      <c r="AS153" s="50">
        <v>0.93536345015249878</v>
      </c>
      <c r="AT153" s="38">
        <v>16.64192915683136</v>
      </c>
      <c r="AU153" s="38">
        <v>6.5804202913030592</v>
      </c>
      <c r="AV153" s="38">
        <v>2.3222349448134421</v>
      </c>
      <c r="AW153" s="38">
        <v>0</v>
      </c>
      <c r="AX153" s="38">
        <v>25.544584392947861</v>
      </c>
      <c r="AY153" s="38">
        <v>6.5594069292811517</v>
      </c>
      <c r="AZ153" s="49">
        <v>3.8943435997112781</v>
      </c>
      <c r="BA153" s="38">
        <v>16.64192915683136</v>
      </c>
      <c r="BB153" s="38">
        <v>12.397511828814963</v>
      </c>
      <c r="BC153" s="38">
        <v>2.9039440985646325</v>
      </c>
      <c r="BD153" s="38">
        <v>0</v>
      </c>
      <c r="BE153" s="38">
        <v>31.943385084210956</v>
      </c>
      <c r="BF153" s="38">
        <v>32.971517387253158</v>
      </c>
      <c r="BG153" s="38">
        <v>41.172052443033387</v>
      </c>
      <c r="BH153" s="50">
        <v>0.96881756180746237</v>
      </c>
      <c r="BI153" s="38">
        <v>61.541426971052253</v>
      </c>
      <c r="BJ153" s="38">
        <v>15.283718548508805</v>
      </c>
      <c r="BK153" s="38">
        <v>127.46266655981469</v>
      </c>
      <c r="BL153" s="38">
        <v>75.383061077096016</v>
      </c>
      <c r="BM153" s="38">
        <v>279.67087315647171</v>
      </c>
      <c r="BN153" s="38">
        <v>16.64192915683136</v>
      </c>
      <c r="BO153" s="38">
        <v>0</v>
      </c>
      <c r="BP153" s="38">
        <v>12.397511828814963</v>
      </c>
      <c r="BQ153" s="38">
        <v>0</v>
      </c>
      <c r="BR153" s="38">
        <v>0</v>
      </c>
      <c r="BS153" s="38">
        <v>0</v>
      </c>
      <c r="BT153" s="38">
        <v>0</v>
      </c>
      <c r="BU153" s="38">
        <v>0</v>
      </c>
      <c r="BV153" s="38">
        <v>0</v>
      </c>
      <c r="BW153" s="38">
        <v>2.9039440985646325</v>
      </c>
      <c r="BX153" s="38">
        <v>92.341787778920974</v>
      </c>
      <c r="BY153" s="38">
        <v>27.686270672839505</v>
      </c>
      <c r="BZ153" s="38">
        <v>0</v>
      </c>
      <c r="CA153" s="38">
        <v>0</v>
      </c>
      <c r="CB153" s="38">
        <v>31.943385084210956</v>
      </c>
      <c r="CC153" s="38">
        <v>120.02805845176047</v>
      </c>
      <c r="CD153" s="50">
        <v>0.26613264845110418</v>
      </c>
      <c r="CE153" s="38">
        <v>244.017780079944</v>
      </c>
      <c r="CF153" s="38">
        <v>0.30000887686519845</v>
      </c>
      <c r="CG153" s="38">
        <v>0</v>
      </c>
      <c r="CH153" s="38">
        <v>0.30000887686519845</v>
      </c>
      <c r="CI153" s="38">
        <v>1.5000276580932857E-2</v>
      </c>
      <c r="CJ153" s="38">
        <v>0</v>
      </c>
      <c r="CK153" s="38">
        <v>1.5000276580932857E-2</v>
      </c>
      <c r="CL153" s="38"/>
      <c r="CM153" s="38">
        <v>0</v>
      </c>
      <c r="CN153" s="38"/>
      <c r="CO153" s="38">
        <v>0</v>
      </c>
      <c r="CP153" s="38">
        <v>0</v>
      </c>
      <c r="CQ153" s="38">
        <v>0</v>
      </c>
      <c r="CR153" s="38">
        <v>0</v>
      </c>
      <c r="CS153" s="38">
        <v>0</v>
      </c>
      <c r="CT153" s="38">
        <v>0</v>
      </c>
      <c r="CU153" s="38">
        <v>54.703931873874737</v>
      </c>
      <c r="CV153" s="38">
        <v>9999</v>
      </c>
      <c r="CW153" s="50">
        <v>0</v>
      </c>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row>
    <row r="154" spans="1:131">
      <c r="A154" s="27" t="s">
        <v>246</v>
      </c>
      <c r="B154" s="27"/>
      <c r="C154" s="38">
        <v>45</v>
      </c>
      <c r="D154" s="38">
        <v>70.759871439695004</v>
      </c>
      <c r="E154" s="38">
        <v>0</v>
      </c>
      <c r="F154" s="38">
        <v>436.41697398915824</v>
      </c>
      <c r="G154" s="38">
        <v>0</v>
      </c>
      <c r="H154" s="38">
        <v>0</v>
      </c>
      <c r="I154" s="38"/>
      <c r="J154" s="38"/>
      <c r="K154" s="38"/>
      <c r="L154" s="38">
        <v>80.891595786455383</v>
      </c>
      <c r="M154" s="38">
        <v>4.216969017025976E-2</v>
      </c>
      <c r="N154" s="38">
        <v>4.0009193709923868E-2</v>
      </c>
      <c r="O154" s="38">
        <v>0</v>
      </c>
      <c r="P154" s="38">
        <v>0</v>
      </c>
      <c r="Q154" s="38">
        <v>0</v>
      </c>
      <c r="R154" s="38">
        <v>57.081474610170091</v>
      </c>
      <c r="S154" s="38">
        <v>14.132850619374087</v>
      </c>
      <c r="T154" s="38">
        <v>117.90681788836326</v>
      </c>
      <c r="U154" s="38">
        <v>101.99443594605039</v>
      </c>
      <c r="V154" s="38">
        <v>26.185018439349495</v>
      </c>
      <c r="W154" s="38">
        <v>6.5462546098373728</v>
      </c>
      <c r="X154" s="38">
        <v>54.55212174864478</v>
      </c>
      <c r="Y154" s="38">
        <v>0</v>
      </c>
      <c r="Z154" s="38">
        <v>0</v>
      </c>
      <c r="AA154" s="38">
        <v>0</v>
      </c>
      <c r="AB154" s="38">
        <v>0</v>
      </c>
      <c r="AC154" s="38">
        <v>0</v>
      </c>
      <c r="AD154" s="38">
        <v>0</v>
      </c>
      <c r="AE154" s="38">
        <v>0</v>
      </c>
      <c r="AF154" s="38">
        <v>0</v>
      </c>
      <c r="AG154" s="38">
        <v>0</v>
      </c>
      <c r="AH154" s="38">
        <v>83.266493049519582</v>
      </c>
      <c r="AI154" s="38">
        <v>20.679105229211459</v>
      </c>
      <c r="AJ154" s="38">
        <v>172.45893963700803</v>
      </c>
      <c r="AK154" s="38">
        <v>101.99443594605039</v>
      </c>
      <c r="AL154" s="38">
        <v>378.39897386178944</v>
      </c>
      <c r="AM154" s="38">
        <v>42.628633853451063</v>
      </c>
      <c r="AN154" s="38">
        <v>14.900596133280159</v>
      </c>
      <c r="AO154" s="38">
        <v>5.7529229986731227</v>
      </c>
      <c r="AP154" s="38">
        <v>0</v>
      </c>
      <c r="AQ154" s="38">
        <v>63.282152985404345</v>
      </c>
      <c r="AR154" s="38">
        <v>83.266493049519582</v>
      </c>
      <c r="AS154" s="50">
        <v>0.75999541553611116</v>
      </c>
      <c r="AT154" s="38">
        <v>42.628633853451063</v>
      </c>
      <c r="AU154" s="38">
        <v>16.855877978823706</v>
      </c>
      <c r="AV154" s="38">
        <v>5.9484511832274771</v>
      </c>
      <c r="AW154" s="38">
        <v>0</v>
      </c>
      <c r="AX154" s="38">
        <v>65.432963015502253</v>
      </c>
      <c r="AY154" s="38">
        <v>20.679105229211459</v>
      </c>
      <c r="AZ154" s="49">
        <v>3.1642066854551887</v>
      </c>
      <c r="BA154" s="38">
        <v>42.628633853451063</v>
      </c>
      <c r="BB154" s="38">
        <v>31.756474112103867</v>
      </c>
      <c r="BC154" s="38">
        <v>7.4385107965554935</v>
      </c>
      <c r="BD154" s="38">
        <v>0</v>
      </c>
      <c r="BE154" s="38">
        <v>81.823618762110414</v>
      </c>
      <c r="BF154" s="38">
        <v>103.94559827873104</v>
      </c>
      <c r="BG154" s="38">
        <v>58.899363033952667</v>
      </c>
      <c r="BH154" s="50">
        <v>0.78717733234551845</v>
      </c>
      <c r="BI154" s="38">
        <v>75.742037757353231</v>
      </c>
      <c r="BJ154" s="38">
        <v>18.810418353127119</v>
      </c>
      <c r="BK154" s="38">
        <v>156.87452466397261</v>
      </c>
      <c r="BL154" s="38">
        <v>92.77761240492481</v>
      </c>
      <c r="BM154" s="38">
        <v>344.20459317937775</v>
      </c>
      <c r="BN154" s="38">
        <v>42.628633853451063</v>
      </c>
      <c r="BO154" s="38">
        <v>0</v>
      </c>
      <c r="BP154" s="38">
        <v>31.756474112103867</v>
      </c>
      <c r="BQ154" s="38">
        <v>0</v>
      </c>
      <c r="BR154" s="38">
        <v>0</v>
      </c>
      <c r="BS154" s="38">
        <v>0</v>
      </c>
      <c r="BT154" s="38">
        <v>0</v>
      </c>
      <c r="BU154" s="38">
        <v>0</v>
      </c>
      <c r="BV154" s="38">
        <v>0</v>
      </c>
      <c r="BW154" s="38">
        <v>7.4385107965554935</v>
      </c>
      <c r="BX154" s="38">
        <v>291.1155790639578</v>
      </c>
      <c r="BY154" s="38">
        <v>87.283394797831647</v>
      </c>
      <c r="BZ154" s="38">
        <v>0</v>
      </c>
      <c r="CA154" s="38">
        <v>0</v>
      </c>
      <c r="CB154" s="38">
        <v>81.823618762110414</v>
      </c>
      <c r="CC154" s="38">
        <v>378.39897386178944</v>
      </c>
      <c r="CD154" s="50">
        <v>0.21623636535546356</v>
      </c>
      <c r="CE154" s="38">
        <v>308.55150010285007</v>
      </c>
      <c r="CF154" s="38">
        <v>0.7684787288871433</v>
      </c>
      <c r="CG154" s="38">
        <v>0</v>
      </c>
      <c r="CH154" s="38">
        <v>0.7684787288871433</v>
      </c>
      <c r="CI154" s="38">
        <v>3.8423507998566316E-2</v>
      </c>
      <c r="CJ154" s="38">
        <v>0</v>
      </c>
      <c r="CK154" s="38">
        <v>3.8423507998566316E-2</v>
      </c>
      <c r="CL154" s="38"/>
      <c r="CM154" s="38">
        <v>0</v>
      </c>
      <c r="CN154" s="38"/>
      <c r="CO154" s="38">
        <v>0</v>
      </c>
      <c r="CP154" s="38">
        <v>0</v>
      </c>
      <c r="CQ154" s="38">
        <v>0</v>
      </c>
      <c r="CR154" s="38">
        <v>0</v>
      </c>
      <c r="CS154" s="38">
        <v>0</v>
      </c>
      <c r="CT154" s="38">
        <v>0</v>
      </c>
      <c r="CU154" s="38">
        <v>172.45893963700803</v>
      </c>
      <c r="CV154" s="38">
        <v>9999</v>
      </c>
      <c r="CW154" s="50">
        <v>0</v>
      </c>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row>
    <row r="155" spans="1:131">
      <c r="A155" s="27" t="s">
        <v>243</v>
      </c>
      <c r="B155" s="27"/>
      <c r="C155" s="38">
        <v>45</v>
      </c>
      <c r="D155" s="38">
        <v>38.181484397289175</v>
      </c>
      <c r="E155" s="38">
        <v>0</v>
      </c>
      <c r="F155" s="38">
        <v>239.1087012654321</v>
      </c>
      <c r="G155" s="38">
        <v>0</v>
      </c>
      <c r="H155" s="38">
        <v>0</v>
      </c>
      <c r="I155" s="38"/>
      <c r="J155" s="38"/>
      <c r="K155" s="38"/>
      <c r="L155" s="38">
        <v>43.648485215587066</v>
      </c>
      <c r="M155" s="38">
        <v>2.2754441670325792E-2</v>
      </c>
      <c r="N155" s="38">
        <v>2.1588654336172474E-2</v>
      </c>
      <c r="O155" s="38">
        <v>0</v>
      </c>
      <c r="P155" s="38">
        <v>0</v>
      </c>
      <c r="Q155" s="38">
        <v>0</v>
      </c>
      <c r="R155" s="38">
        <v>31.274395987843899</v>
      </c>
      <c r="S155" s="38">
        <v>7.7432541770496002</v>
      </c>
      <c r="T155" s="38">
        <v>64.600021942150065</v>
      </c>
      <c r="U155" s="38">
        <v>55.881779511092674</v>
      </c>
      <c r="V155" s="38">
        <v>14.346522075925927</v>
      </c>
      <c r="W155" s="38">
        <v>3.5866305189814809</v>
      </c>
      <c r="X155" s="38">
        <v>29.888587658179013</v>
      </c>
      <c r="Y155" s="38">
        <v>0</v>
      </c>
      <c r="Z155" s="38">
        <v>0</v>
      </c>
      <c r="AA155" s="38">
        <v>0</v>
      </c>
      <c r="AB155" s="38">
        <v>0</v>
      </c>
      <c r="AC155" s="38">
        <v>0</v>
      </c>
      <c r="AD155" s="38">
        <v>0</v>
      </c>
      <c r="AE155" s="38">
        <v>0</v>
      </c>
      <c r="AF155" s="38">
        <v>0</v>
      </c>
      <c r="AG155" s="38">
        <v>0</v>
      </c>
      <c r="AH155" s="38">
        <v>45.620918063769828</v>
      </c>
      <c r="AI155" s="38">
        <v>11.329884696031082</v>
      </c>
      <c r="AJ155" s="38">
        <v>94.488609600329085</v>
      </c>
      <c r="AK155" s="38">
        <v>55.881779511092674</v>
      </c>
      <c r="AL155" s="38">
        <v>207.32119187122265</v>
      </c>
      <c r="AM155" s="38">
        <v>23.002084164898978</v>
      </c>
      <c r="AN155" s="38">
        <v>8.0402474905287367</v>
      </c>
      <c r="AO155" s="38">
        <v>3.1042331655427717</v>
      </c>
      <c r="AP155" s="38">
        <v>0</v>
      </c>
      <c r="AQ155" s="38">
        <v>34.14656482097049</v>
      </c>
      <c r="AR155" s="38">
        <v>45.620918063769828</v>
      </c>
      <c r="AS155" s="50">
        <v>0.74848482385294701</v>
      </c>
      <c r="AT155" s="38">
        <v>23.002084164898978</v>
      </c>
      <c r="AU155" s="38">
        <v>9.0953025910958551</v>
      </c>
      <c r="AV155" s="38">
        <v>3.2097386755994837</v>
      </c>
      <c r="AW155" s="38">
        <v>0</v>
      </c>
      <c r="AX155" s="38">
        <v>35.307125431594315</v>
      </c>
      <c r="AY155" s="38">
        <v>11.329884696031082</v>
      </c>
      <c r="AZ155" s="49">
        <v>3.1162828553729756</v>
      </c>
      <c r="BA155" s="38">
        <v>23.002084164898978</v>
      </c>
      <c r="BB155" s="38">
        <v>17.135550081624594</v>
      </c>
      <c r="BC155" s="38">
        <v>4.0137634246523568</v>
      </c>
      <c r="BD155" s="38">
        <v>0</v>
      </c>
      <c r="BE155" s="38">
        <v>44.151397671175928</v>
      </c>
      <c r="BF155" s="38">
        <v>56.950802759800908</v>
      </c>
      <c r="BG155" s="38">
        <v>60.353440231303949</v>
      </c>
      <c r="BH155" s="50">
        <v>0.77525505404008943</v>
      </c>
      <c r="BI155" s="38">
        <v>76.906838488232182</v>
      </c>
      <c r="BJ155" s="38">
        <v>19.09969481959946</v>
      </c>
      <c r="BK155" s="38">
        <v>159.28702327630558</v>
      </c>
      <c r="BL155" s="38">
        <v>94.204395126095633</v>
      </c>
      <c r="BM155" s="38">
        <v>349.49795171023283</v>
      </c>
      <c r="BN155" s="38">
        <v>23.002084164898978</v>
      </c>
      <c r="BO155" s="38">
        <v>0</v>
      </c>
      <c r="BP155" s="38">
        <v>17.135550081624594</v>
      </c>
      <c r="BQ155" s="38">
        <v>0</v>
      </c>
      <c r="BR155" s="38">
        <v>0</v>
      </c>
      <c r="BS155" s="38">
        <v>0</v>
      </c>
      <c r="BT155" s="38">
        <v>0</v>
      </c>
      <c r="BU155" s="38">
        <v>0</v>
      </c>
      <c r="BV155" s="38">
        <v>0</v>
      </c>
      <c r="BW155" s="38">
        <v>4.0137634246523568</v>
      </c>
      <c r="BX155" s="38">
        <v>159.49945161813622</v>
      </c>
      <c r="BY155" s="38">
        <v>47.821740253086425</v>
      </c>
      <c r="BZ155" s="38">
        <v>0</v>
      </c>
      <c r="CA155" s="38">
        <v>0</v>
      </c>
      <c r="CB155" s="38">
        <v>44.151397671175928</v>
      </c>
      <c r="CC155" s="38">
        <v>207.32119187122265</v>
      </c>
      <c r="CD155" s="50">
        <v>0.21296133440425388</v>
      </c>
      <c r="CE155" s="38">
        <v>313.84485863370514</v>
      </c>
      <c r="CF155" s="38">
        <v>0.41466523326938892</v>
      </c>
      <c r="CG155" s="38">
        <v>0</v>
      </c>
      <c r="CH155" s="38">
        <v>0.41466523326938892</v>
      </c>
      <c r="CI155" s="38">
        <v>2.0733030477403852E-2</v>
      </c>
      <c r="CJ155" s="38">
        <v>0</v>
      </c>
      <c r="CK155" s="38">
        <v>2.0733030477403852E-2</v>
      </c>
      <c r="CL155" s="38"/>
      <c r="CM155" s="38">
        <v>0</v>
      </c>
      <c r="CN155" s="38"/>
      <c r="CO155" s="38">
        <v>0</v>
      </c>
      <c r="CP155" s="38">
        <v>0</v>
      </c>
      <c r="CQ155" s="38">
        <v>0</v>
      </c>
      <c r="CR155" s="38">
        <v>0</v>
      </c>
      <c r="CS155" s="38">
        <v>0</v>
      </c>
      <c r="CT155" s="38">
        <v>0</v>
      </c>
      <c r="CU155" s="38">
        <v>94.488609600329085</v>
      </c>
      <c r="CV155" s="38">
        <v>9999</v>
      </c>
      <c r="CW155" s="50">
        <v>0</v>
      </c>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row>
    <row r="156" spans="1:131">
      <c r="A156" s="27" t="s">
        <v>247</v>
      </c>
      <c r="B156" s="27"/>
      <c r="C156" s="38">
        <v>45</v>
      </c>
      <c r="D156" s="38">
        <v>91.444720355577289</v>
      </c>
      <c r="E156" s="38">
        <v>0</v>
      </c>
      <c r="F156" s="38">
        <v>689.07943261446042</v>
      </c>
      <c r="G156" s="38">
        <v>0</v>
      </c>
      <c r="H156" s="38">
        <v>0</v>
      </c>
      <c r="I156" s="38"/>
      <c r="J156" s="38"/>
      <c r="K156" s="38"/>
      <c r="L156" s="38">
        <v>104.5381966544835</v>
      </c>
      <c r="M156" s="38">
        <v>5.4496926671032425E-2</v>
      </c>
      <c r="N156" s="38">
        <v>5.1704864014262261E-2</v>
      </c>
      <c r="O156" s="38">
        <v>0</v>
      </c>
      <c r="P156" s="38">
        <v>0</v>
      </c>
      <c r="Q156" s="38">
        <v>0</v>
      </c>
      <c r="R156" s="38">
        <v>90.128644121321173</v>
      </c>
      <c r="S156" s="38">
        <v>22.315027293748564</v>
      </c>
      <c r="T156" s="38">
        <v>186.16865982373153</v>
      </c>
      <c r="U156" s="38">
        <v>161.04384623060588</v>
      </c>
      <c r="V156" s="38">
        <v>41.344765956867626</v>
      </c>
      <c r="W156" s="38">
        <v>10.336191489216905</v>
      </c>
      <c r="X156" s="38">
        <v>86.134929076807552</v>
      </c>
      <c r="Y156" s="38">
        <v>0</v>
      </c>
      <c r="Z156" s="38">
        <v>0</v>
      </c>
      <c r="AA156" s="38">
        <v>0</v>
      </c>
      <c r="AB156" s="38">
        <v>0</v>
      </c>
      <c r="AC156" s="38">
        <v>0</v>
      </c>
      <c r="AD156" s="38">
        <v>0</v>
      </c>
      <c r="AE156" s="38">
        <v>0</v>
      </c>
      <c r="AF156" s="38">
        <v>0</v>
      </c>
      <c r="AG156" s="38">
        <v>0</v>
      </c>
      <c r="AH156" s="38">
        <v>131.47341007818881</v>
      </c>
      <c r="AI156" s="38">
        <v>32.651218782965472</v>
      </c>
      <c r="AJ156" s="38">
        <v>272.30358890053907</v>
      </c>
      <c r="AK156" s="38">
        <v>161.04384623060588</v>
      </c>
      <c r="AL156" s="38">
        <v>597.47206399229924</v>
      </c>
      <c r="AM156" s="38">
        <v>55.090030868574019</v>
      </c>
      <c r="AN156" s="38">
        <v>19.256406474684706</v>
      </c>
      <c r="AO156" s="38">
        <v>7.4346437343258724</v>
      </c>
      <c r="AP156" s="38">
        <v>0</v>
      </c>
      <c r="AQ156" s="38">
        <v>81.781081077584602</v>
      </c>
      <c r="AR156" s="38">
        <v>131.47341007818881</v>
      </c>
      <c r="AS156" s="50">
        <v>0.62203514025344298</v>
      </c>
      <c r="AT156" s="38">
        <v>55.090030868574019</v>
      </c>
      <c r="AU156" s="38">
        <v>21.783265242855997</v>
      </c>
      <c r="AV156" s="38">
        <v>7.6873296111430021</v>
      </c>
      <c r="AW156" s="38">
        <v>0</v>
      </c>
      <c r="AX156" s="38">
        <v>84.560625722573022</v>
      </c>
      <c r="AY156" s="38">
        <v>32.651218782965472</v>
      </c>
      <c r="AZ156" s="49">
        <v>2.589815292490377</v>
      </c>
      <c r="BA156" s="38">
        <v>55.090030868574019</v>
      </c>
      <c r="BB156" s="38">
        <v>41.039671717540699</v>
      </c>
      <c r="BC156" s="38">
        <v>9.6129702586114725</v>
      </c>
      <c r="BD156" s="38">
        <v>0</v>
      </c>
      <c r="BE156" s="38">
        <v>105.7426728447262</v>
      </c>
      <c r="BF156" s="38">
        <v>164.12462886115426</v>
      </c>
      <c r="BG156" s="38">
        <v>79.870015702127304</v>
      </c>
      <c r="BH156" s="50">
        <v>0.64428278423820307</v>
      </c>
      <c r="BI156" s="38">
        <v>92.540754908955265</v>
      </c>
      <c r="BJ156" s="38">
        <v>22.982353869699747</v>
      </c>
      <c r="BK156" s="38">
        <v>191.66749889797066</v>
      </c>
      <c r="BL156" s="38">
        <v>113.35462505124734</v>
      </c>
      <c r="BM156" s="38">
        <v>420.54523272787299</v>
      </c>
      <c r="BN156" s="38">
        <v>55.090030868574019</v>
      </c>
      <c r="BO156" s="38">
        <v>0</v>
      </c>
      <c r="BP156" s="38">
        <v>41.039671717540699</v>
      </c>
      <c r="BQ156" s="38">
        <v>0</v>
      </c>
      <c r="BR156" s="38">
        <v>0</v>
      </c>
      <c r="BS156" s="38">
        <v>0</v>
      </c>
      <c r="BT156" s="38">
        <v>0</v>
      </c>
      <c r="BU156" s="38">
        <v>0</v>
      </c>
      <c r="BV156" s="38">
        <v>0</v>
      </c>
      <c r="BW156" s="38">
        <v>9.6129702586114725</v>
      </c>
      <c r="BX156" s="38">
        <v>459.65617746940717</v>
      </c>
      <c r="BY156" s="38">
        <v>137.8158865228921</v>
      </c>
      <c r="BZ156" s="38">
        <v>0</v>
      </c>
      <c r="CA156" s="38">
        <v>0</v>
      </c>
      <c r="CB156" s="38">
        <v>105.7426728447262</v>
      </c>
      <c r="CC156" s="38">
        <v>597.47206399229924</v>
      </c>
      <c r="CD156" s="50">
        <v>0.17698345950797309</v>
      </c>
      <c r="CE156" s="38">
        <v>384.8921396513453</v>
      </c>
      <c r="CF156" s="38">
        <v>0.99312394203803223</v>
      </c>
      <c r="CG156" s="38">
        <v>0</v>
      </c>
      <c r="CH156" s="38">
        <v>0.99312394203803223</v>
      </c>
      <c r="CI156" s="38">
        <v>4.9655643410879656E-2</v>
      </c>
      <c r="CJ156" s="38">
        <v>0</v>
      </c>
      <c r="CK156" s="38">
        <v>4.9655643410879656E-2</v>
      </c>
      <c r="CL156" s="38"/>
      <c r="CM156" s="38">
        <v>0</v>
      </c>
      <c r="CN156" s="38"/>
      <c r="CO156" s="38">
        <v>0</v>
      </c>
      <c r="CP156" s="38">
        <v>0</v>
      </c>
      <c r="CQ156" s="38">
        <v>0</v>
      </c>
      <c r="CR156" s="38">
        <v>0</v>
      </c>
      <c r="CS156" s="38">
        <v>0</v>
      </c>
      <c r="CT156" s="38">
        <v>0</v>
      </c>
      <c r="CU156" s="38">
        <v>272.30358890053907</v>
      </c>
      <c r="CV156" s="38">
        <v>9999</v>
      </c>
      <c r="CW156" s="50">
        <v>0</v>
      </c>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row>
    <row r="157" spans="1:131">
      <c r="A157" s="27" t="s">
        <v>244</v>
      </c>
      <c r="B157" s="27"/>
      <c r="C157" s="38">
        <v>45</v>
      </c>
      <c r="D157" s="38">
        <v>47.00190419003394</v>
      </c>
      <c r="E157" s="38">
        <v>0</v>
      </c>
      <c r="F157" s="38">
        <v>377.54005462962965</v>
      </c>
      <c r="G157" s="38">
        <v>0</v>
      </c>
      <c r="H157" s="38">
        <v>0</v>
      </c>
      <c r="I157" s="38"/>
      <c r="J157" s="38"/>
      <c r="K157" s="38"/>
      <c r="L157" s="38">
        <v>53.731853345355894</v>
      </c>
      <c r="M157" s="38">
        <v>2.8011013824342085E-2</v>
      </c>
      <c r="N157" s="38">
        <v>2.6575914444347325E-2</v>
      </c>
      <c r="O157" s="38">
        <v>0</v>
      </c>
      <c r="P157" s="38">
        <v>0</v>
      </c>
      <c r="Q157" s="38">
        <v>0</v>
      </c>
      <c r="R157" s="38">
        <v>49.380625243964055</v>
      </c>
      <c r="S157" s="38">
        <v>12.226190805867789</v>
      </c>
      <c r="T157" s="38">
        <v>102.00003464550014</v>
      </c>
      <c r="U157" s="38">
        <v>88.234388701725294</v>
      </c>
      <c r="V157" s="38">
        <v>22.652403277777779</v>
      </c>
      <c r="W157" s="38">
        <v>5.6631008194444439</v>
      </c>
      <c r="X157" s="38">
        <v>47.192506828703706</v>
      </c>
      <c r="Y157" s="38">
        <v>0</v>
      </c>
      <c r="Z157" s="38">
        <v>0</v>
      </c>
      <c r="AA157" s="38">
        <v>0</v>
      </c>
      <c r="AB157" s="38">
        <v>0</v>
      </c>
      <c r="AC157" s="38">
        <v>0</v>
      </c>
      <c r="AD157" s="38">
        <v>0</v>
      </c>
      <c r="AE157" s="38">
        <v>0</v>
      </c>
      <c r="AF157" s="38">
        <v>0</v>
      </c>
      <c r="AG157" s="38">
        <v>0</v>
      </c>
      <c r="AH157" s="38">
        <v>72.033028521741841</v>
      </c>
      <c r="AI157" s="38">
        <v>17.889291625312232</v>
      </c>
      <c r="AJ157" s="38">
        <v>149.19254147420384</v>
      </c>
      <c r="AK157" s="38">
        <v>88.234388701725294</v>
      </c>
      <c r="AL157" s="38">
        <v>327.34925032298321</v>
      </c>
      <c r="AM157" s="38">
        <v>28.315864958001413</v>
      </c>
      <c r="AN157" s="38">
        <v>9.8976492972814647</v>
      </c>
      <c r="AO157" s="38">
        <v>3.8213514255282881</v>
      </c>
      <c r="AP157" s="38">
        <v>0</v>
      </c>
      <c r="AQ157" s="38">
        <v>42.034865680811166</v>
      </c>
      <c r="AR157" s="38">
        <v>72.033028521741841</v>
      </c>
      <c r="AS157" s="50">
        <v>0.5835498873703987</v>
      </c>
      <c r="AT157" s="38">
        <v>28.315864958001413</v>
      </c>
      <c r="AU157" s="38">
        <v>11.19643585665324</v>
      </c>
      <c r="AV157" s="38">
        <v>3.9512300814654653</v>
      </c>
      <c r="AW157" s="38">
        <v>0</v>
      </c>
      <c r="AX157" s="38">
        <v>43.463530896120119</v>
      </c>
      <c r="AY157" s="38">
        <v>17.889291625312232</v>
      </c>
      <c r="AZ157" s="49">
        <v>2.4295836753324505</v>
      </c>
      <c r="BA157" s="38">
        <v>28.315864958001413</v>
      </c>
      <c r="BB157" s="38">
        <v>21.094085153934707</v>
      </c>
      <c r="BC157" s="38">
        <v>4.9409950111936123</v>
      </c>
      <c r="BD157" s="38">
        <v>0</v>
      </c>
      <c r="BE157" s="38">
        <v>54.350945123129726</v>
      </c>
      <c r="BF157" s="38">
        <v>89.922320147054066</v>
      </c>
      <c r="BG157" s="38">
        <v>87.488792007982397</v>
      </c>
      <c r="BH157" s="50">
        <v>0.60442107181228366</v>
      </c>
      <c r="BI157" s="38">
        <v>98.643839549597828</v>
      </c>
      <c r="BJ157" s="38">
        <v>24.498045534912244</v>
      </c>
      <c r="BK157" s="38">
        <v>204.30801571443092</v>
      </c>
      <c r="BL157" s="38">
        <v>120.83038934317142</v>
      </c>
      <c r="BM157" s="38">
        <v>448.28029014211239</v>
      </c>
      <c r="BN157" s="38">
        <v>28.315864958001413</v>
      </c>
      <c r="BO157" s="38">
        <v>0</v>
      </c>
      <c r="BP157" s="38">
        <v>21.094085153934707</v>
      </c>
      <c r="BQ157" s="38">
        <v>0</v>
      </c>
      <c r="BR157" s="38">
        <v>0</v>
      </c>
      <c r="BS157" s="38">
        <v>0</v>
      </c>
      <c r="BT157" s="38">
        <v>0</v>
      </c>
      <c r="BU157" s="38">
        <v>0</v>
      </c>
      <c r="BV157" s="38">
        <v>0</v>
      </c>
      <c r="BW157" s="38">
        <v>4.9409950111936123</v>
      </c>
      <c r="BX157" s="38">
        <v>251.84123939705728</v>
      </c>
      <c r="BY157" s="38">
        <v>75.50801092592593</v>
      </c>
      <c r="BZ157" s="38">
        <v>0</v>
      </c>
      <c r="CA157" s="38">
        <v>0</v>
      </c>
      <c r="CB157" s="38">
        <v>54.350945123129726</v>
      </c>
      <c r="CC157" s="38">
        <v>327.34925032298321</v>
      </c>
      <c r="CD157" s="50">
        <v>0.1660335102936808</v>
      </c>
      <c r="CE157" s="38">
        <v>412.62719706558471</v>
      </c>
      <c r="CF157" s="38">
        <v>0.51045829864198844</v>
      </c>
      <c r="CG157" s="38">
        <v>0</v>
      </c>
      <c r="CH157" s="38">
        <v>0.51045829864198844</v>
      </c>
      <c r="CI157" s="38">
        <v>2.5522630339044051E-2</v>
      </c>
      <c r="CJ157" s="38">
        <v>0</v>
      </c>
      <c r="CK157" s="38">
        <v>2.5522630339044051E-2</v>
      </c>
      <c r="CL157" s="38"/>
      <c r="CM157" s="38">
        <v>0</v>
      </c>
      <c r="CN157" s="38"/>
      <c r="CO157" s="38">
        <v>0</v>
      </c>
      <c r="CP157" s="38">
        <v>0</v>
      </c>
      <c r="CQ157" s="38">
        <v>0</v>
      </c>
      <c r="CR157" s="38">
        <v>0</v>
      </c>
      <c r="CS157" s="38">
        <v>0</v>
      </c>
      <c r="CT157" s="38">
        <v>0</v>
      </c>
      <c r="CU157" s="38">
        <v>149.19254147420384</v>
      </c>
      <c r="CV157" s="38">
        <v>9999</v>
      </c>
      <c r="CW157" s="50">
        <v>0</v>
      </c>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row>
    <row r="158" spans="1:131">
      <c r="A158" s="27"/>
      <c r="B158" s="27"/>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row>
    <row r="159" spans="1:131">
      <c r="A159" s="27"/>
      <c r="B159" s="27"/>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row>
    <row r="160" spans="1:131" ht="13.5" thickBot="1">
      <c r="A160" s="36" t="s">
        <v>2118</v>
      </c>
      <c r="B160" s="37"/>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row>
    <row r="161" spans="1:131" ht="13.5" thickBot="1">
      <c r="A161" s="589" t="s">
        <v>2119</v>
      </c>
      <c r="B161" s="590"/>
      <c r="C161" s="591"/>
      <c r="D161" s="591"/>
      <c r="E161" s="591"/>
      <c r="F161" s="591"/>
      <c r="G161" s="591"/>
      <c r="H161" s="591"/>
      <c r="I161" s="591"/>
      <c r="J161" s="591"/>
      <c r="K161" s="591"/>
      <c r="L161" s="44"/>
      <c r="M161" s="592"/>
      <c r="N161" s="593" t="s">
        <v>2167</v>
      </c>
      <c r="O161" s="591"/>
      <c r="P161" s="591"/>
      <c r="Q161" s="591"/>
      <c r="R161" s="591"/>
      <c r="S161" s="591"/>
      <c r="T161" s="591"/>
      <c r="U161" s="591"/>
      <c r="V161" s="591"/>
      <c r="W161" s="591"/>
      <c r="X161" s="591"/>
      <c r="Y161" s="44"/>
      <c r="Z161" s="592"/>
      <c r="AA161" s="593" t="s">
        <v>2168</v>
      </c>
      <c r="AB161" s="591"/>
      <c r="AC161" s="591"/>
      <c r="AD161" s="591"/>
      <c r="AE161" s="591"/>
      <c r="AF161" s="591"/>
      <c r="AG161" s="591"/>
      <c r="AH161" s="591"/>
      <c r="AI161" s="591"/>
      <c r="AJ161" s="591"/>
      <c r="AK161" s="591"/>
      <c r="AL161" s="44"/>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row>
    <row r="162" spans="1:131" ht="204">
      <c r="A162" s="45"/>
      <c r="B162" s="46" t="s">
        <v>2120</v>
      </c>
      <c r="C162" s="47" t="s">
        <v>2121</v>
      </c>
      <c r="D162" s="47" t="s">
        <v>34</v>
      </c>
      <c r="E162" s="47" t="s">
        <v>35</v>
      </c>
      <c r="F162" s="47" t="s">
        <v>36</v>
      </c>
      <c r="G162" s="47" t="s">
        <v>37</v>
      </c>
      <c r="H162" s="47" t="s">
        <v>38</v>
      </c>
      <c r="I162" s="47" t="s">
        <v>39</v>
      </c>
      <c r="J162" s="47" t="s">
        <v>40</v>
      </c>
      <c r="K162" s="47" t="s">
        <v>41</v>
      </c>
      <c r="L162" s="47" t="s">
        <v>42</v>
      </c>
      <c r="M162" s="47" t="s">
        <v>43</v>
      </c>
      <c r="N162" s="47" t="s">
        <v>44</v>
      </c>
      <c r="O162" s="47" t="s">
        <v>45</v>
      </c>
      <c r="P162" s="47" t="s">
        <v>46</v>
      </c>
      <c r="Q162" s="47" t="s">
        <v>47</v>
      </c>
      <c r="R162" s="47" t="s">
        <v>48</v>
      </c>
      <c r="S162" s="47" t="s">
        <v>49</v>
      </c>
      <c r="T162" s="47" t="s">
        <v>50</v>
      </c>
      <c r="U162" s="47" t="s">
        <v>51</v>
      </c>
      <c r="V162" s="47" t="s">
        <v>52</v>
      </c>
      <c r="W162" s="47" t="s">
        <v>53</v>
      </c>
      <c r="X162" s="47" t="s">
        <v>54</v>
      </c>
      <c r="Y162" s="47" t="s">
        <v>55</v>
      </c>
      <c r="Z162" s="47"/>
      <c r="AA162" s="47" t="s">
        <v>44</v>
      </c>
      <c r="AB162" s="47" t="s">
        <v>45</v>
      </c>
      <c r="AC162" s="47" t="s">
        <v>46</v>
      </c>
      <c r="AD162" s="47" t="s">
        <v>47</v>
      </c>
      <c r="AE162" s="47" t="s">
        <v>48</v>
      </c>
      <c r="AF162" s="47" t="s">
        <v>49</v>
      </c>
      <c r="AG162" s="47" t="s">
        <v>50</v>
      </c>
      <c r="AH162" s="47" t="s">
        <v>51</v>
      </c>
      <c r="AI162" s="47" t="s">
        <v>52</v>
      </c>
      <c r="AJ162" s="47" t="s">
        <v>53</v>
      </c>
      <c r="AK162" s="47" t="s">
        <v>54</v>
      </c>
      <c r="AL162" s="47" t="s">
        <v>55</v>
      </c>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row>
    <row r="163" spans="1:131">
      <c r="A163" s="27"/>
      <c r="B163" s="594" t="s">
        <v>2122</v>
      </c>
      <c r="C163" s="595">
        <v>35769.068176902365</v>
      </c>
      <c r="D163" s="595">
        <v>37689.629762914352</v>
      </c>
      <c r="E163" s="595">
        <v>0</v>
      </c>
      <c r="F163" s="595">
        <v>37689.629762914352</v>
      </c>
      <c r="G163" s="595">
        <v>25141.181592560064</v>
      </c>
      <c r="H163" s="595">
        <v>36181.194962565649</v>
      </c>
      <c r="I163" s="595">
        <v>9230.3538658110483</v>
      </c>
      <c r="J163" s="595">
        <v>-23.001358005608502</v>
      </c>
      <c r="K163" s="595">
        <v>16.065675155322847</v>
      </c>
      <c r="L163" s="49">
        <v>1.5578140416908517</v>
      </c>
      <c r="M163" s="38">
        <v>339.80993672850803</v>
      </c>
      <c r="N163" s="48">
        <v>4024.5333385737745</v>
      </c>
      <c r="O163" s="48">
        <v>2920.6506683841258</v>
      </c>
      <c r="P163" s="48">
        <v>2630.1673211278312</v>
      </c>
      <c r="Q163" s="48">
        <v>2100.2105859464136</v>
      </c>
      <c r="R163" s="48">
        <v>865.25680020742607</v>
      </c>
      <c r="S163" s="48">
        <v>241.81235397846802</v>
      </c>
      <c r="T163" s="48">
        <v>59.102024581569253</v>
      </c>
      <c r="U163" s="48">
        <v>49.567197572997621</v>
      </c>
      <c r="V163" s="48">
        <v>469.51139302662801</v>
      </c>
      <c r="W163" s="48">
        <v>1611.1097287570881</v>
      </c>
      <c r="X163" s="48">
        <v>2565.6467288479098</v>
      </c>
      <c r="Y163" s="48">
        <v>4678.1001636214069</v>
      </c>
      <c r="Z163" s="48"/>
      <c r="AA163" s="48">
        <v>2534.3984407085923</v>
      </c>
      <c r="AB163" s="48">
        <v>1893.5980534988298</v>
      </c>
      <c r="AC163" s="48">
        <v>1462.1309707183655</v>
      </c>
      <c r="AD163" s="48">
        <v>1247.701895211482</v>
      </c>
      <c r="AE163" s="48">
        <v>490.09270830731032</v>
      </c>
      <c r="AF163" s="48">
        <v>121.62963361236626</v>
      </c>
      <c r="AG163" s="48">
        <v>32.798006715917403</v>
      </c>
      <c r="AH163" s="48">
        <v>21.950101606704195</v>
      </c>
      <c r="AI163" s="48">
        <v>267.66978766463723</v>
      </c>
      <c r="AJ163" s="48">
        <v>827.85861827833992</v>
      </c>
      <c r="AK163" s="48">
        <v>1671.2804392532587</v>
      </c>
      <c r="AL163" s="48">
        <v>2982.2912167009295</v>
      </c>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row>
    <row r="164" spans="1:131">
      <c r="A164" s="27"/>
      <c r="B164" s="594" t="s">
        <v>2123</v>
      </c>
      <c r="C164" s="595">
        <v>21379.661336633806</v>
      </c>
      <c r="D164" s="595">
        <v>17654.225477584841</v>
      </c>
      <c r="E164" s="595">
        <v>3530.8450955169683</v>
      </c>
      <c r="F164" s="595">
        <v>21185.07057310181</v>
      </c>
      <c r="G164" s="595">
        <v>15307.243309030231</v>
      </c>
      <c r="H164" s="595">
        <v>21625.995153932574</v>
      </c>
      <c r="I164" s="595">
        <v>8680.2693128904029</v>
      </c>
      <c r="J164" s="595">
        <v>-21.181297089719525</v>
      </c>
      <c r="K164" s="595">
        <v>17.02939509061072</v>
      </c>
      <c r="L164" s="49">
        <v>1.4398577416628735</v>
      </c>
      <c r="M164" s="38">
        <v>203.10904746380277</v>
      </c>
      <c r="N164" s="48">
        <v>75.917886702998686</v>
      </c>
      <c r="O164" s="48">
        <v>55.094493668674801</v>
      </c>
      <c r="P164" s="48">
        <v>49.614881502279772</v>
      </c>
      <c r="Q164" s="48">
        <v>39.617897505806823</v>
      </c>
      <c r="R164" s="48">
        <v>16.3220085910446</v>
      </c>
      <c r="S164" s="48">
        <v>4.5614935567233914</v>
      </c>
      <c r="T164" s="48">
        <v>1.114887225084213</v>
      </c>
      <c r="U164" s="48">
        <v>0.93502440480851901</v>
      </c>
      <c r="V164" s="48">
        <v>8.8567567324946985</v>
      </c>
      <c r="W164" s="48">
        <v>30.391609551736224</v>
      </c>
      <c r="X164" s="48">
        <v>48.397779641607087</v>
      </c>
      <c r="Y164" s="48">
        <v>88.246623478822812</v>
      </c>
      <c r="Z164" s="48"/>
      <c r="AA164" s="48">
        <v>47.808319001317287</v>
      </c>
      <c r="AB164" s="48">
        <v>35.720405421585696</v>
      </c>
      <c r="AC164" s="48">
        <v>27.581307953403496</v>
      </c>
      <c r="AD164" s="48">
        <v>23.536366368715491</v>
      </c>
      <c r="AE164" s="48">
        <v>9.2449980092413959</v>
      </c>
      <c r="AF164" s="48">
        <v>2.2943939004821834</v>
      </c>
      <c r="AG164" s="48">
        <v>0.61869418103158402</v>
      </c>
      <c r="AH164" s="48">
        <v>0.41406175243354404</v>
      </c>
      <c r="AI164" s="48">
        <v>5.0492623378145582</v>
      </c>
      <c r="AJ164" s="48">
        <v>15.616537745175883</v>
      </c>
      <c r="AK164" s="48">
        <v>31.526656226217497</v>
      </c>
      <c r="AL164" s="48">
        <v>56.257267031383279</v>
      </c>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row>
    <row r="165" spans="1:131">
      <c r="A165" s="27"/>
      <c r="B165" s="594" t="s">
        <v>2124</v>
      </c>
      <c r="C165" s="596"/>
      <c r="D165" s="596"/>
      <c r="E165" s="596"/>
      <c r="F165" s="596"/>
      <c r="G165" s="596"/>
      <c r="H165" s="596"/>
      <c r="I165" s="596"/>
      <c r="J165" s="596"/>
      <c r="K165" s="596"/>
      <c r="L165" s="50"/>
      <c r="M165" s="597"/>
      <c r="N165" s="597"/>
      <c r="O165" s="597"/>
      <c r="P165" s="597"/>
      <c r="Q165" s="597"/>
      <c r="R165" s="597"/>
      <c r="S165" s="597"/>
      <c r="T165" s="597"/>
      <c r="U165" s="597"/>
      <c r="V165" s="597"/>
      <c r="W165" s="597"/>
      <c r="X165" s="597"/>
      <c r="Y165" s="597"/>
      <c r="Z165" s="597"/>
      <c r="AA165" s="597"/>
      <c r="AB165" s="597"/>
      <c r="AC165" s="597"/>
      <c r="AD165" s="597"/>
      <c r="AE165" s="597"/>
      <c r="AF165" s="597"/>
      <c r="AG165" s="597"/>
      <c r="AH165" s="597"/>
      <c r="AI165" s="597"/>
      <c r="AJ165" s="597"/>
      <c r="AK165" s="597"/>
      <c r="AL165" s="59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row>
    <row r="166" spans="1:131">
      <c r="A166" s="27"/>
      <c r="B166" s="27" t="s">
        <v>101</v>
      </c>
      <c r="C166" s="38">
        <v>805.93621817691815</v>
      </c>
      <c r="D166" s="38">
        <v>414.11354893012162</v>
      </c>
      <c r="E166" s="38">
        <v>82.822709786024333</v>
      </c>
      <c r="F166" s="38">
        <v>496.93625871614597</v>
      </c>
      <c r="G166" s="38">
        <v>359.06060331492699</v>
      </c>
      <c r="H166" s="38">
        <v>815.22211574081825</v>
      </c>
      <c r="I166" s="38">
        <v>5401.3723768371929</v>
      </c>
      <c r="J166" s="38">
        <v>-26.647893321920041</v>
      </c>
      <c r="K166" s="38">
        <v>-2.8709608555309631</v>
      </c>
      <c r="L166" s="49">
        <v>2.2704304181926593</v>
      </c>
      <c r="M166" s="38">
        <v>7.6564794461925132</v>
      </c>
      <c r="N166" s="48">
        <v>90.679387083154523</v>
      </c>
      <c r="O166" s="48">
        <v>65.807086241440828</v>
      </c>
      <c r="P166" s="48">
        <v>59.262016373439991</v>
      </c>
      <c r="Q166" s="48">
        <v>47.321215320498339</v>
      </c>
      <c r="R166" s="48">
        <v>19.495665636639032</v>
      </c>
      <c r="S166" s="48">
        <v>5.4484319555103946</v>
      </c>
      <c r="T166" s="48">
        <v>1.331666286141262</v>
      </c>
      <c r="U166" s="48">
        <v>1.116830876332584</v>
      </c>
      <c r="V166" s="48">
        <v>10.578867601902028</v>
      </c>
      <c r="W166" s="48">
        <v>36.300964717358632</v>
      </c>
      <c r="X166" s="48">
        <v>57.80826080230122</v>
      </c>
      <c r="Y166" s="48">
        <v>105.40532773947049</v>
      </c>
      <c r="Z166" s="48"/>
      <c r="AA166" s="48">
        <v>57.104185229436112</v>
      </c>
      <c r="AB166" s="48">
        <v>42.665893515490062</v>
      </c>
      <c r="AC166" s="48">
        <v>32.944227095662484</v>
      </c>
      <c r="AD166" s="48">
        <v>28.112785657867768</v>
      </c>
      <c r="AE166" s="48">
        <v>11.042598647966319</v>
      </c>
      <c r="AF166" s="48">
        <v>2.7405166510626096</v>
      </c>
      <c r="AG166" s="48">
        <v>0.73899329346903786</v>
      </c>
      <c r="AH166" s="48">
        <v>0.49457206405308923</v>
      </c>
      <c r="AI166" s="48">
        <v>6.0310426685914953</v>
      </c>
      <c r="AJ166" s="48">
        <v>18.653022793343407</v>
      </c>
      <c r="AK166" s="48">
        <v>37.656710263271847</v>
      </c>
      <c r="AL166" s="48">
        <v>67.195949662514664</v>
      </c>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row>
    <row r="167" spans="1:131">
      <c r="A167" s="27"/>
      <c r="B167" s="27" t="s">
        <v>104</v>
      </c>
      <c r="C167" s="38">
        <v>712.3575717659503</v>
      </c>
      <c r="D167" s="38">
        <v>414.11354893012168</v>
      </c>
      <c r="E167" s="38">
        <v>82.822709786024348</v>
      </c>
      <c r="F167" s="38">
        <v>496.93625871614603</v>
      </c>
      <c r="G167" s="38">
        <v>359.06060331492705</v>
      </c>
      <c r="H167" s="38">
        <v>720.56526772388929</v>
      </c>
      <c r="I167" s="38">
        <v>6110.9220971173991</v>
      </c>
      <c r="J167" s="38">
        <v>-25.464927860336605</v>
      </c>
      <c r="K167" s="38">
        <v>1.4354544635360371</v>
      </c>
      <c r="L167" s="49">
        <v>2.0068068205519376</v>
      </c>
      <c r="M167" s="38">
        <v>6.767472392422401</v>
      </c>
      <c r="N167" s="48">
        <v>80.150446815631966</v>
      </c>
      <c r="O167" s="48">
        <v>58.166111787340746</v>
      </c>
      <c r="P167" s="48">
        <v>52.381001287214204</v>
      </c>
      <c r="Q167" s="48">
        <v>41.82666727024295</v>
      </c>
      <c r="R167" s="48">
        <v>17.231990224105314</v>
      </c>
      <c r="S167" s="48">
        <v>4.8158051099117989</v>
      </c>
      <c r="T167" s="48">
        <v>1.1770442134292198</v>
      </c>
      <c r="U167" s="48">
        <v>0.98715371414524589</v>
      </c>
      <c r="V167" s="48">
        <v>9.3505370114414319</v>
      </c>
      <c r="W167" s="48">
        <v>32.085997000251993</v>
      </c>
      <c r="X167" s="48">
        <v>51.096043786557125</v>
      </c>
      <c r="Y167" s="48">
        <v>93.166533065772342</v>
      </c>
      <c r="Z167" s="48"/>
      <c r="AA167" s="48">
        <v>50.473719644628794</v>
      </c>
      <c r="AB167" s="48">
        <v>37.711882921294887</v>
      </c>
      <c r="AC167" s="48">
        <v>29.119015982007237</v>
      </c>
      <c r="AD167" s="48">
        <v>24.848561555052434</v>
      </c>
      <c r="AE167" s="48">
        <v>9.7604234447302822</v>
      </c>
      <c r="AF167" s="48">
        <v>2.4223105289289335</v>
      </c>
      <c r="AG167" s="48">
        <v>0.65318750567847716</v>
      </c>
      <c r="AH167" s="48">
        <v>0.43714644740633002</v>
      </c>
      <c r="AI167" s="48">
        <v>5.3307678867356287</v>
      </c>
      <c r="AJ167" s="48">
        <v>16.487188096867673</v>
      </c>
      <c r="AK167" s="48">
        <v>33.2843245890082</v>
      </c>
      <c r="AL167" s="48">
        <v>59.393711877567149</v>
      </c>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row>
    <row r="168" spans="1:131">
      <c r="A168" s="27"/>
      <c r="B168" s="27" t="s">
        <v>107</v>
      </c>
      <c r="C168" s="38">
        <v>10102.280376285627</v>
      </c>
      <c r="D168" s="38">
        <v>7966.8337141318043</v>
      </c>
      <c r="E168" s="38">
        <v>1593.3667428263611</v>
      </c>
      <c r="F168" s="38">
        <v>9560.2004569581659</v>
      </c>
      <c r="G168" s="38">
        <v>6907.7095576715019</v>
      </c>
      <c r="H168" s="38">
        <v>10218.677603039112</v>
      </c>
      <c r="I168" s="38">
        <v>8289.9457234966867</v>
      </c>
      <c r="J168" s="38">
        <v>-21.832046870737969</v>
      </c>
      <c r="K168" s="38">
        <v>14.660434274031845</v>
      </c>
      <c r="L168" s="49">
        <v>1.4795333624828195</v>
      </c>
      <c r="M168" s="38">
        <v>95.972733717900127</v>
      </c>
      <c r="N168" s="48">
        <v>1136.6514768823381</v>
      </c>
      <c r="O168" s="48">
        <v>824.88120146935375</v>
      </c>
      <c r="P168" s="48">
        <v>742.83980737678985</v>
      </c>
      <c r="Q168" s="48">
        <v>593.16379402286111</v>
      </c>
      <c r="R168" s="48">
        <v>244.37502117619206</v>
      </c>
      <c r="S168" s="48">
        <v>68.295214911904509</v>
      </c>
      <c r="T168" s="48">
        <v>16.692221898995086</v>
      </c>
      <c r="U168" s="48">
        <v>13.999294722262768</v>
      </c>
      <c r="V168" s="48">
        <v>132.60439742957243</v>
      </c>
      <c r="W168" s="48">
        <v>455.02673193414739</v>
      </c>
      <c r="X168" s="48">
        <v>724.61721600169028</v>
      </c>
      <c r="Y168" s="48">
        <v>1321.2387655032235</v>
      </c>
      <c r="Z168" s="48"/>
      <c r="AA168" s="48">
        <v>715.79174236896677</v>
      </c>
      <c r="AB168" s="48">
        <v>534.81008679970978</v>
      </c>
      <c r="AC168" s="48">
        <v>412.95056779213996</v>
      </c>
      <c r="AD168" s="48">
        <v>352.38922940656028</v>
      </c>
      <c r="AE168" s="48">
        <v>138.41719122251908</v>
      </c>
      <c r="AF168" s="48">
        <v>34.351933764113738</v>
      </c>
      <c r="AG168" s="48">
        <v>9.2631616230207996</v>
      </c>
      <c r="AH168" s="48">
        <v>6.1993809741477808</v>
      </c>
      <c r="AI168" s="48">
        <v>75.598146137761091</v>
      </c>
      <c r="AJ168" s="48">
        <v>233.81262918033536</v>
      </c>
      <c r="AK168" s="48">
        <v>472.02078346678263</v>
      </c>
      <c r="AL168" s="48">
        <v>842.29038022023997</v>
      </c>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row>
    <row r="169" spans="1:131">
      <c r="A169" s="27"/>
      <c r="B169" s="27" t="s">
        <v>110</v>
      </c>
      <c r="C169" s="38">
        <v>8927.6146057307633</v>
      </c>
      <c r="D169" s="38">
        <v>7966.8337141318043</v>
      </c>
      <c r="E169" s="38">
        <v>1593.3667428263611</v>
      </c>
      <c r="F169" s="38">
        <v>9560.2004569581659</v>
      </c>
      <c r="G169" s="38">
        <v>6907.7095576715019</v>
      </c>
      <c r="H169" s="38">
        <v>9030.4774785599839</v>
      </c>
      <c r="I169" s="38">
        <v>9380.7091481295465</v>
      </c>
      <c r="J169" s="38">
        <v>-20.013519681988495</v>
      </c>
      <c r="K169" s="38">
        <v>21.280520487950618</v>
      </c>
      <c r="L169" s="49">
        <v>1.307478809670132</v>
      </c>
      <c r="M169" s="38">
        <v>84.813284464280784</v>
      </c>
      <c r="N169" s="48">
        <v>1004.4847250983978</v>
      </c>
      <c r="O169" s="48">
        <v>728.96625196797368</v>
      </c>
      <c r="P169" s="48">
        <v>656.4644087312106</v>
      </c>
      <c r="Q169" s="48">
        <v>524.19231637443579</v>
      </c>
      <c r="R169" s="48">
        <v>215.95975631894825</v>
      </c>
      <c r="S169" s="48">
        <v>60.354032499463997</v>
      </c>
      <c r="T169" s="48">
        <v>14.751295596327452</v>
      </c>
      <c r="U169" s="48">
        <v>12.371494690029087</v>
      </c>
      <c r="V169" s="48">
        <v>117.18551764365586</v>
      </c>
      <c r="W169" s="48">
        <v>402.11745731678502</v>
      </c>
      <c r="X169" s="48">
        <v>640.36069087197438</v>
      </c>
      <c r="Y169" s="48">
        <v>1167.6087042934751</v>
      </c>
      <c r="Z169" s="48"/>
      <c r="AA169" s="48">
        <v>632.56141938363317</v>
      </c>
      <c r="AB169" s="48">
        <v>472.62382000535285</v>
      </c>
      <c r="AC169" s="48">
        <v>364.9337954547467</v>
      </c>
      <c r="AD169" s="48">
        <v>311.414365288971</v>
      </c>
      <c r="AE169" s="48">
        <v>122.32241553532693</v>
      </c>
      <c r="AF169" s="48">
        <v>30.357584048796411</v>
      </c>
      <c r="AG169" s="48">
        <v>8.1860663058860066</v>
      </c>
      <c r="AH169" s="48">
        <v>5.4785337636451992</v>
      </c>
      <c r="AI169" s="48">
        <v>66.807798683745673</v>
      </c>
      <c r="AJ169" s="48">
        <v>206.6255306252109</v>
      </c>
      <c r="AK169" s="48">
        <v>417.13548661534219</v>
      </c>
      <c r="AL169" s="48">
        <v>744.35113861743071</v>
      </c>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row>
    <row r="170" spans="1:131">
      <c r="A170" s="27"/>
      <c r="B170" s="27" t="s">
        <v>113</v>
      </c>
      <c r="C170" s="38">
        <v>831.47256467454417</v>
      </c>
      <c r="D170" s="38">
        <v>892.33095146098583</v>
      </c>
      <c r="E170" s="38">
        <v>178.46619029219718</v>
      </c>
      <c r="F170" s="38">
        <v>1070.797141753183</v>
      </c>
      <c r="G170" s="38">
        <v>773.7029870573723</v>
      </c>
      <c r="H170" s="38">
        <v>841.05268886877207</v>
      </c>
      <c r="I170" s="38">
        <v>11281.410067245555</v>
      </c>
      <c r="J170" s="38">
        <v>-16.844659944821373</v>
      </c>
      <c r="K170" s="38">
        <v>32.81629778600027</v>
      </c>
      <c r="L170" s="49">
        <v>1.0883786402603013</v>
      </c>
      <c r="M170" s="38">
        <v>7.8990774430069628</v>
      </c>
      <c r="N170" s="48">
        <v>93.552592426855156</v>
      </c>
      <c r="O170" s="48">
        <v>67.89220478849154</v>
      </c>
      <c r="P170" s="48">
        <v>61.139752291157428</v>
      </c>
      <c r="Q170" s="48">
        <v>48.820603142833122</v>
      </c>
      <c r="R170" s="48">
        <v>20.113392029461089</v>
      </c>
      <c r="S170" s="48">
        <v>5.6210672623084683</v>
      </c>
      <c r="T170" s="48">
        <v>1.3738605577661729</v>
      </c>
      <c r="U170" s="48">
        <v>1.152218019376968</v>
      </c>
      <c r="V170" s="48">
        <v>10.914062400872309</v>
      </c>
      <c r="W170" s="48">
        <v>37.451172379346438</v>
      </c>
      <c r="X170" s="48">
        <v>59.639934010401973</v>
      </c>
      <c r="Y170" s="48">
        <v>108.74512921649023</v>
      </c>
      <c r="Z170" s="48"/>
      <c r="AA170" s="48">
        <v>58.913549578121327</v>
      </c>
      <c r="AB170" s="48">
        <v>44.017775979473342</v>
      </c>
      <c r="AC170" s="48">
        <v>33.988075453928772</v>
      </c>
      <c r="AD170" s="48">
        <v>29.003548250963213</v>
      </c>
      <c r="AE170" s="48">
        <v>11.392486913251828</v>
      </c>
      <c r="AF170" s="48">
        <v>2.8273507965020026</v>
      </c>
      <c r="AG170" s="48">
        <v>0.76240853201500514</v>
      </c>
      <c r="AH170" s="48">
        <v>0.51024273787424446</v>
      </c>
      <c r="AI170" s="48">
        <v>6.2221381819256685</v>
      </c>
      <c r="AJ170" s="48">
        <v>19.24404977852646</v>
      </c>
      <c r="AK170" s="48">
        <v>38.849875155921623</v>
      </c>
      <c r="AL170" s="48">
        <v>69.325074790680006</v>
      </c>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row>
    <row r="171" spans="1:131">
      <c r="A171" s="27"/>
      <c r="B171" s="27" t="s">
        <v>116</v>
      </c>
      <c r="C171" s="38">
        <v>3104.8660353810656</v>
      </c>
      <c r="D171" s="38">
        <v>4101.7368570659019</v>
      </c>
      <c r="E171" s="38">
        <v>820.34737141318044</v>
      </c>
      <c r="F171" s="38">
        <v>4922.0842284790824</v>
      </c>
      <c r="G171" s="38">
        <v>3556.4451207696993</v>
      </c>
      <c r="H171" s="38">
        <v>3140.6399183558233</v>
      </c>
      <c r="I171" s="38">
        <v>13887.059006777688</v>
      </c>
      <c r="J171" s="38">
        <v>-12.500506727114839</v>
      </c>
      <c r="K171" s="38">
        <v>48.630561661519231</v>
      </c>
      <c r="L171" s="50">
        <v>0.88308403805092717</v>
      </c>
      <c r="M171" s="38">
        <v>29.496556237230543</v>
      </c>
      <c r="N171" s="48">
        <v>349.34197361242559</v>
      </c>
      <c r="O171" s="48">
        <v>253.52153476938005</v>
      </c>
      <c r="P171" s="48">
        <v>228.30667945698255</v>
      </c>
      <c r="Q171" s="48">
        <v>182.30479148080227</v>
      </c>
      <c r="R171" s="48">
        <v>75.106973364806038</v>
      </c>
      <c r="S171" s="48">
        <v>20.990062170199604</v>
      </c>
      <c r="T171" s="48">
        <v>5.1302390053333173</v>
      </c>
      <c r="U171" s="48">
        <v>4.3025864540917134</v>
      </c>
      <c r="V171" s="48">
        <v>40.755044839948411</v>
      </c>
      <c r="W171" s="48">
        <v>139.84932040583806</v>
      </c>
      <c r="X171" s="48">
        <v>222.70609197279543</v>
      </c>
      <c r="Y171" s="48">
        <v>406.07360069609103</v>
      </c>
      <c r="Z171" s="48"/>
      <c r="AA171" s="48">
        <v>219.99364366333072</v>
      </c>
      <c r="AB171" s="48">
        <v>164.37018297191139</v>
      </c>
      <c r="AC171" s="48">
        <v>126.91750223433814</v>
      </c>
      <c r="AD171" s="48">
        <v>108.30439354929271</v>
      </c>
      <c r="AE171" s="48">
        <v>42.541566827673108</v>
      </c>
      <c r="AF171" s="48">
        <v>10.557829363381071</v>
      </c>
      <c r="AG171" s="48">
        <v>2.8469686874932423</v>
      </c>
      <c r="AH171" s="48">
        <v>1.9053368853435209</v>
      </c>
      <c r="AI171" s="48">
        <v>23.234567596431187</v>
      </c>
      <c r="AJ171" s="48">
        <v>71.860695203956368</v>
      </c>
      <c r="AK171" s="48">
        <v>145.07232466248641</v>
      </c>
      <c r="AL171" s="48">
        <v>258.87212550673377</v>
      </c>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row>
    <row r="172" spans="1:131">
      <c r="A172" s="27"/>
      <c r="B172" s="27" t="s">
        <v>119</v>
      </c>
      <c r="C172" s="38">
        <v>8564.8384920273966</v>
      </c>
      <c r="D172" s="38">
        <v>11831.930571197707</v>
      </c>
      <c r="E172" s="38">
        <v>2366.3861142395417</v>
      </c>
      <c r="F172" s="38">
        <v>14198.316685437248</v>
      </c>
      <c r="G172" s="38">
        <v>10258.973994573305</v>
      </c>
      <c r="H172" s="38">
        <v>8663.5215032813412</v>
      </c>
      <c r="I172" s="38">
        <v>14521.844665279703</v>
      </c>
      <c r="J172" s="38">
        <v>-11.442188348496041</v>
      </c>
      <c r="K172" s="38">
        <v>52.483217234433219</v>
      </c>
      <c r="L172" s="50">
        <v>0.84522647465797018</v>
      </c>
      <c r="M172" s="38">
        <v>81.366872954915351</v>
      </c>
      <c r="N172" s="48">
        <v>963.66720766079732</v>
      </c>
      <c r="O172" s="48">
        <v>699.34450466045701</v>
      </c>
      <c r="P172" s="48">
        <v>629.78879407920545</v>
      </c>
      <c r="Q172" s="48">
        <v>502.89161514956277</v>
      </c>
      <c r="R172" s="48">
        <v>207.18417128602988</v>
      </c>
      <c r="S172" s="48">
        <v>57.901529527121582</v>
      </c>
      <c r="T172" s="48">
        <v>14.151872578549547</v>
      </c>
      <c r="U172" s="48">
        <v>11.868775546948063</v>
      </c>
      <c r="V172" s="48">
        <v>112.42365139488278</v>
      </c>
      <c r="W172" s="48">
        <v>385.77730209502835</v>
      </c>
      <c r="X172" s="48">
        <v>614.33945529424045</v>
      </c>
      <c r="Y172" s="48">
        <v>1120.162598387659</v>
      </c>
      <c r="Z172" s="48"/>
      <c r="AA172" s="48">
        <v>606.85710938179068</v>
      </c>
      <c r="AB172" s="48">
        <v>453.41861903765869</v>
      </c>
      <c r="AC172" s="48">
        <v>350.10460872113595</v>
      </c>
      <c r="AD172" s="48">
        <v>298.75995555242008</v>
      </c>
      <c r="AE172" s="48">
        <v>117.35181000557782</v>
      </c>
      <c r="AF172" s="48">
        <v>29.123995139663137</v>
      </c>
      <c r="AG172" s="48">
        <v>7.8534232145208049</v>
      </c>
      <c r="AH172" s="48">
        <v>5.2559120135651618</v>
      </c>
      <c r="AI172" s="48">
        <v>64.093045119449954</v>
      </c>
      <c r="AJ172" s="48">
        <v>198.22924446115616</v>
      </c>
      <c r="AK172" s="48">
        <v>400.18506957729733</v>
      </c>
      <c r="AL172" s="48">
        <v>714.10422214267942</v>
      </c>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row>
    <row r="173" spans="1:131">
      <c r="A173" s="27"/>
      <c r="B173" s="27" t="s">
        <v>122</v>
      </c>
      <c r="C173" s="38">
        <v>5932.3675396892777</v>
      </c>
      <c r="D173" s="38">
        <v>9359.6854931826911</v>
      </c>
      <c r="E173" s="38">
        <v>1871.9370986365384</v>
      </c>
      <c r="F173" s="38">
        <v>11231.622591819229</v>
      </c>
      <c r="G173" s="38">
        <v>8115.393299018182</v>
      </c>
      <c r="H173" s="38">
        <v>6000.7195457693251</v>
      </c>
      <c r="I173" s="38">
        <v>16585.117703191027</v>
      </c>
      <c r="J173" s="38">
        <v>-8.0022874199162164</v>
      </c>
      <c r="K173" s="38">
        <v>65.005680937710224</v>
      </c>
      <c r="L173" s="50">
        <v>0.7406884325790094</v>
      </c>
      <c r="M173" s="38">
        <v>56.358120047807404</v>
      </c>
      <c r="N173" s="48">
        <v>667.47645820892535</v>
      </c>
      <c r="O173" s="48">
        <v>484.39543166746978</v>
      </c>
      <c r="P173" s="48">
        <v>436.21821968193888</v>
      </c>
      <c r="Q173" s="48">
        <v>348.32389384484333</v>
      </c>
      <c r="R173" s="48">
        <v>143.50447514203231</v>
      </c>
      <c r="S173" s="48">
        <v>40.105035790785536</v>
      </c>
      <c r="T173" s="48">
        <v>9.8021824449994046</v>
      </c>
      <c r="U173" s="48">
        <v>8.220813370399668</v>
      </c>
      <c r="V173" s="48">
        <v>77.869351634495771</v>
      </c>
      <c r="W173" s="48">
        <v>267.20559256637176</v>
      </c>
      <c r="X173" s="48">
        <v>425.51735754625452</v>
      </c>
      <c r="Y173" s="48">
        <v>775.87175100086984</v>
      </c>
      <c r="Z173" s="48"/>
      <c r="AA173" s="48">
        <v>420.33476991742026</v>
      </c>
      <c r="AB173" s="48">
        <v>314.05681496196286</v>
      </c>
      <c r="AC173" s="48">
        <v>242.49718406321574</v>
      </c>
      <c r="AD173" s="48">
        <v>206.93371674527066</v>
      </c>
      <c r="AE173" s="48">
        <v>81.282801660405937</v>
      </c>
      <c r="AF173" s="48">
        <v>20.172504543247751</v>
      </c>
      <c r="AG173" s="48">
        <v>5.4396113828221413</v>
      </c>
      <c r="AH173" s="48">
        <v>3.6404658242838868</v>
      </c>
      <c r="AI173" s="48">
        <v>44.393540023013543</v>
      </c>
      <c r="AJ173" s="48">
        <v>137.30191600847431</v>
      </c>
      <c r="AK173" s="48">
        <v>277.18501858949702</v>
      </c>
      <c r="AL173" s="48">
        <v>494.61863307027807</v>
      </c>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row>
    <row r="174" spans="1:131">
      <c r="A174" s="27"/>
      <c r="B174" s="27" t="s">
        <v>125</v>
      </c>
      <c r="C174" s="38">
        <v>245.17929119859181</v>
      </c>
      <c r="D174" s="38">
        <v>436.41697398915824</v>
      </c>
      <c r="E174" s="38">
        <v>87.283394797831647</v>
      </c>
      <c r="F174" s="38">
        <v>523.70036878698988</v>
      </c>
      <c r="G174" s="38">
        <v>378.39897386178944</v>
      </c>
      <c r="H174" s="38">
        <v>248.00421670945894</v>
      </c>
      <c r="I174" s="38">
        <v>18711.267204284912</v>
      </c>
      <c r="J174" s="38">
        <v>-4.4575584825787891</v>
      </c>
      <c r="K174" s="38">
        <v>77.909755903057984</v>
      </c>
      <c r="L174" s="50">
        <v>0.65540404134405161</v>
      </c>
      <c r="M174" s="38">
        <v>2.3292292384383031</v>
      </c>
      <c r="N174" s="48">
        <v>27.586187777566874</v>
      </c>
      <c r="O174" s="48">
        <v>20.019617429551019</v>
      </c>
      <c r="P174" s="48">
        <v>18.028497592907271</v>
      </c>
      <c r="Q174" s="48">
        <v>14.395905990154706</v>
      </c>
      <c r="R174" s="48">
        <v>5.9309078987024941</v>
      </c>
      <c r="S174" s="48">
        <v>1.6575042228745618</v>
      </c>
      <c r="T174" s="48">
        <v>0.40511518006689651</v>
      </c>
      <c r="U174" s="48">
        <v>0.33975865145672812</v>
      </c>
      <c r="V174" s="48">
        <v>3.2182686443664896</v>
      </c>
      <c r="W174" s="48">
        <v>11.043361246824258</v>
      </c>
      <c r="X174" s="48">
        <v>17.586240808227615</v>
      </c>
      <c r="Y174" s="48">
        <v>32.06606547870215</v>
      </c>
      <c r="Z174" s="48"/>
      <c r="AA174" s="48">
        <v>17.37204923076532</v>
      </c>
      <c r="AB174" s="48">
        <v>12.979679153947773</v>
      </c>
      <c r="AC174" s="48">
        <v>10.022185461116557</v>
      </c>
      <c r="AD174" s="48">
        <v>8.5523800838801431</v>
      </c>
      <c r="AE174" s="48">
        <v>3.3593433927355543</v>
      </c>
      <c r="AF174" s="48">
        <v>0.83371104917631411</v>
      </c>
      <c r="AG174" s="48">
        <v>0.22481413269043327</v>
      </c>
      <c r="AH174" s="48">
        <v>0.15045710240626309</v>
      </c>
      <c r="AI174" s="48">
        <v>1.8347441563286675</v>
      </c>
      <c r="AJ174" s="48">
        <v>5.6745618375710976</v>
      </c>
      <c r="AK174" s="48">
        <v>11.455801740868022</v>
      </c>
      <c r="AL174" s="48">
        <v>20.442132935704613</v>
      </c>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row>
    <row r="175" spans="1:131">
      <c r="A175" s="27"/>
      <c r="B175" s="27" t="s">
        <v>128</v>
      </c>
      <c r="C175" s="38">
        <v>670.44899357122949</v>
      </c>
      <c r="D175" s="38">
        <v>1305.7281885095222</v>
      </c>
      <c r="E175" s="38">
        <v>261.14563770190443</v>
      </c>
      <c r="F175" s="38">
        <v>1566.8738262114266</v>
      </c>
      <c r="G175" s="38">
        <v>1132.142506186505</v>
      </c>
      <c r="H175" s="38">
        <v>678.17382406737647</v>
      </c>
      <c r="I175" s="38">
        <v>20472.571141467222</v>
      </c>
      <c r="J175" s="38">
        <v>-1.5211022125167322</v>
      </c>
      <c r="K175" s="38">
        <v>88.599501864228372</v>
      </c>
      <c r="L175" s="50">
        <v>0.5990815266279349</v>
      </c>
      <c r="M175" s="38">
        <v>6.3693364601610787</v>
      </c>
      <c r="N175" s="48">
        <v>75.435130518245373</v>
      </c>
      <c r="O175" s="48">
        <v>54.744151888634775</v>
      </c>
      <c r="P175" s="48">
        <v>49.299384167709178</v>
      </c>
      <c r="Q175" s="48">
        <v>39.365970247574857</v>
      </c>
      <c r="R175" s="48">
        <v>16.218218154599107</v>
      </c>
      <c r="S175" s="48">
        <v>4.5324873590820438</v>
      </c>
      <c r="T175" s="48">
        <v>1.1077977402923422</v>
      </c>
      <c r="U175" s="48">
        <v>0.92907865428884895</v>
      </c>
      <c r="V175" s="48">
        <v>8.800437276367127</v>
      </c>
      <c r="W175" s="48">
        <v>30.198351571135333</v>
      </c>
      <c r="X175" s="48">
        <v>48.090021767079854</v>
      </c>
      <c r="Y175" s="48">
        <v>87.685469775550445</v>
      </c>
      <c r="Z175" s="48"/>
      <c r="AA175" s="48">
        <v>47.504309463079792</v>
      </c>
      <c r="AB175" s="48">
        <v>35.493262025107498</v>
      </c>
      <c r="AC175" s="48">
        <v>27.405920471265304</v>
      </c>
      <c r="AD175" s="48">
        <v>23.386700368717776</v>
      </c>
      <c r="AE175" s="48">
        <v>9.1862097557636133</v>
      </c>
      <c r="AF175" s="48">
        <v>2.279804020628819</v>
      </c>
      <c r="AG175" s="48">
        <v>0.61475995083452428</v>
      </c>
      <c r="AH175" s="48">
        <v>0.41142876460237465</v>
      </c>
      <c r="AI175" s="48">
        <v>5.0171544548388631</v>
      </c>
      <c r="AJ175" s="48">
        <v>15.517233345273251</v>
      </c>
      <c r="AK175" s="48">
        <v>31.326180568388146</v>
      </c>
      <c r="AL175" s="48">
        <v>55.899531262170321</v>
      </c>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row>
    <row r="176" spans="1:131">
      <c r="A176" s="27"/>
      <c r="B176" s="27" t="s">
        <v>131</v>
      </c>
      <c r="C176" s="38">
        <v>2407.0964547165659</v>
      </c>
      <c r="D176" s="38">
        <v>4957.4943142263955</v>
      </c>
      <c r="E176" s="38">
        <v>991.49886284527929</v>
      </c>
      <c r="F176" s="38">
        <v>5948.9931770716748</v>
      </c>
      <c r="G176" s="38">
        <v>4298.4367548351274</v>
      </c>
      <c r="H176" s="38">
        <v>2434.8307227650803</v>
      </c>
      <c r="I176" s="38">
        <v>21649.80972367564</v>
      </c>
      <c r="J176" s="38">
        <v>0.44159686690233491</v>
      </c>
      <c r="K176" s="38">
        <v>95.744425073580047</v>
      </c>
      <c r="L176" s="50">
        <v>0.5665797558550042</v>
      </c>
      <c r="M176" s="38">
        <v>22.867671305590296</v>
      </c>
      <c r="N176" s="48">
        <v>270.83288508547605</v>
      </c>
      <c r="O176" s="48">
        <v>196.54657578898738</v>
      </c>
      <c r="P176" s="48">
        <v>176.9983607816323</v>
      </c>
      <c r="Q176" s="48">
        <v>141.33467024042608</v>
      </c>
      <c r="R176" s="48">
        <v>58.227867885684013</v>
      </c>
      <c r="S176" s="48">
        <v>16.272877366822286</v>
      </c>
      <c r="T176" s="48">
        <v>3.9772988531116633</v>
      </c>
      <c r="U176" s="48">
        <v>3.3356481348106164</v>
      </c>
      <c r="V176" s="48">
        <v>31.595992493123575</v>
      </c>
      <c r="W176" s="48">
        <v>108.42039543973388</v>
      </c>
      <c r="X176" s="48">
        <v>172.65641683819183</v>
      </c>
      <c r="Y176" s="48">
        <v>314.81497541312956</v>
      </c>
      <c r="Z176" s="48"/>
      <c r="AA176" s="48">
        <v>170.55354842618542</v>
      </c>
      <c r="AB176" s="48">
        <v>127.43058160454314</v>
      </c>
      <c r="AC176" s="48">
        <v>98.394799063291089</v>
      </c>
      <c r="AD176" s="48">
        <v>83.96469244468841</v>
      </c>
      <c r="AE176" s="48">
        <v>32.981021893400907</v>
      </c>
      <c r="AF176" s="48">
        <v>8.1851240409404546</v>
      </c>
      <c r="AG176" s="48">
        <v>2.2071574606641562</v>
      </c>
      <c r="AH176" s="48">
        <v>1.4771425270811096</v>
      </c>
      <c r="AI176" s="48">
        <v>18.012965664516276</v>
      </c>
      <c r="AJ176" s="48">
        <v>55.711139446208513</v>
      </c>
      <c r="AK176" s="48">
        <v>112.46961201973514</v>
      </c>
      <c r="AL176" s="48">
        <v>200.69470580418232</v>
      </c>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row>
    <row r="177" spans="1:131">
      <c r="A177" s="27"/>
      <c r="B177" s="27" t="s">
        <v>134</v>
      </c>
      <c r="C177" s="38">
        <v>2071.6440347193775</v>
      </c>
      <c r="D177" s="38">
        <v>4554.176289680363</v>
      </c>
      <c r="E177" s="38">
        <v>910.83525793607271</v>
      </c>
      <c r="F177" s="38">
        <v>5465.0115476164356</v>
      </c>
      <c r="G177" s="38">
        <v>3948.7365008941024</v>
      </c>
      <c r="H177" s="38">
        <v>2095.5132614167255</v>
      </c>
      <c r="I177" s="38">
        <v>23108.941668931489</v>
      </c>
      <c r="J177" s="38">
        <v>2.8742702170504693</v>
      </c>
      <c r="K177" s="38">
        <v>104.6002219007684</v>
      </c>
      <c r="L177" s="50">
        <v>0.53070701999130809</v>
      </c>
      <c r="M177" s="38">
        <v>19.6808377808557</v>
      </c>
      <c r="N177" s="48">
        <v>233.08967519510165</v>
      </c>
      <c r="O177" s="48">
        <v>169.15588923740086</v>
      </c>
      <c r="P177" s="48">
        <v>152.3319090723985</v>
      </c>
      <c r="Q177" s="48">
        <v>121.63830241571496</v>
      </c>
      <c r="R177" s="48">
        <v>50.11324532651895</v>
      </c>
      <c r="S177" s="48">
        <v>14.005092840646832</v>
      </c>
      <c r="T177" s="48">
        <v>3.4230233803884693</v>
      </c>
      <c r="U177" s="48">
        <v>2.8707929617290349</v>
      </c>
      <c r="V177" s="48">
        <v>27.192782092782835</v>
      </c>
      <c r="W177" s="48">
        <v>93.310953540949058</v>
      </c>
      <c r="X177" s="48">
        <v>148.59505745937352</v>
      </c>
      <c r="Y177" s="48">
        <v>270.94243131679229</v>
      </c>
      <c r="Z177" s="48"/>
      <c r="AA177" s="48">
        <v>146.78524431582591</v>
      </c>
      <c r="AB177" s="48">
        <v>109.67188444177131</v>
      </c>
      <c r="AC177" s="48">
        <v>84.682522018371159</v>
      </c>
      <c r="AD177" s="48">
        <v>72.263391809352242</v>
      </c>
      <c r="AE177" s="48">
        <v>28.384794107662128</v>
      </c>
      <c r="AF177" s="48">
        <v>7.0444469973884338</v>
      </c>
      <c r="AG177" s="48">
        <v>1.8995684938639776</v>
      </c>
      <c r="AH177" s="48">
        <v>1.2712882770699829</v>
      </c>
      <c r="AI177" s="48">
        <v>15.502682824936528</v>
      </c>
      <c r="AJ177" s="48">
        <v>47.94724759575417</v>
      </c>
      <c r="AK177" s="48">
        <v>96.795872209999303</v>
      </c>
      <c r="AL177" s="48">
        <v>172.72593678758548</v>
      </c>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row>
    <row r="178" spans="1:131">
      <c r="A178" s="27"/>
      <c r="B178" s="27" t="s">
        <v>137</v>
      </c>
      <c r="C178" s="597">
        <v>0</v>
      </c>
      <c r="D178" s="597">
        <v>0</v>
      </c>
      <c r="E178" s="597">
        <v>0</v>
      </c>
      <c r="F178" s="597">
        <v>0</v>
      </c>
      <c r="G178" s="597">
        <v>0</v>
      </c>
      <c r="H178" s="597">
        <v>0</v>
      </c>
      <c r="I178" s="597">
        <v>0</v>
      </c>
      <c r="J178" s="597">
        <v>0</v>
      </c>
      <c r="K178" s="597">
        <v>0</v>
      </c>
      <c r="L178" s="598">
        <v>0</v>
      </c>
      <c r="M178" s="597">
        <v>0</v>
      </c>
      <c r="N178" s="597">
        <v>0</v>
      </c>
      <c r="O178" s="597">
        <v>0</v>
      </c>
      <c r="P178" s="597">
        <v>0</v>
      </c>
      <c r="Q178" s="597">
        <v>0</v>
      </c>
      <c r="R178" s="597">
        <v>0</v>
      </c>
      <c r="S178" s="597">
        <v>0</v>
      </c>
      <c r="T178" s="597">
        <v>0</v>
      </c>
      <c r="U178" s="597">
        <v>0</v>
      </c>
      <c r="V178" s="597">
        <v>0</v>
      </c>
      <c r="W178" s="597">
        <v>0</v>
      </c>
      <c r="X178" s="597">
        <v>0</v>
      </c>
      <c r="Y178" s="597">
        <v>0</v>
      </c>
      <c r="Z178" s="597"/>
      <c r="AA178" s="597">
        <v>0</v>
      </c>
      <c r="AB178" s="597">
        <v>0</v>
      </c>
      <c r="AC178" s="597">
        <v>0</v>
      </c>
      <c r="AD178" s="597">
        <v>0</v>
      </c>
      <c r="AE178" s="597">
        <v>0</v>
      </c>
      <c r="AF178" s="597">
        <v>0</v>
      </c>
      <c r="AG178" s="597">
        <v>0</v>
      </c>
      <c r="AH178" s="597">
        <v>0</v>
      </c>
      <c r="AI178" s="597">
        <v>0</v>
      </c>
      <c r="AJ178" s="597">
        <v>0</v>
      </c>
      <c r="AK178" s="597">
        <v>0</v>
      </c>
      <c r="AL178" s="597">
        <v>0</v>
      </c>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row>
    <row r="179" spans="1:131">
      <c r="A179" s="27"/>
      <c r="B179" s="27" t="s">
        <v>140</v>
      </c>
      <c r="C179" s="38">
        <v>112.79502984340607</v>
      </c>
      <c r="D179" s="38">
        <v>276.86270672839504</v>
      </c>
      <c r="E179" s="38">
        <v>55.372541345679011</v>
      </c>
      <c r="F179" s="38">
        <v>332.23524807407404</v>
      </c>
      <c r="G179" s="38">
        <v>240.05611690352094</v>
      </c>
      <c r="H179" s="38">
        <v>114.09464024584243</v>
      </c>
      <c r="I179" s="38">
        <v>25802.384884949144</v>
      </c>
      <c r="J179" s="38">
        <v>7.3647945682218499</v>
      </c>
      <c r="K179" s="38">
        <v>120.94732879824545</v>
      </c>
      <c r="L179" s="50">
        <v>0.4752954193310806</v>
      </c>
      <c r="M179" s="38">
        <v>1.0715647319861876</v>
      </c>
      <c r="N179" s="48">
        <v>12.691059095672639</v>
      </c>
      <c r="O179" s="48">
        <v>9.2100492434768437</v>
      </c>
      <c r="P179" s="48">
        <v>8.2940321512579267</v>
      </c>
      <c r="Q179" s="48">
        <v>6.6228539851154222</v>
      </c>
      <c r="R179" s="48">
        <v>2.7285213614994044</v>
      </c>
      <c r="S179" s="48">
        <v>0.76253682507497822</v>
      </c>
      <c r="T179" s="48">
        <v>0.18637372920965872</v>
      </c>
      <c r="U179" s="48">
        <v>0.15630637907169687</v>
      </c>
      <c r="V179" s="48">
        <v>1.480568387365911</v>
      </c>
      <c r="W179" s="48">
        <v>5.0805117158043664</v>
      </c>
      <c r="X179" s="48">
        <v>8.090571381865356</v>
      </c>
      <c r="Y179" s="48">
        <v>14.752032257492701</v>
      </c>
      <c r="Z179" s="48"/>
      <c r="AA179" s="48">
        <v>7.9920322872543963</v>
      </c>
      <c r="AB179" s="48">
        <v>5.9713171139789285</v>
      </c>
      <c r="AC179" s="48">
        <v>4.6107185588816364</v>
      </c>
      <c r="AD179" s="48">
        <v>3.9345328150575591</v>
      </c>
      <c r="AE179" s="48">
        <v>1.5454699962034646</v>
      </c>
      <c r="AF179" s="48">
        <v>0.3835497778499159</v>
      </c>
      <c r="AG179" s="48">
        <v>0.10342601400824392</v>
      </c>
      <c r="AH179" s="48">
        <v>6.9217972174985709E-2</v>
      </c>
      <c r="AI179" s="48">
        <v>0.84407627110921157</v>
      </c>
      <c r="AJ179" s="48">
        <v>2.6105890456247529</v>
      </c>
      <c r="AK179" s="48">
        <v>5.2702554645804982</v>
      </c>
      <c r="AL179" s="48">
        <v>9.4044280137755756</v>
      </c>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row>
    <row r="180" spans="1:131">
      <c r="A180" s="27"/>
      <c r="B180" s="27" t="s">
        <v>143</v>
      </c>
      <c r="C180" s="597">
        <v>0</v>
      </c>
      <c r="D180" s="597">
        <v>0</v>
      </c>
      <c r="E180" s="597">
        <v>0</v>
      </c>
      <c r="F180" s="597">
        <v>0</v>
      </c>
      <c r="G180" s="597">
        <v>0</v>
      </c>
      <c r="H180" s="597">
        <v>0</v>
      </c>
      <c r="I180" s="597">
        <v>0</v>
      </c>
      <c r="J180" s="597">
        <v>0</v>
      </c>
      <c r="K180" s="597">
        <v>0</v>
      </c>
      <c r="L180" s="598">
        <v>0</v>
      </c>
      <c r="M180" s="597">
        <v>0</v>
      </c>
      <c r="N180" s="597">
        <v>0</v>
      </c>
      <c r="O180" s="597">
        <v>0</v>
      </c>
      <c r="P180" s="597">
        <v>0</v>
      </c>
      <c r="Q180" s="597">
        <v>0</v>
      </c>
      <c r="R180" s="597">
        <v>0</v>
      </c>
      <c r="S180" s="597">
        <v>0</v>
      </c>
      <c r="T180" s="597">
        <v>0</v>
      </c>
      <c r="U180" s="597">
        <v>0</v>
      </c>
      <c r="V180" s="597">
        <v>0</v>
      </c>
      <c r="W180" s="597">
        <v>0</v>
      </c>
      <c r="X180" s="597">
        <v>0</v>
      </c>
      <c r="Y180" s="597">
        <v>0</v>
      </c>
      <c r="Z180" s="597"/>
      <c r="AA180" s="597">
        <v>0</v>
      </c>
      <c r="AB180" s="597">
        <v>0</v>
      </c>
      <c r="AC180" s="597">
        <v>0</v>
      </c>
      <c r="AD180" s="597">
        <v>0</v>
      </c>
      <c r="AE180" s="597">
        <v>0</v>
      </c>
      <c r="AF180" s="597">
        <v>0</v>
      </c>
      <c r="AG180" s="597">
        <v>0</v>
      </c>
      <c r="AH180" s="597">
        <v>0</v>
      </c>
      <c r="AI180" s="597">
        <v>0</v>
      </c>
      <c r="AJ180" s="597">
        <v>0</v>
      </c>
      <c r="AK180" s="597">
        <v>0</v>
      </c>
      <c r="AL180" s="597">
        <v>0</v>
      </c>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row>
    <row r="181" spans="1:131">
      <c r="A181" s="27"/>
      <c r="B181" s="27" t="s">
        <v>146</v>
      </c>
      <c r="C181" s="597">
        <v>0</v>
      </c>
      <c r="D181" s="597">
        <v>0</v>
      </c>
      <c r="E181" s="597">
        <v>0</v>
      </c>
      <c r="F181" s="597">
        <v>0</v>
      </c>
      <c r="G181" s="597">
        <v>0</v>
      </c>
      <c r="H181" s="597">
        <v>0</v>
      </c>
      <c r="I181" s="597">
        <v>0</v>
      </c>
      <c r="J181" s="597">
        <v>0</v>
      </c>
      <c r="K181" s="597">
        <v>0</v>
      </c>
      <c r="L181" s="598">
        <v>0</v>
      </c>
      <c r="M181" s="597">
        <v>0</v>
      </c>
      <c r="N181" s="597">
        <v>0</v>
      </c>
      <c r="O181" s="597">
        <v>0</v>
      </c>
      <c r="P181" s="597">
        <v>0</v>
      </c>
      <c r="Q181" s="597">
        <v>0</v>
      </c>
      <c r="R181" s="597">
        <v>0</v>
      </c>
      <c r="S181" s="597">
        <v>0</v>
      </c>
      <c r="T181" s="597">
        <v>0</v>
      </c>
      <c r="U181" s="597">
        <v>0</v>
      </c>
      <c r="V181" s="597">
        <v>0</v>
      </c>
      <c r="W181" s="597">
        <v>0</v>
      </c>
      <c r="X181" s="597">
        <v>0</v>
      </c>
      <c r="Y181" s="597">
        <v>0</v>
      </c>
      <c r="Z181" s="597"/>
      <c r="AA181" s="597">
        <v>0</v>
      </c>
      <c r="AB181" s="597">
        <v>0</v>
      </c>
      <c r="AC181" s="597">
        <v>0</v>
      </c>
      <c r="AD181" s="597">
        <v>0</v>
      </c>
      <c r="AE181" s="597">
        <v>0</v>
      </c>
      <c r="AF181" s="597">
        <v>0</v>
      </c>
      <c r="AG181" s="597">
        <v>0</v>
      </c>
      <c r="AH181" s="597">
        <v>0</v>
      </c>
      <c r="AI181" s="597">
        <v>0</v>
      </c>
      <c r="AJ181" s="597">
        <v>0</v>
      </c>
      <c r="AK181" s="597">
        <v>0</v>
      </c>
      <c r="AL181" s="597">
        <v>0</v>
      </c>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row>
    <row r="182" spans="1:131">
      <c r="A182" s="27"/>
      <c r="B182" s="27" t="s">
        <v>149</v>
      </c>
      <c r="C182" s="38">
        <v>241.69411598023601</v>
      </c>
      <c r="D182" s="38">
        <v>717.32610379629637</v>
      </c>
      <c r="E182" s="38">
        <v>143.46522075925927</v>
      </c>
      <c r="F182" s="38">
        <v>860.79132455555566</v>
      </c>
      <c r="G182" s="38">
        <v>621.9635756136679</v>
      </c>
      <c r="H182" s="38">
        <v>244.47888573269432</v>
      </c>
      <c r="I182" s="38">
        <v>31198.657743588916</v>
      </c>
      <c r="J182" s="38">
        <v>16.36149237613591</v>
      </c>
      <c r="K182" s="38">
        <v>153.69851090728022</v>
      </c>
      <c r="L182" s="50">
        <v>0.39324783671577934</v>
      </c>
      <c r="M182" s="38">
        <v>2.2961197046763364</v>
      </c>
      <c r="N182" s="48">
        <v>27.194055564681847</v>
      </c>
      <c r="O182" s="48">
        <v>19.735042520286267</v>
      </c>
      <c r="P182" s="48">
        <v>17.772226059011309</v>
      </c>
      <c r="Q182" s="48">
        <v>14.191271028705092</v>
      </c>
      <c r="R182" s="48">
        <v>5.846601213868472</v>
      </c>
      <c r="S182" s="48">
        <v>1.6339431275893832</v>
      </c>
      <c r="T182" s="48">
        <v>0.39935654776460605</v>
      </c>
      <c r="U182" s="48">
        <v>0.33492904930521583</v>
      </c>
      <c r="V182" s="48">
        <v>3.1725215909733349</v>
      </c>
      <c r="W182" s="48">
        <v>10.886382047004286</v>
      </c>
      <c r="X182" s="48">
        <v>17.336255867210603</v>
      </c>
      <c r="Y182" s="48">
        <v>31.610252688762941</v>
      </c>
      <c r="Z182" s="48"/>
      <c r="AA182" s="48">
        <v>17.125108980733842</v>
      </c>
      <c r="AB182" s="48">
        <v>12.795175577367532</v>
      </c>
      <c r="AC182" s="48">
        <v>9.879722073478499</v>
      </c>
      <c r="AD182" s="48">
        <v>8.4308096894941187</v>
      </c>
      <c r="AE182" s="48">
        <v>3.3115909896468851</v>
      </c>
      <c r="AF182" s="48">
        <v>0.82186001121281327</v>
      </c>
      <c r="AG182" s="48">
        <v>0.22161844417955404</v>
      </c>
      <c r="AH182" s="48">
        <v>0.14831838440047848</v>
      </c>
      <c r="AI182" s="48">
        <v>1.8086636303821249</v>
      </c>
      <c r="AJ182" s="48">
        <v>5.5938990613853576</v>
      </c>
      <c r="AK182" s="48">
        <v>11.292959780853824</v>
      </c>
      <c r="AL182" s="48">
        <v>20.151552051937617</v>
      </c>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row>
    <row r="183" spans="1:131">
      <c r="A183" s="27"/>
      <c r="B183" s="27" t="s">
        <v>152</v>
      </c>
      <c r="C183" s="38">
        <v>77.417109014497882</v>
      </c>
      <c r="D183" s="38">
        <v>239.1087012654321</v>
      </c>
      <c r="E183" s="38">
        <v>47.821740253086425</v>
      </c>
      <c r="F183" s="38">
        <v>286.93044151851853</v>
      </c>
      <c r="G183" s="38">
        <v>207.32119187122265</v>
      </c>
      <c r="H183" s="38">
        <v>78.309099382703494</v>
      </c>
      <c r="I183" s="38">
        <v>32467.121282344939</v>
      </c>
      <c r="J183" s="38">
        <v>18.476282238971319</v>
      </c>
      <c r="K183" s="38">
        <v>161.39709870014082</v>
      </c>
      <c r="L183" s="50">
        <v>0.37771874006659728</v>
      </c>
      <c r="M183" s="38">
        <v>0.73547073649819539</v>
      </c>
      <c r="N183" s="48">
        <v>8.7105354454282313</v>
      </c>
      <c r="O183" s="48">
        <v>6.3213369179566126</v>
      </c>
      <c r="P183" s="48">
        <v>5.6926266353678541</v>
      </c>
      <c r="Q183" s="48">
        <v>4.5456099410106754</v>
      </c>
      <c r="R183" s="48">
        <v>1.8727264488944519</v>
      </c>
      <c r="S183" s="48">
        <v>0.52336877428336226</v>
      </c>
      <c r="T183" s="48">
        <v>0.12791800606546089</v>
      </c>
      <c r="U183" s="48">
        <v>0.10728121624733444</v>
      </c>
      <c r="V183" s="48">
        <v>1.0161912666476125</v>
      </c>
      <c r="W183" s="48">
        <v>3.4870200388962758</v>
      </c>
      <c r="X183" s="48">
        <v>5.5529809028732044</v>
      </c>
      <c r="Y183" s="48">
        <v>10.12508876542902</v>
      </c>
      <c r="Z183" s="48"/>
      <c r="AA183" s="48">
        <v>5.4853483853741851</v>
      </c>
      <c r="AB183" s="48">
        <v>4.0984262215705094</v>
      </c>
      <c r="AC183" s="48">
        <v>3.1645765048660546</v>
      </c>
      <c r="AD183" s="48">
        <v>2.7004749791485345</v>
      </c>
      <c r="AE183" s="48">
        <v>1.0607366241298413</v>
      </c>
      <c r="AF183" s="48">
        <v>0.26325020708374092</v>
      </c>
      <c r="AG183" s="48">
        <v>7.0986665037699681E-2</v>
      </c>
      <c r="AH183" s="48">
        <v>4.7507902653803093E-2</v>
      </c>
      <c r="AI183" s="48">
        <v>0.57933354676826476</v>
      </c>
      <c r="AJ183" s="48">
        <v>1.7917833526687112</v>
      </c>
      <c r="AK183" s="48">
        <v>3.6172510650701653</v>
      </c>
      <c r="AL183" s="48">
        <v>6.4547492010262868</v>
      </c>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row>
    <row r="184" spans="1:131">
      <c r="A184" s="27"/>
      <c r="B184" s="27" t="s">
        <v>155</v>
      </c>
      <c r="C184" s="597">
        <v>0</v>
      </c>
      <c r="D184" s="597">
        <v>0</v>
      </c>
      <c r="E184" s="597">
        <v>0</v>
      </c>
      <c r="F184" s="597">
        <v>0</v>
      </c>
      <c r="G184" s="597">
        <v>0</v>
      </c>
      <c r="H184" s="597">
        <v>0</v>
      </c>
      <c r="I184" s="597">
        <v>0</v>
      </c>
      <c r="J184" s="597">
        <v>0</v>
      </c>
      <c r="K184" s="597">
        <v>0</v>
      </c>
      <c r="L184" s="598">
        <v>0</v>
      </c>
      <c r="M184" s="597">
        <v>0</v>
      </c>
      <c r="N184" s="597">
        <v>0</v>
      </c>
      <c r="O184" s="597">
        <v>0</v>
      </c>
      <c r="P184" s="597">
        <v>0</v>
      </c>
      <c r="Q184" s="597">
        <v>0</v>
      </c>
      <c r="R184" s="597">
        <v>0</v>
      </c>
      <c r="S184" s="597">
        <v>0</v>
      </c>
      <c r="T184" s="597">
        <v>0</v>
      </c>
      <c r="U184" s="597">
        <v>0</v>
      </c>
      <c r="V184" s="597">
        <v>0</v>
      </c>
      <c r="W184" s="597">
        <v>0</v>
      </c>
      <c r="X184" s="597">
        <v>0</v>
      </c>
      <c r="Y184" s="597">
        <v>0</v>
      </c>
      <c r="Z184" s="597"/>
      <c r="AA184" s="597">
        <v>0</v>
      </c>
      <c r="AB184" s="597">
        <v>0</v>
      </c>
      <c r="AC184" s="597">
        <v>0</v>
      </c>
      <c r="AD184" s="597">
        <v>0</v>
      </c>
      <c r="AE184" s="597">
        <v>0</v>
      </c>
      <c r="AF184" s="597">
        <v>0</v>
      </c>
      <c r="AG184" s="597">
        <v>0</v>
      </c>
      <c r="AH184" s="597">
        <v>0</v>
      </c>
      <c r="AI184" s="597">
        <v>0</v>
      </c>
      <c r="AJ184" s="597">
        <v>0</v>
      </c>
      <c r="AK184" s="597">
        <v>0</v>
      </c>
      <c r="AL184" s="597">
        <v>0</v>
      </c>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row>
    <row r="185" spans="1:131">
      <c r="A185" s="27"/>
      <c r="B185" s="27" t="s">
        <v>158</v>
      </c>
      <c r="C185" s="597">
        <v>0</v>
      </c>
      <c r="D185" s="597">
        <v>0</v>
      </c>
      <c r="E185" s="597">
        <v>0</v>
      </c>
      <c r="F185" s="597">
        <v>0</v>
      </c>
      <c r="G185" s="597">
        <v>0</v>
      </c>
      <c r="H185" s="597">
        <v>0</v>
      </c>
      <c r="I185" s="597">
        <v>0</v>
      </c>
      <c r="J185" s="597">
        <v>0</v>
      </c>
      <c r="K185" s="597">
        <v>0</v>
      </c>
      <c r="L185" s="598">
        <v>0</v>
      </c>
      <c r="M185" s="597">
        <v>0</v>
      </c>
      <c r="N185" s="597">
        <v>0</v>
      </c>
      <c r="O185" s="597">
        <v>0</v>
      </c>
      <c r="P185" s="597">
        <v>0</v>
      </c>
      <c r="Q185" s="597">
        <v>0</v>
      </c>
      <c r="R185" s="597">
        <v>0</v>
      </c>
      <c r="S185" s="597">
        <v>0</v>
      </c>
      <c r="T185" s="597">
        <v>0</v>
      </c>
      <c r="U185" s="597">
        <v>0</v>
      </c>
      <c r="V185" s="597">
        <v>0</v>
      </c>
      <c r="W185" s="597">
        <v>0</v>
      </c>
      <c r="X185" s="597">
        <v>0</v>
      </c>
      <c r="Y185" s="597">
        <v>0</v>
      </c>
      <c r="Z185" s="597"/>
      <c r="AA185" s="597">
        <v>0</v>
      </c>
      <c r="AB185" s="597">
        <v>0</v>
      </c>
      <c r="AC185" s="597">
        <v>0</v>
      </c>
      <c r="AD185" s="597">
        <v>0</v>
      </c>
      <c r="AE185" s="597">
        <v>0</v>
      </c>
      <c r="AF185" s="597">
        <v>0</v>
      </c>
      <c r="AG185" s="597">
        <v>0</v>
      </c>
      <c r="AH185" s="597">
        <v>0</v>
      </c>
      <c r="AI185" s="597">
        <v>0</v>
      </c>
      <c r="AJ185" s="597">
        <v>0</v>
      </c>
      <c r="AK185" s="597">
        <v>0</v>
      </c>
      <c r="AL185" s="597">
        <v>0</v>
      </c>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row>
    <row r="186" spans="1:131">
      <c r="A186" s="27"/>
      <c r="B186" s="27" t="s">
        <v>161</v>
      </c>
      <c r="C186" s="38">
        <v>173.59575203746954</v>
      </c>
      <c r="D186" s="38">
        <v>616.64875589506164</v>
      </c>
      <c r="E186" s="38">
        <v>123.32975117901233</v>
      </c>
      <c r="F186" s="38">
        <v>739.97850707407395</v>
      </c>
      <c r="G186" s="38">
        <v>534.67044219420575</v>
      </c>
      <c r="H186" s="38">
        <v>175.5959008514719</v>
      </c>
      <c r="I186" s="38">
        <v>37340.842998103682</v>
      </c>
      <c r="J186" s="38">
        <v>26.601779711981298</v>
      </c>
      <c r="K186" s="38">
        <v>190.97680151409514</v>
      </c>
      <c r="L186" s="50">
        <v>0.32841894182676934</v>
      </c>
      <c r="M186" s="38">
        <v>1.6491780335022097</v>
      </c>
      <c r="N186" s="48">
        <v>19.532012633214908</v>
      </c>
      <c r="O186" s="48">
        <v>14.174608818696605</v>
      </c>
      <c r="P186" s="48">
        <v>12.764824396247469</v>
      </c>
      <c r="Q186" s="48">
        <v>10.192818954670232</v>
      </c>
      <c r="R186" s="48">
        <v>4.1992960005185838</v>
      </c>
      <c r="S186" s="48">
        <v>1.1735725748637114</v>
      </c>
      <c r="T186" s="48">
        <v>0.2868361108383517</v>
      </c>
      <c r="U186" s="48">
        <v>0.24056133910222335</v>
      </c>
      <c r="V186" s="48">
        <v>2.2786498926815444</v>
      </c>
      <c r="W186" s="48">
        <v>7.8190967568753429</v>
      </c>
      <c r="X186" s="48">
        <v>12.451690694152081</v>
      </c>
      <c r="Y186" s="48">
        <v>22.703927091253508</v>
      </c>
      <c r="Z186" s="48"/>
      <c r="AA186" s="48">
        <v>12.300035357406934</v>
      </c>
      <c r="AB186" s="48">
        <v>9.1900794431677983</v>
      </c>
      <c r="AC186" s="48">
        <v>7.0960675906853048</v>
      </c>
      <c r="AD186" s="48">
        <v>6.055392546056833</v>
      </c>
      <c r="AE186" s="48">
        <v>2.3785358859760923</v>
      </c>
      <c r="AF186" s="48">
        <v>0.59029739361829614</v>
      </c>
      <c r="AG186" s="48">
        <v>0.15917648771337739</v>
      </c>
      <c r="AH186" s="48">
        <v>0.10652903723601197</v>
      </c>
      <c r="AI186" s="48">
        <v>1.2990648192886893</v>
      </c>
      <c r="AJ186" s="48">
        <v>4.0177937739381866</v>
      </c>
      <c r="AK186" s="48">
        <v>8.1111194533445943</v>
      </c>
      <c r="AL186" s="48">
        <v>14.473764985922879</v>
      </c>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row>
    <row r="187" spans="1:131">
      <c r="A187" s="27"/>
      <c r="B187" s="27" t="s">
        <v>164</v>
      </c>
      <c r="C187" s="38">
        <v>506.00709471194631</v>
      </c>
      <c r="D187" s="38">
        <v>2635.656625122137</v>
      </c>
      <c r="E187" s="38">
        <v>527.1313250244275</v>
      </c>
      <c r="F187" s="38">
        <v>3162.7879501465645</v>
      </c>
      <c r="G187" s="38">
        <v>2285.2680391460212</v>
      </c>
      <c r="H187" s="38">
        <v>511.8372459598088</v>
      </c>
      <c r="I187" s="38">
        <v>54754.217347596794</v>
      </c>
      <c r="J187" s="38">
        <v>55.633459714530609</v>
      </c>
      <c r="K187" s="38">
        <v>296.66244962581817</v>
      </c>
      <c r="L187" s="50">
        <v>0.23585528768599748</v>
      </c>
      <c r="M187" s="38">
        <v>4.807121001527122</v>
      </c>
      <c r="N187" s="48">
        <v>56.933057695310723</v>
      </c>
      <c r="O187" s="48">
        <v>41.31698237338707</v>
      </c>
      <c r="P187" s="48">
        <v>37.207659930867443</v>
      </c>
      <c r="Q187" s="48">
        <v>29.710627395215855</v>
      </c>
      <c r="R187" s="48">
        <v>12.240354640701481</v>
      </c>
      <c r="S187" s="48">
        <v>3.4207982745581753</v>
      </c>
      <c r="T187" s="48">
        <v>0.83608674406076688</v>
      </c>
      <c r="U187" s="48">
        <v>0.70120232131519911</v>
      </c>
      <c r="V187" s="48">
        <v>6.6419425506023089</v>
      </c>
      <c r="W187" s="48">
        <v>22.791562505308903</v>
      </c>
      <c r="X187" s="48">
        <v>36.294919423141863</v>
      </c>
      <c r="Y187" s="48">
        <v>66.178740269619894</v>
      </c>
      <c r="Z187" s="48"/>
      <c r="AA187" s="48">
        <v>35.852865539660833</v>
      </c>
      <c r="AB187" s="48">
        <v>26.787783368141358</v>
      </c>
      <c r="AC187" s="48">
        <v>20.684034622386669</v>
      </c>
      <c r="AD187" s="48">
        <v>17.650613875097779</v>
      </c>
      <c r="AE187" s="48">
        <v>6.9330961109640965</v>
      </c>
      <c r="AF187" s="48">
        <v>1.720633515826798</v>
      </c>
      <c r="AG187" s="48">
        <v>0.46397697610084898</v>
      </c>
      <c r="AH187" s="48">
        <v>0.31051709504170483</v>
      </c>
      <c r="AI187" s="48">
        <v>3.7865904397757806</v>
      </c>
      <c r="AJ187" s="48">
        <v>11.711301289581041</v>
      </c>
      <c r="AK187" s="48">
        <v>23.642767413816465</v>
      </c>
      <c r="AL187" s="48">
        <v>42.188980341463242</v>
      </c>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row>
    <row r="188" spans="1:131">
      <c r="A188" s="27"/>
      <c r="B188" s="27"/>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row>
    <row r="189" spans="1:131">
      <c r="A189" s="27"/>
      <c r="B189" s="27"/>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row>
    <row r="190" spans="1:131" ht="13.5" thickBot="1">
      <c r="A190" s="36" t="s">
        <v>30</v>
      </c>
      <c r="B190" s="37"/>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row>
    <row r="191" spans="1:131" ht="13.5" thickBot="1">
      <c r="A191" s="39"/>
      <c r="B191" s="40"/>
      <c r="C191" s="41"/>
      <c r="D191" s="41"/>
      <c r="E191" s="41"/>
      <c r="F191" s="41"/>
      <c r="G191" s="41"/>
      <c r="H191" s="41"/>
      <c r="I191" s="41"/>
      <c r="J191" s="41"/>
      <c r="K191" s="41"/>
      <c r="L191" s="41"/>
      <c r="M191" s="41"/>
      <c r="N191" s="41"/>
      <c r="O191" s="42" t="s">
        <v>2169</v>
      </c>
      <c r="P191" s="43"/>
      <c r="Q191" s="43"/>
      <c r="R191" s="43"/>
      <c r="S191" s="43"/>
      <c r="T191" s="43"/>
      <c r="U191" s="43"/>
      <c r="V191" s="43"/>
      <c r="W191" s="43"/>
      <c r="X191" s="43"/>
      <c r="Y191" s="43"/>
      <c r="Z191" s="44"/>
      <c r="AA191" s="41"/>
      <c r="AB191" s="42" t="s">
        <v>2170</v>
      </c>
      <c r="AC191" s="43"/>
      <c r="AD191" s="43"/>
      <c r="AE191" s="43"/>
      <c r="AF191" s="43"/>
      <c r="AG191" s="43"/>
      <c r="AH191" s="43"/>
      <c r="AI191" s="43"/>
      <c r="AJ191" s="43"/>
      <c r="AK191" s="43"/>
      <c r="AL191" s="43"/>
      <c r="AM191" s="44"/>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row>
    <row r="192" spans="1:131" ht="204">
      <c r="A192" s="45" t="s">
        <v>31</v>
      </c>
      <c r="B192" s="46" t="s">
        <v>32</v>
      </c>
      <c r="C192" s="47" t="s">
        <v>33</v>
      </c>
      <c r="D192" s="47" t="s">
        <v>34</v>
      </c>
      <c r="E192" s="47" t="s">
        <v>35</v>
      </c>
      <c r="F192" s="47" t="s">
        <v>36</v>
      </c>
      <c r="G192" s="47" t="s">
        <v>37</v>
      </c>
      <c r="H192" s="47" t="s">
        <v>38</v>
      </c>
      <c r="I192" s="47" t="s">
        <v>39</v>
      </c>
      <c r="J192" s="47" t="s">
        <v>40</v>
      </c>
      <c r="K192" s="47" t="s">
        <v>41</v>
      </c>
      <c r="L192" s="47" t="s">
        <v>42</v>
      </c>
      <c r="M192" s="47" t="s">
        <v>43</v>
      </c>
      <c r="N192" s="47" t="s">
        <v>2171</v>
      </c>
      <c r="O192" s="47" t="s">
        <v>44</v>
      </c>
      <c r="P192" s="47" t="s">
        <v>45</v>
      </c>
      <c r="Q192" s="47" t="s">
        <v>46</v>
      </c>
      <c r="R192" s="47" t="s">
        <v>47</v>
      </c>
      <c r="S192" s="47" t="s">
        <v>48</v>
      </c>
      <c r="T192" s="47" t="s">
        <v>49</v>
      </c>
      <c r="U192" s="47" t="s">
        <v>50</v>
      </c>
      <c r="V192" s="47" t="s">
        <v>51</v>
      </c>
      <c r="W192" s="47" t="s">
        <v>52</v>
      </c>
      <c r="X192" s="47" t="s">
        <v>53</v>
      </c>
      <c r="Y192" s="47" t="s">
        <v>54</v>
      </c>
      <c r="Z192" s="47" t="s">
        <v>55</v>
      </c>
      <c r="AA192" s="47"/>
      <c r="AB192" s="47" t="s">
        <v>44</v>
      </c>
      <c r="AC192" s="47" t="s">
        <v>45</v>
      </c>
      <c r="AD192" s="47" t="s">
        <v>46</v>
      </c>
      <c r="AE192" s="47" t="s">
        <v>47</v>
      </c>
      <c r="AF192" s="47" t="s">
        <v>48</v>
      </c>
      <c r="AG192" s="47" t="s">
        <v>49</v>
      </c>
      <c r="AH192" s="47" t="s">
        <v>50</v>
      </c>
      <c r="AI192" s="47" t="s">
        <v>51</v>
      </c>
      <c r="AJ192" s="47" t="s">
        <v>52</v>
      </c>
      <c r="AK192" s="47" t="s">
        <v>53</v>
      </c>
      <c r="AL192" s="47" t="s">
        <v>54</v>
      </c>
      <c r="AM192" s="47" t="s">
        <v>55</v>
      </c>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row>
    <row r="193" spans="1:131">
      <c r="A193" s="27" t="s">
        <v>234</v>
      </c>
      <c r="B193" s="27"/>
      <c r="C193" s="48">
        <v>805.93621817691815</v>
      </c>
      <c r="D193" s="48">
        <v>414.11354893012162</v>
      </c>
      <c r="E193" s="48">
        <v>82.822709786024333</v>
      </c>
      <c r="F193" s="48">
        <v>496.93625871614597</v>
      </c>
      <c r="G193" s="48">
        <v>359.06060331492699</v>
      </c>
      <c r="H193" s="48">
        <v>815.22211574081825</v>
      </c>
      <c r="I193" s="48">
        <v>5401.3723768371929</v>
      </c>
      <c r="J193" s="48">
        <v>-26.647893321920041</v>
      </c>
      <c r="K193" s="48">
        <v>-2.8709608555309631</v>
      </c>
      <c r="L193" s="49">
        <v>2.2704304181926593</v>
      </c>
      <c r="M193" s="48">
        <v>7.6564794461925132</v>
      </c>
      <c r="N193" s="48">
        <v>0.42014353020344541</v>
      </c>
      <c r="O193" s="48">
        <v>90.679387083154523</v>
      </c>
      <c r="P193" s="48">
        <v>65.807086241440828</v>
      </c>
      <c r="Q193" s="48">
        <v>59.262016373439991</v>
      </c>
      <c r="R193" s="48">
        <v>47.321215320498339</v>
      </c>
      <c r="S193" s="48">
        <v>19.495665636639032</v>
      </c>
      <c r="T193" s="48">
        <v>5.4484319555103946</v>
      </c>
      <c r="U193" s="48">
        <v>1.331666286141262</v>
      </c>
      <c r="V193" s="48">
        <v>1.116830876332584</v>
      </c>
      <c r="W193" s="48">
        <v>10.578867601902028</v>
      </c>
      <c r="X193" s="48">
        <v>36.300964717358632</v>
      </c>
      <c r="Y193" s="48">
        <v>57.80826080230122</v>
      </c>
      <c r="Z193" s="48">
        <v>105.40532773947049</v>
      </c>
      <c r="AA193" s="48"/>
      <c r="AB193" s="48">
        <v>57.104185229436112</v>
      </c>
      <c r="AC193" s="48">
        <v>42.665893515490062</v>
      </c>
      <c r="AD193" s="48">
        <v>32.944227095662484</v>
      </c>
      <c r="AE193" s="48">
        <v>28.112785657867768</v>
      </c>
      <c r="AF193" s="48">
        <v>11.042598647966319</v>
      </c>
      <c r="AG193" s="48">
        <v>2.7405166510626096</v>
      </c>
      <c r="AH193" s="48">
        <v>0.73899329346903786</v>
      </c>
      <c r="AI193" s="48">
        <v>0.49457206405308923</v>
      </c>
      <c r="AJ193" s="48">
        <v>6.0310426685914953</v>
      </c>
      <c r="AK193" s="48">
        <v>18.653022793343407</v>
      </c>
      <c r="AL193" s="48">
        <v>37.656710263271847</v>
      </c>
      <c r="AM193" s="38">
        <v>67.195949662514664</v>
      </c>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row>
    <row r="194" spans="1:131">
      <c r="A194" s="27" t="s">
        <v>223</v>
      </c>
      <c r="B194" s="27"/>
      <c r="C194" s="48">
        <v>712.3575717659503</v>
      </c>
      <c r="D194" s="48">
        <v>414.11354893012168</v>
      </c>
      <c r="E194" s="48">
        <v>82.822709786024348</v>
      </c>
      <c r="F194" s="48">
        <v>496.93625871614603</v>
      </c>
      <c r="G194" s="48">
        <v>359.06060331492705</v>
      </c>
      <c r="H194" s="48">
        <v>720.56526772388929</v>
      </c>
      <c r="I194" s="48">
        <v>6110.9220971173991</v>
      </c>
      <c r="J194" s="48">
        <v>-25.464927860336605</v>
      </c>
      <c r="K194" s="48">
        <v>1.4354544635360371</v>
      </c>
      <c r="L194" s="49">
        <v>2.0068068205519376</v>
      </c>
      <c r="M194" s="48">
        <v>6.767472392422401</v>
      </c>
      <c r="N194" s="48">
        <v>0.37135993918466664</v>
      </c>
      <c r="O194" s="48">
        <v>80.150446815631966</v>
      </c>
      <c r="P194" s="48">
        <v>58.166111787340746</v>
      </c>
      <c r="Q194" s="48">
        <v>52.381001287214204</v>
      </c>
      <c r="R194" s="48">
        <v>41.82666727024295</v>
      </c>
      <c r="S194" s="48">
        <v>17.231990224105314</v>
      </c>
      <c r="T194" s="48">
        <v>4.8158051099117989</v>
      </c>
      <c r="U194" s="48">
        <v>1.1770442134292198</v>
      </c>
      <c r="V194" s="48">
        <v>0.98715371414524589</v>
      </c>
      <c r="W194" s="48">
        <v>9.3505370114414319</v>
      </c>
      <c r="X194" s="48">
        <v>32.085997000251993</v>
      </c>
      <c r="Y194" s="48">
        <v>51.096043786557125</v>
      </c>
      <c r="Z194" s="48">
        <v>93.166533065772342</v>
      </c>
      <c r="AA194" s="48"/>
      <c r="AB194" s="48">
        <v>50.473719644628794</v>
      </c>
      <c r="AC194" s="48">
        <v>37.711882921294887</v>
      </c>
      <c r="AD194" s="48">
        <v>29.119015982007237</v>
      </c>
      <c r="AE194" s="48">
        <v>24.848561555052434</v>
      </c>
      <c r="AF194" s="48">
        <v>9.7604234447302822</v>
      </c>
      <c r="AG194" s="48">
        <v>2.4223105289289335</v>
      </c>
      <c r="AH194" s="48">
        <v>0.65318750567847716</v>
      </c>
      <c r="AI194" s="48">
        <v>0.43714644740633002</v>
      </c>
      <c r="AJ194" s="48">
        <v>5.3307678867356287</v>
      </c>
      <c r="AK194" s="48">
        <v>16.487188096867673</v>
      </c>
      <c r="AL194" s="48">
        <v>33.2843245890082</v>
      </c>
      <c r="AM194" s="38">
        <v>59.393711877567149</v>
      </c>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row>
    <row r="195" spans="1:131">
      <c r="A195" s="27" t="s">
        <v>239</v>
      </c>
      <c r="B195" s="27"/>
      <c r="C195" s="48">
        <v>5262.5321950170346</v>
      </c>
      <c r="D195" s="48">
        <v>4101.7368570659019</v>
      </c>
      <c r="E195" s="48">
        <v>820.34737141318044</v>
      </c>
      <c r="F195" s="48">
        <v>4922.0842284790824</v>
      </c>
      <c r="G195" s="48">
        <v>3556.4451207696993</v>
      </c>
      <c r="H195" s="48">
        <v>5323.1664409877594</v>
      </c>
      <c r="I195" s="48">
        <v>8193.2910324622135</v>
      </c>
      <c r="J195" s="48">
        <v>-21.993190139385352</v>
      </c>
      <c r="K195" s="48">
        <v>14.073815422337896</v>
      </c>
      <c r="L195" s="49">
        <v>1.49676608529691</v>
      </c>
      <c r="M195" s="48">
        <v>49.994613317190961</v>
      </c>
      <c r="N195" s="48">
        <v>2.7434166679159997</v>
      </c>
      <c r="O195" s="48">
        <v>592.1103719956626</v>
      </c>
      <c r="P195" s="48">
        <v>429.70138603427654</v>
      </c>
      <c r="Q195" s="48">
        <v>386.96395827987669</v>
      </c>
      <c r="R195" s="48">
        <v>308.99395450272368</v>
      </c>
      <c r="S195" s="48">
        <v>127.30110120647078</v>
      </c>
      <c r="T195" s="48">
        <v>35.576696929060091</v>
      </c>
      <c r="U195" s="48">
        <v>8.6953986503914447</v>
      </c>
      <c r="V195" s="48">
        <v>7.2925850836984241</v>
      </c>
      <c r="W195" s="48">
        <v>69.076969226876329</v>
      </c>
      <c r="X195" s="48">
        <v>237.03488095796368</v>
      </c>
      <c r="Y195" s="48">
        <v>377.47135163898281</v>
      </c>
      <c r="Z195" s="48">
        <v>688.26653802710564</v>
      </c>
      <c r="AA195" s="48"/>
      <c r="AB195" s="48">
        <v>372.87394022309041</v>
      </c>
      <c r="AC195" s="48">
        <v>278.59603922794082</v>
      </c>
      <c r="AD195" s="48">
        <v>215.11634769690716</v>
      </c>
      <c r="AE195" s="48">
        <v>183.56842176767105</v>
      </c>
      <c r="AF195" s="48">
        <v>72.104999863422989</v>
      </c>
      <c r="AG195" s="48">
        <v>17.894787182813186</v>
      </c>
      <c r="AH195" s="48">
        <v>4.8254141097909811</v>
      </c>
      <c r="AI195" s="48">
        <v>3.2294136324123692</v>
      </c>
      <c r="AJ195" s="48">
        <v>39.380977671879471</v>
      </c>
      <c r="AK195" s="48">
        <v>121.79888528450253</v>
      </c>
      <c r="AL195" s="48">
        <v>245.88751026373967</v>
      </c>
      <c r="AM195" s="38">
        <v>438.77026555977534</v>
      </c>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row>
    <row r="196" spans="1:131">
      <c r="A196" s="27" t="s">
        <v>237</v>
      </c>
      <c r="B196" s="27"/>
      <c r="C196" s="48">
        <v>4839.7481812685928</v>
      </c>
      <c r="D196" s="48">
        <v>3865.0968570659024</v>
      </c>
      <c r="E196" s="48">
        <v>773.01937141318058</v>
      </c>
      <c r="F196" s="48">
        <v>4638.1162284790826</v>
      </c>
      <c r="G196" s="48">
        <v>3351.264436901803</v>
      </c>
      <c r="H196" s="48">
        <v>4895.5111620513526</v>
      </c>
      <c r="I196" s="48">
        <v>8395.0438410675488</v>
      </c>
      <c r="J196" s="48">
        <v>-21.656826671771988</v>
      </c>
      <c r="K196" s="48">
        <v>15.298298162320789</v>
      </c>
      <c r="L196" s="49">
        <v>1.4607952473536179</v>
      </c>
      <c r="M196" s="48">
        <v>45.978120400709159</v>
      </c>
      <c r="N196" s="48">
        <v>2.5230146509280265</v>
      </c>
      <c r="O196" s="48">
        <v>544.54110488667561</v>
      </c>
      <c r="P196" s="48">
        <v>395.17981543507727</v>
      </c>
      <c r="Q196" s="48">
        <v>355.8758490969131</v>
      </c>
      <c r="R196" s="48">
        <v>284.16983952013749</v>
      </c>
      <c r="S196" s="48">
        <v>117.07391996972129</v>
      </c>
      <c r="T196" s="48">
        <v>32.718517982844411</v>
      </c>
      <c r="U196" s="48">
        <v>7.9968232486036408</v>
      </c>
      <c r="V196" s="48">
        <v>6.7067096385643437</v>
      </c>
      <c r="W196" s="48">
        <v>63.527428202696086</v>
      </c>
      <c r="X196" s="48">
        <v>217.99185097618368</v>
      </c>
      <c r="Y196" s="48">
        <v>347.14586436270747</v>
      </c>
      <c r="Z196" s="48">
        <v>632.97222747611772</v>
      </c>
      <c r="AA196" s="48"/>
      <c r="AB196" s="48">
        <v>342.91780214587635</v>
      </c>
      <c r="AC196" s="48">
        <v>256.21404757176896</v>
      </c>
      <c r="AD196" s="48">
        <v>197.83422009523281</v>
      </c>
      <c r="AE196" s="48">
        <v>168.82080763888919</v>
      </c>
      <c r="AF196" s="48">
        <v>66.31219135909609</v>
      </c>
      <c r="AG196" s="48">
        <v>16.457146581300549</v>
      </c>
      <c r="AH196" s="48">
        <v>4.4377475132298194</v>
      </c>
      <c r="AI196" s="48">
        <v>2.969967341735412</v>
      </c>
      <c r="AJ196" s="48">
        <v>36.217168465881628</v>
      </c>
      <c r="AK196" s="48">
        <v>112.01374389583283</v>
      </c>
      <c r="AL196" s="48">
        <v>226.13327320304299</v>
      </c>
      <c r="AM196" s="38">
        <v>403.52011466046463</v>
      </c>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row>
    <row r="197" spans="1:131">
      <c r="A197" s="27" t="s">
        <v>228</v>
      </c>
      <c r="B197" s="27"/>
      <c r="C197" s="48">
        <v>4647.967050968954</v>
      </c>
      <c r="D197" s="48">
        <v>4101.7368570659019</v>
      </c>
      <c r="E197" s="48">
        <v>820.34737141318044</v>
      </c>
      <c r="F197" s="48">
        <v>4922.0842284790824</v>
      </c>
      <c r="G197" s="48">
        <v>3556.4451207696993</v>
      </c>
      <c r="H197" s="48">
        <v>4701.5203532554715</v>
      </c>
      <c r="I197" s="48">
        <v>9276.6272584673625</v>
      </c>
      <c r="J197" s="48">
        <v>-20.187045619815759</v>
      </c>
      <c r="K197" s="48">
        <v>20.648824313224956</v>
      </c>
      <c r="L197" s="49">
        <v>1.3219718549285391</v>
      </c>
      <c r="M197" s="48">
        <v>44.156179347323715</v>
      </c>
      <c r="N197" s="48">
        <v>2.423037010894967</v>
      </c>
      <c r="O197" s="48">
        <v>522.96297629850449</v>
      </c>
      <c r="P197" s="48">
        <v>379.52031646174919</v>
      </c>
      <c r="Q197" s="48">
        <v>341.77381939828115</v>
      </c>
      <c r="R197" s="48">
        <v>272.90925095663209</v>
      </c>
      <c r="S197" s="48">
        <v>112.43471812295962</v>
      </c>
      <c r="T197" s="48">
        <v>31.422005411226642</v>
      </c>
      <c r="U197" s="48">
        <v>7.6799390339745974</v>
      </c>
      <c r="V197" s="48">
        <v>6.4409478040843089</v>
      </c>
      <c r="W197" s="48">
        <v>61.010073677331356</v>
      </c>
      <c r="X197" s="48">
        <v>209.3536487370406</v>
      </c>
      <c r="Y197" s="48">
        <v>333.38977132795077</v>
      </c>
      <c r="Z197" s="48">
        <v>607.88990403964692</v>
      </c>
      <c r="AA197" s="48"/>
      <c r="AB197" s="48">
        <v>329.32925141302275</v>
      </c>
      <c r="AC197" s="48">
        <v>246.06124254936395</v>
      </c>
      <c r="AD197" s="48">
        <v>189.99478942223729</v>
      </c>
      <c r="AE197" s="48">
        <v>162.13107005452636</v>
      </c>
      <c r="AF197" s="48">
        <v>63.684487078796131</v>
      </c>
      <c r="AG197" s="48">
        <v>15.805011376191308</v>
      </c>
      <c r="AH197" s="48">
        <v>4.2618961667970501</v>
      </c>
      <c r="AI197" s="48">
        <v>2.852278637195885</v>
      </c>
      <c r="AJ197" s="48">
        <v>34.782017452958755</v>
      </c>
      <c r="AK197" s="48">
        <v>107.57505791283479</v>
      </c>
      <c r="AL197" s="48">
        <v>217.17245683224803</v>
      </c>
      <c r="AM197" s="38">
        <v>387.53012080340011</v>
      </c>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row>
    <row r="198" spans="1:131">
      <c r="A198" s="27" t="s">
        <v>226</v>
      </c>
      <c r="B198" s="27"/>
      <c r="C198" s="48">
        <v>4279.6475547618102</v>
      </c>
      <c r="D198" s="48">
        <v>3865.0968570659024</v>
      </c>
      <c r="E198" s="48">
        <v>773.01937141318058</v>
      </c>
      <c r="F198" s="48">
        <v>4638.1162284790826</v>
      </c>
      <c r="G198" s="48">
        <v>3351.264436901803</v>
      </c>
      <c r="H198" s="48">
        <v>4328.9571253045115</v>
      </c>
      <c r="I198" s="48">
        <v>9493.7486420509886</v>
      </c>
      <c r="J198" s="48">
        <v>-19.825059573722751</v>
      </c>
      <c r="K198" s="48">
        <v>21.96658235841495</v>
      </c>
      <c r="L198" s="49">
        <v>1.2917384488186112</v>
      </c>
      <c r="M198" s="48">
        <v>40.657105116957069</v>
      </c>
      <c r="N198" s="48">
        <v>2.2310279537399578</v>
      </c>
      <c r="O198" s="48">
        <v>481.52174879989326</v>
      </c>
      <c r="P198" s="48">
        <v>349.44593550622443</v>
      </c>
      <c r="Q198" s="48">
        <v>314.69058933292945</v>
      </c>
      <c r="R198" s="48">
        <v>251.28306541780367</v>
      </c>
      <c r="S198" s="48">
        <v>103.52503819598863</v>
      </c>
      <c r="T198" s="48">
        <v>28.932027088237351</v>
      </c>
      <c r="U198" s="48">
        <v>7.0713565623528556</v>
      </c>
      <c r="V198" s="48">
        <v>5.9305468859447776</v>
      </c>
      <c r="W198" s="48">
        <v>56.175443966324501</v>
      </c>
      <c r="X198" s="48">
        <v>192.76380857974442</v>
      </c>
      <c r="Y198" s="48">
        <v>306.97091954402362</v>
      </c>
      <c r="Z198" s="48">
        <v>559.71880025382802</v>
      </c>
      <c r="AA198" s="48"/>
      <c r="AB198" s="48">
        <v>303.23216797061036</v>
      </c>
      <c r="AC198" s="48">
        <v>226.56257745598893</v>
      </c>
      <c r="AD198" s="48">
        <v>174.93900603250941</v>
      </c>
      <c r="AE198" s="48">
        <v>149.28329523444467</v>
      </c>
      <c r="AF198" s="48">
        <v>58.637928456530794</v>
      </c>
      <c r="AG198" s="48">
        <v>14.552572672605102</v>
      </c>
      <c r="AH198" s="48">
        <v>3.9241701390889565</v>
      </c>
      <c r="AI198" s="48">
        <v>2.6262551264493146</v>
      </c>
      <c r="AJ198" s="48">
        <v>32.025781230786919</v>
      </c>
      <c r="AK198" s="48">
        <v>99.050472712376092</v>
      </c>
      <c r="AL198" s="48">
        <v>199.96302978309413</v>
      </c>
      <c r="AM198" s="38">
        <v>356.8210178140306</v>
      </c>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row>
    <row r="199" spans="1:131">
      <c r="A199" s="27" t="s">
        <v>245</v>
      </c>
      <c r="B199" s="27"/>
      <c r="C199" s="48">
        <v>400.26430403812111</v>
      </c>
      <c r="D199" s="48">
        <v>414.11354893012162</v>
      </c>
      <c r="E199" s="48">
        <v>82.822709786024333</v>
      </c>
      <c r="F199" s="48">
        <v>496.93625871614597</v>
      </c>
      <c r="G199" s="48">
        <v>359.06060331492699</v>
      </c>
      <c r="H199" s="48">
        <v>404.87609991223076</v>
      </c>
      <c r="I199" s="48">
        <v>10875.717825536709</v>
      </c>
      <c r="J199" s="48">
        <v>-17.521032433255865</v>
      </c>
      <c r="K199" s="48">
        <v>30.354061194839794</v>
      </c>
      <c r="L199" s="49">
        <v>1.1275982276371312</v>
      </c>
      <c r="M199" s="48">
        <v>3.8025532887016733</v>
      </c>
      <c r="N199" s="48">
        <v>0.20866224140343231</v>
      </c>
      <c r="O199" s="48">
        <v>45.035476682690344</v>
      </c>
      <c r="P199" s="48">
        <v>32.682769406728355</v>
      </c>
      <c r="Q199" s="48">
        <v>29.43219228100704</v>
      </c>
      <c r="R199" s="48">
        <v>23.501851498054204</v>
      </c>
      <c r="S199" s="48">
        <v>9.6824275442802321</v>
      </c>
      <c r="T199" s="48">
        <v>2.7059372386869178</v>
      </c>
      <c r="U199" s="48">
        <v>0.66136558602501494</v>
      </c>
      <c r="V199" s="48">
        <v>0.5546686243419523</v>
      </c>
      <c r="W199" s="48">
        <v>5.2539431566496795</v>
      </c>
      <c r="X199" s="48">
        <v>18.028697619985032</v>
      </c>
      <c r="Y199" s="48">
        <v>28.710191645225134</v>
      </c>
      <c r="Z199" s="48">
        <v>52.349043507420241</v>
      </c>
      <c r="AA199" s="48"/>
      <c r="AB199" s="48">
        <v>28.360515935402113</v>
      </c>
      <c r="AC199" s="48">
        <v>21.189808559259156</v>
      </c>
      <c r="AD199" s="48">
        <v>16.361590201700668</v>
      </c>
      <c r="AE199" s="48">
        <v>13.962078303632175</v>
      </c>
      <c r="AF199" s="48">
        <v>5.4842529258689696</v>
      </c>
      <c r="AG199" s="48">
        <v>1.3610642694825026</v>
      </c>
      <c r="AH199" s="48">
        <v>0.36701742597984521</v>
      </c>
      <c r="AI199" s="48">
        <v>0.24562681084454127</v>
      </c>
      <c r="AJ199" s="48">
        <v>2.9952880164991753</v>
      </c>
      <c r="AK199" s="48">
        <v>9.2639330733562488</v>
      </c>
      <c r="AL199" s="48">
        <v>18.702022053294733</v>
      </c>
      <c r="AM199" s="38">
        <v>33.372541671706884</v>
      </c>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row>
    <row r="200" spans="1:131">
      <c r="A200" s="27" t="s">
        <v>1674</v>
      </c>
      <c r="B200" s="27"/>
      <c r="C200" s="48">
        <v>216.91838694515957</v>
      </c>
      <c r="D200" s="48">
        <v>239.1087012654321</v>
      </c>
      <c r="E200" s="48">
        <v>47.821740253086425</v>
      </c>
      <c r="F200" s="48">
        <v>286.93044151851853</v>
      </c>
      <c r="G200" s="48">
        <v>207.32119187122265</v>
      </c>
      <c r="H200" s="48">
        <v>219.41769380774934</v>
      </c>
      <c r="I200" s="48">
        <v>11587.356438980334</v>
      </c>
      <c r="J200" s="48">
        <v>-16.334584356720111</v>
      </c>
      <c r="K200" s="48">
        <v>34.673154471859185</v>
      </c>
      <c r="L200" s="49">
        <v>1.0583466737160203</v>
      </c>
      <c r="M200" s="48">
        <v>2.0607476543289787</v>
      </c>
      <c r="N200" s="48">
        <v>0.11308197199938973</v>
      </c>
      <c r="O200" s="48">
        <v>24.406430597880984</v>
      </c>
      <c r="P200" s="48">
        <v>17.712030648461027</v>
      </c>
      <c r="Q200" s="48">
        <v>15.950419783743135</v>
      </c>
      <c r="R200" s="48">
        <v>12.736543493264064</v>
      </c>
      <c r="S200" s="48">
        <v>5.2472742221315309</v>
      </c>
      <c r="T200" s="48">
        <v>1.4664498809139441</v>
      </c>
      <c r="U200" s="48">
        <v>0.35841906124090217</v>
      </c>
      <c r="V200" s="48">
        <v>0.30059593640378163</v>
      </c>
      <c r="W200" s="48">
        <v>2.8473107972512723</v>
      </c>
      <c r="X200" s="48">
        <v>9.7704341031538284</v>
      </c>
      <c r="Y200" s="48">
        <v>15.559140292399148</v>
      </c>
      <c r="Z200" s="48">
        <v>28.369929472077239</v>
      </c>
      <c r="AA200" s="48"/>
      <c r="AB200" s="48">
        <v>15.369637780775005</v>
      </c>
      <c r="AC200" s="48">
        <v>11.483559852775345</v>
      </c>
      <c r="AD200" s="48">
        <v>8.8669654490914045</v>
      </c>
      <c r="AE200" s="48">
        <v>7.5665790665596173</v>
      </c>
      <c r="AF200" s="48">
        <v>2.9721243845053644</v>
      </c>
      <c r="AG200" s="48">
        <v>0.73761227990172673</v>
      </c>
      <c r="AH200" s="48">
        <v>0.19890064445199743</v>
      </c>
      <c r="AI200" s="48">
        <v>0.13311447226582376</v>
      </c>
      <c r="AJ200" s="48">
        <v>1.6232600269877855</v>
      </c>
      <c r="AK200" s="48">
        <v>5.0204762172570998</v>
      </c>
      <c r="AL200" s="48">
        <v>10.135334116696864</v>
      </c>
      <c r="AM200" s="38">
        <v>18.085844364970711</v>
      </c>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row>
    <row r="201" spans="1:131">
      <c r="A201" s="27" t="s">
        <v>1672</v>
      </c>
      <c r="B201" s="27"/>
      <c r="C201" s="48">
        <v>214.28987369126358</v>
      </c>
      <c r="D201" s="48">
        <v>239.1087012654321</v>
      </c>
      <c r="E201" s="48">
        <v>47.821740253086425</v>
      </c>
      <c r="F201" s="48">
        <v>286.93044151851853</v>
      </c>
      <c r="G201" s="48">
        <v>207.32119187122265</v>
      </c>
      <c r="H201" s="48">
        <v>216.75889514879202</v>
      </c>
      <c r="I201" s="48">
        <v>11729.488773340465</v>
      </c>
      <c r="J201" s="48">
        <v>-16.097620493982117</v>
      </c>
      <c r="K201" s="48">
        <v>35.535787271970072</v>
      </c>
      <c r="L201" s="49">
        <v>1.0455221349654964</v>
      </c>
      <c r="M201" s="48">
        <v>2.0357764999763108</v>
      </c>
      <c r="N201" s="48">
        <v>0.11171169875347886</v>
      </c>
      <c r="O201" s="48">
        <v>24.110685146283828</v>
      </c>
      <c r="P201" s="48">
        <v>17.497404733302151</v>
      </c>
      <c r="Q201" s="48">
        <v>15.757140226407254</v>
      </c>
      <c r="R201" s="48">
        <v>12.582208151514859</v>
      </c>
      <c r="S201" s="48">
        <v>5.1836902630493231</v>
      </c>
      <c r="T201" s="48">
        <v>1.4486801427076068</v>
      </c>
      <c r="U201" s="48">
        <v>0.35407591050025583</v>
      </c>
      <c r="V201" s="48">
        <v>0.29695345863123401</v>
      </c>
      <c r="W201" s="48">
        <v>2.8128084469713572</v>
      </c>
      <c r="X201" s="48">
        <v>9.6520406562075802</v>
      </c>
      <c r="Y201" s="48">
        <v>15.370602072777693</v>
      </c>
      <c r="Z201" s="48">
        <v>28.026156236992737</v>
      </c>
      <c r="AA201" s="48"/>
      <c r="AB201" s="48">
        <v>15.183395861944209</v>
      </c>
      <c r="AC201" s="48">
        <v>11.344407567438838</v>
      </c>
      <c r="AD201" s="48">
        <v>8.759519803136703</v>
      </c>
      <c r="AE201" s="48">
        <v>7.4748908807714196</v>
      </c>
      <c r="AF201" s="48">
        <v>2.9361096028774938</v>
      </c>
      <c r="AG201" s="48">
        <v>0.72867424711777329</v>
      </c>
      <c r="AH201" s="48">
        <v>0.1964904615831625</v>
      </c>
      <c r="AI201" s="48">
        <v>0.13150145476387937</v>
      </c>
      <c r="AJ201" s="48">
        <v>1.6035901384387079</v>
      </c>
      <c r="AK201" s="48">
        <v>4.9596404879131128</v>
      </c>
      <c r="AL201" s="48">
        <v>10.012518985930022</v>
      </c>
      <c r="AM201" s="38">
        <v>17.866688754002407</v>
      </c>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row>
    <row r="202" spans="1:131">
      <c r="A202" s="27" t="s">
        <v>240</v>
      </c>
      <c r="B202" s="27"/>
      <c r="C202" s="48">
        <v>3104.8660353810656</v>
      </c>
      <c r="D202" s="48">
        <v>4101.7368570659019</v>
      </c>
      <c r="E202" s="48">
        <v>820.34737141318044</v>
      </c>
      <c r="F202" s="48">
        <v>4922.0842284790824</v>
      </c>
      <c r="G202" s="48">
        <v>3556.4451207696993</v>
      </c>
      <c r="H202" s="48">
        <v>3140.6399183558233</v>
      </c>
      <c r="I202" s="48">
        <v>13887.059006777688</v>
      </c>
      <c r="J202" s="48">
        <v>-12.500506727114839</v>
      </c>
      <c r="K202" s="48">
        <v>48.630561661519231</v>
      </c>
      <c r="L202" s="50">
        <v>0.88308403805092717</v>
      </c>
      <c r="M202" s="48">
        <v>29.496556237230543</v>
      </c>
      <c r="N202" s="48">
        <v>1.618601258378261</v>
      </c>
      <c r="O202" s="48">
        <v>349.34197361242559</v>
      </c>
      <c r="P202" s="48">
        <v>253.52153476938005</v>
      </c>
      <c r="Q202" s="48">
        <v>228.30667945698255</v>
      </c>
      <c r="R202" s="48">
        <v>182.30479148080227</v>
      </c>
      <c r="S202" s="48">
        <v>75.106973364806038</v>
      </c>
      <c r="T202" s="48">
        <v>20.990062170199604</v>
      </c>
      <c r="U202" s="48">
        <v>5.1302390053333173</v>
      </c>
      <c r="V202" s="48">
        <v>4.3025864540917134</v>
      </c>
      <c r="W202" s="48">
        <v>40.755044839948411</v>
      </c>
      <c r="X202" s="48">
        <v>139.84932040583806</v>
      </c>
      <c r="Y202" s="48">
        <v>222.70609197279543</v>
      </c>
      <c r="Z202" s="48">
        <v>406.07360069609103</v>
      </c>
      <c r="AA202" s="48"/>
      <c r="AB202" s="48">
        <v>219.99364366333072</v>
      </c>
      <c r="AC202" s="48">
        <v>164.37018297191139</v>
      </c>
      <c r="AD202" s="48">
        <v>126.91750223433814</v>
      </c>
      <c r="AE202" s="48">
        <v>108.30439354929271</v>
      </c>
      <c r="AF202" s="48">
        <v>42.541566827673108</v>
      </c>
      <c r="AG202" s="48">
        <v>10.557829363381071</v>
      </c>
      <c r="AH202" s="48">
        <v>2.8469686874932423</v>
      </c>
      <c r="AI202" s="48">
        <v>1.9053368853435209</v>
      </c>
      <c r="AJ202" s="48">
        <v>23.234567596431187</v>
      </c>
      <c r="AK202" s="48">
        <v>71.860695203956368</v>
      </c>
      <c r="AL202" s="48">
        <v>145.07232466248641</v>
      </c>
      <c r="AM202" s="38">
        <v>258.87212550673377</v>
      </c>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row>
    <row r="203" spans="1:131">
      <c r="A203" s="27" t="s">
        <v>250</v>
      </c>
      <c r="B203" s="27"/>
      <c r="C203" s="48">
        <v>3053.755125217408</v>
      </c>
      <c r="D203" s="48">
        <v>4101.7368570659019</v>
      </c>
      <c r="E203" s="48">
        <v>820.34737141318044</v>
      </c>
      <c r="F203" s="48">
        <v>4922.0842284790824</v>
      </c>
      <c r="G203" s="48">
        <v>3556.4451207696993</v>
      </c>
      <c r="H203" s="48">
        <v>3088.9401145980187</v>
      </c>
      <c r="I203" s="48">
        <v>14119.487671234632</v>
      </c>
      <c r="J203" s="48">
        <v>-12.113000292434085</v>
      </c>
      <c r="K203" s="48">
        <v>50.04122300433869</v>
      </c>
      <c r="L203" s="50">
        <v>0.86854710524241086</v>
      </c>
      <c r="M203" s="48">
        <v>29.010997176453444</v>
      </c>
      <c r="N203" s="48">
        <v>1.5919565714368482</v>
      </c>
      <c r="O203" s="48">
        <v>343.59126294528789</v>
      </c>
      <c r="P203" s="48">
        <v>249.34817712995456</v>
      </c>
      <c r="Q203" s="48">
        <v>224.54839744078066</v>
      </c>
      <c r="R203" s="48">
        <v>179.30377188330584</v>
      </c>
      <c r="S203" s="48">
        <v>73.87059610260907</v>
      </c>
      <c r="T203" s="48">
        <v>20.644533194171178</v>
      </c>
      <c r="U203" s="48">
        <v>5.0457873150086172</v>
      </c>
      <c r="V203" s="48">
        <v>4.2317592083360163</v>
      </c>
      <c r="W203" s="48">
        <v>40.084153596399226</v>
      </c>
      <c r="X203" s="48">
        <v>137.54718370484701</v>
      </c>
      <c r="Y203" s="48">
        <v>219.04000431232612</v>
      </c>
      <c r="Z203" s="48">
        <v>399.38899946418525</v>
      </c>
      <c r="AA203" s="48"/>
      <c r="AB203" s="48">
        <v>216.37220710867044</v>
      </c>
      <c r="AC203" s="48">
        <v>161.6643948445888</v>
      </c>
      <c r="AD203" s="48">
        <v>124.82824331592595</v>
      </c>
      <c r="AE203" s="48">
        <v>106.52153526621451</v>
      </c>
      <c r="AF203" s="48">
        <v>41.841266661555451</v>
      </c>
      <c r="AG203" s="48">
        <v>10.384031118314834</v>
      </c>
      <c r="AH203" s="48">
        <v>2.8001031676392256</v>
      </c>
      <c r="AI203" s="48">
        <v>1.8739720852946378</v>
      </c>
      <c r="AJ203" s="48">
        <v>22.852090580166983</v>
      </c>
      <c r="AK203" s="48">
        <v>70.677756714819068</v>
      </c>
      <c r="AL203" s="48">
        <v>142.68420921126784</v>
      </c>
      <c r="AM203" s="38">
        <v>254.61068884573922</v>
      </c>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row>
    <row r="204" spans="1:131">
      <c r="A204" s="27" t="s">
        <v>248</v>
      </c>
      <c r="B204" s="27"/>
      <c r="C204" s="48">
        <v>2829.0013451773661</v>
      </c>
      <c r="D204" s="48">
        <v>3865.0968570659024</v>
      </c>
      <c r="E204" s="48">
        <v>773.01937141318058</v>
      </c>
      <c r="F204" s="48">
        <v>4638.1162284790826</v>
      </c>
      <c r="G204" s="48">
        <v>3351.264436901803</v>
      </c>
      <c r="H204" s="48">
        <v>2861.5967492639033</v>
      </c>
      <c r="I204" s="48">
        <v>14361.922531687396</v>
      </c>
      <c r="J204" s="48">
        <v>-11.708811469012131</v>
      </c>
      <c r="K204" s="48">
        <v>51.512614179741284</v>
      </c>
      <c r="L204" s="50">
        <v>0.85388569095114719</v>
      </c>
      <c r="M204" s="48">
        <v>26.875812457713195</v>
      </c>
      <c r="N204" s="48">
        <v>1.4747899217158611</v>
      </c>
      <c r="O204" s="48">
        <v>318.30323821207105</v>
      </c>
      <c r="P204" s="48">
        <v>230.99636336032185</v>
      </c>
      <c r="Q204" s="48">
        <v>208.02182636440591</v>
      </c>
      <c r="R204" s="48">
        <v>166.10716676804097</v>
      </c>
      <c r="S204" s="48">
        <v>68.433783055364302</v>
      </c>
      <c r="T204" s="48">
        <v>19.125113108966488</v>
      </c>
      <c r="U204" s="48">
        <v>4.6744216599954163</v>
      </c>
      <c r="V204" s="48">
        <v>3.9203053296544166</v>
      </c>
      <c r="W204" s="48">
        <v>37.13399398271541</v>
      </c>
      <c r="X204" s="48">
        <v>127.42382796612334</v>
      </c>
      <c r="Y204" s="48">
        <v>202.91884628539441</v>
      </c>
      <c r="Z204" s="48">
        <v>369.99430877837091</v>
      </c>
      <c r="AA204" s="48"/>
      <c r="AB204" s="48">
        <v>200.44739668700365</v>
      </c>
      <c r="AC204" s="48">
        <v>149.76603287733039</v>
      </c>
      <c r="AD204" s="48">
        <v>115.64099077254623</v>
      </c>
      <c r="AE204" s="48">
        <v>98.681640865694789</v>
      </c>
      <c r="AF204" s="48">
        <v>38.761785020676179</v>
      </c>
      <c r="AG204" s="48">
        <v>9.6197752594798764</v>
      </c>
      <c r="AH204" s="48">
        <v>2.5940179559495009</v>
      </c>
      <c r="AI204" s="48">
        <v>1.7360493336039615</v>
      </c>
      <c r="AJ204" s="48">
        <v>21.170196148849637</v>
      </c>
      <c r="AK204" s="48">
        <v>65.475933931050463</v>
      </c>
      <c r="AL204" s="48">
        <v>132.18277276423984</v>
      </c>
      <c r="AM204" s="38">
        <v>235.87155868951729</v>
      </c>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row>
    <row r="205" spans="1:131">
      <c r="A205" s="27" t="s">
        <v>238</v>
      </c>
      <c r="B205" s="27"/>
      <c r="C205" s="48">
        <v>2682.0820216326224</v>
      </c>
      <c r="D205" s="48">
        <v>3865.0968570659024</v>
      </c>
      <c r="E205" s="48">
        <v>773.01937141318058</v>
      </c>
      <c r="F205" s="48">
        <v>4638.1162284790826</v>
      </c>
      <c r="G205" s="48">
        <v>3351.264436901803</v>
      </c>
      <c r="H205" s="48">
        <v>2712.9846394194201</v>
      </c>
      <c r="I205" s="48">
        <v>15148.641180162253</v>
      </c>
      <c r="J205" s="48">
        <v>-10.397189517048234</v>
      </c>
      <c r="K205" s="48">
        <v>56.287384914975831</v>
      </c>
      <c r="L205" s="50">
        <v>0.80954060489703894</v>
      </c>
      <c r="M205" s="48">
        <v>25.480063320748705</v>
      </c>
      <c r="N205" s="48">
        <v>1.3981992413902868</v>
      </c>
      <c r="O205" s="48">
        <v>301.77270650343843</v>
      </c>
      <c r="P205" s="48">
        <v>218.99996417018062</v>
      </c>
      <c r="Q205" s="48">
        <v>197.21857027401884</v>
      </c>
      <c r="R205" s="48">
        <v>157.48067649821593</v>
      </c>
      <c r="S205" s="48">
        <v>64.879792128056522</v>
      </c>
      <c r="T205" s="48">
        <v>18.131883223983913</v>
      </c>
      <c r="U205" s="48">
        <v>4.4316636035455117</v>
      </c>
      <c r="V205" s="48">
        <v>3.7167110089576307</v>
      </c>
      <c r="W205" s="48">
        <v>35.205503815768147</v>
      </c>
      <c r="X205" s="48">
        <v>120.80629042405799</v>
      </c>
      <c r="Y205" s="48">
        <v>192.38060469651995</v>
      </c>
      <c r="Z205" s="48">
        <v>350.77929014510295</v>
      </c>
      <c r="AA205" s="48"/>
      <c r="AB205" s="48">
        <v>190.03750558611657</v>
      </c>
      <c r="AC205" s="48">
        <v>141.98819131573947</v>
      </c>
      <c r="AD205" s="48">
        <v>109.63537463266375</v>
      </c>
      <c r="AE205" s="48">
        <v>93.556779420510779</v>
      </c>
      <c r="AF205" s="48">
        <v>36.748758323346181</v>
      </c>
      <c r="AG205" s="48">
        <v>9.1201887618684268</v>
      </c>
      <c r="AH205" s="48">
        <v>2.4593020909320789</v>
      </c>
      <c r="AI205" s="48">
        <v>1.6458905946665627</v>
      </c>
      <c r="AJ205" s="48">
        <v>20.07075839043333</v>
      </c>
      <c r="AK205" s="48">
        <v>62.075553815286639</v>
      </c>
      <c r="AL205" s="48">
        <v>125.31808760178966</v>
      </c>
      <c r="AM205" s="38">
        <v>223.62197460742294</v>
      </c>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row>
    <row r="206" spans="1:131">
      <c r="A206" s="27" t="s">
        <v>229</v>
      </c>
      <c r="B206" s="27"/>
      <c r="C206" s="48">
        <v>2719.7023128601013</v>
      </c>
      <c r="D206" s="48">
        <v>4101.7368570659019</v>
      </c>
      <c r="E206" s="48">
        <v>820.34737141318044</v>
      </c>
      <c r="F206" s="48">
        <v>4922.0842284790824</v>
      </c>
      <c r="G206" s="48">
        <v>3556.4451207696993</v>
      </c>
      <c r="H206" s="48">
        <v>2751.0383869959041</v>
      </c>
      <c r="I206" s="48">
        <v>15853.741653119916</v>
      </c>
      <c r="J206" s="48">
        <v>-9.2216418667360607</v>
      </c>
      <c r="K206" s="48">
        <v>60.56679676088163</v>
      </c>
      <c r="L206" s="50">
        <v>0.77353601519950177</v>
      </c>
      <c r="M206" s="48">
        <v>25.83746007255937</v>
      </c>
      <c r="N206" s="48">
        <v>1.4178111183690243</v>
      </c>
      <c r="O206" s="48">
        <v>306.00552899417386</v>
      </c>
      <c r="P206" s="48">
        <v>222.07177269968804</v>
      </c>
      <c r="Q206" s="48">
        <v>199.98486153183026</v>
      </c>
      <c r="R206" s="48">
        <v>159.68958318517733</v>
      </c>
      <c r="S206" s="48">
        <v>65.789830171244333</v>
      </c>
      <c r="T206" s="48">
        <v>18.386210542047696</v>
      </c>
      <c r="U206" s="48">
        <v>4.4938244450272027</v>
      </c>
      <c r="V206" s="48">
        <v>3.7688435498111907</v>
      </c>
      <c r="W206" s="48">
        <v>35.699314704352794</v>
      </c>
      <c r="X206" s="48">
        <v>122.50078290833255</v>
      </c>
      <c r="Y206" s="48">
        <v>195.07903610794861</v>
      </c>
      <c r="Z206" s="48">
        <v>355.69950471922476</v>
      </c>
      <c r="AA206" s="48"/>
      <c r="AB206" s="48">
        <v>192.70307145868503</v>
      </c>
      <c r="AC206" s="48">
        <v>143.9797922679391</v>
      </c>
      <c r="AD206" s="48">
        <v>111.17317798440611</v>
      </c>
      <c r="AE206" s="48">
        <v>94.869055950354621</v>
      </c>
      <c r="AF206" s="48">
        <v>37.264215710264935</v>
      </c>
      <c r="AG206" s="48">
        <v>9.2481133199183745</v>
      </c>
      <c r="AH206" s="48">
        <v>2.4937975538340278</v>
      </c>
      <c r="AI206" s="48">
        <v>1.6689767206688664</v>
      </c>
      <c r="AJ206" s="48">
        <v>20.352281389996495</v>
      </c>
      <c r="AK206" s="48">
        <v>62.946258138943591</v>
      </c>
      <c r="AL206" s="48">
        <v>127.07586492314846</v>
      </c>
      <c r="AM206" s="38">
        <v>226.75861388308317</v>
      </c>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row>
    <row r="207" spans="1:131">
      <c r="A207" s="27" t="s">
        <v>235</v>
      </c>
      <c r="B207" s="27"/>
      <c r="C207" s="48">
        <v>274.47530845276236</v>
      </c>
      <c r="D207" s="48">
        <v>436.41697398915824</v>
      </c>
      <c r="E207" s="48">
        <v>87.283394797831647</v>
      </c>
      <c r="F207" s="48">
        <v>523.70036878698988</v>
      </c>
      <c r="G207" s="48">
        <v>378.39897386178944</v>
      </c>
      <c r="H207" s="48">
        <v>277.6377790560536</v>
      </c>
      <c r="I207" s="48">
        <v>16714.127243119819</v>
      </c>
      <c r="J207" s="48">
        <v>-7.7872019571381239</v>
      </c>
      <c r="K207" s="48">
        <v>65.788668575046941</v>
      </c>
      <c r="L207" s="50">
        <v>0.73371705061087467</v>
      </c>
      <c r="M207" s="48">
        <v>2.607544505705047</v>
      </c>
      <c r="N207" s="48">
        <v>0.1430870364752716</v>
      </c>
      <c r="O207" s="48">
        <v>30.882410020308349</v>
      </c>
      <c r="P207" s="48">
        <v>22.41172426194645</v>
      </c>
      <c r="Q207" s="48">
        <v>20.182689221272732</v>
      </c>
      <c r="R207" s="48">
        <v>16.116046007752619</v>
      </c>
      <c r="S207" s="48">
        <v>6.6395810467643663</v>
      </c>
      <c r="T207" s="48">
        <v>1.855556318036474</v>
      </c>
      <c r="U207" s="48">
        <v>0.45352163905919812</v>
      </c>
      <c r="V207" s="48">
        <v>0.38035578046656671</v>
      </c>
      <c r="W207" s="48">
        <v>3.6028135758450182</v>
      </c>
      <c r="X207" s="48">
        <v>12.362911931751192</v>
      </c>
      <c r="Y207" s="48">
        <v>19.68758799638195</v>
      </c>
      <c r="Z207" s="48">
        <v>35.897579971402571</v>
      </c>
      <c r="AA207" s="48"/>
      <c r="AB207" s="48">
        <v>19.447803065915178</v>
      </c>
      <c r="AC207" s="48">
        <v>14.530596862326544</v>
      </c>
      <c r="AD207" s="48">
        <v>11.219717751702827</v>
      </c>
      <c r="AE207" s="48">
        <v>9.574288065083314</v>
      </c>
      <c r="AF207" s="48">
        <v>3.7607450833724259</v>
      </c>
      <c r="AG207" s="48">
        <v>0.93332963099968058</v>
      </c>
      <c r="AH207" s="48">
        <v>0.25167675505173875</v>
      </c>
      <c r="AI207" s="48">
        <v>0.16843494158900277</v>
      </c>
      <c r="AJ207" s="48">
        <v>2.0539743213153829</v>
      </c>
      <c r="AK207" s="48">
        <v>6.3526046718196341</v>
      </c>
      <c r="AL207" s="48">
        <v>12.824634172922766</v>
      </c>
      <c r="AM207" s="38">
        <v>22.884725359676391</v>
      </c>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row>
    <row r="208" spans="1:131">
      <c r="A208" s="27" t="s">
        <v>219</v>
      </c>
      <c r="B208" s="27"/>
      <c r="C208" s="48">
        <v>295.10011901769491</v>
      </c>
      <c r="D208" s="48">
        <v>478.21740253086421</v>
      </c>
      <c r="E208" s="48">
        <v>95.64348050617285</v>
      </c>
      <c r="F208" s="48">
        <v>573.86088303703707</v>
      </c>
      <c r="G208" s="48">
        <v>414.6423837424453</v>
      </c>
      <c r="H208" s="48">
        <v>298.50022614092558</v>
      </c>
      <c r="I208" s="48">
        <v>17034.968851039375</v>
      </c>
      <c r="J208" s="48">
        <v>-7.2522929437742274</v>
      </c>
      <c r="K208" s="48">
        <v>67.735927767529191</v>
      </c>
      <c r="L208" s="50">
        <v>0.7198980081262959</v>
      </c>
      <c r="M208" s="48">
        <v>2.8034823908757027</v>
      </c>
      <c r="N208" s="48">
        <v>0.15383898002252869</v>
      </c>
      <c r="O208" s="48">
        <v>33.202997107168493</v>
      </c>
      <c r="P208" s="48">
        <v>24.095801310413268</v>
      </c>
      <c r="Q208" s="48">
        <v>21.699270600582103</v>
      </c>
      <c r="R208" s="48">
        <v>17.327048913038869</v>
      </c>
      <c r="S208" s="48">
        <v>7.1384969678064927</v>
      </c>
      <c r="T208" s="48">
        <v>1.9949877946519832</v>
      </c>
      <c r="U208" s="48">
        <v>0.48760047094182435</v>
      </c>
      <c r="V208" s="48">
        <v>0.40893673357168042</v>
      </c>
      <c r="W208" s="48">
        <v>3.8735386473330395</v>
      </c>
      <c r="X208" s="48">
        <v>13.291894280147734</v>
      </c>
      <c r="Y208" s="48">
        <v>21.166966142251493</v>
      </c>
      <c r="Z208" s="48">
        <v>38.595020374414688</v>
      </c>
      <c r="AA208" s="48"/>
      <c r="AB208" s="48">
        <v>20.909163129229018</v>
      </c>
      <c r="AC208" s="48">
        <v>15.622464868123743</v>
      </c>
      <c r="AD208" s="48">
        <v>12.062797424425764</v>
      </c>
      <c r="AE208" s="48">
        <v>10.293725739639831</v>
      </c>
      <c r="AF208" s="48">
        <v>4.0433375517616428</v>
      </c>
      <c r="AG208" s="48">
        <v>1.0034625217960114</v>
      </c>
      <c r="AH208" s="48">
        <v>0.27058842118957782</v>
      </c>
      <c r="AI208" s="48">
        <v>0.18109159468603911</v>
      </c>
      <c r="AJ208" s="48">
        <v>2.2083154586700253</v>
      </c>
      <c r="AK208" s="48">
        <v>6.8299564186443744</v>
      </c>
      <c r="AL208" s="48">
        <v>13.788311568431055</v>
      </c>
      <c r="AM208" s="38">
        <v>24.604344978776169</v>
      </c>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row>
    <row r="209" spans="1:131">
      <c r="A209" s="27" t="s">
        <v>230</v>
      </c>
      <c r="B209" s="27"/>
      <c r="C209" s="48">
        <v>291.70698270576145</v>
      </c>
      <c r="D209" s="48">
        <v>478.21740253086421</v>
      </c>
      <c r="E209" s="48">
        <v>95.64348050617285</v>
      </c>
      <c r="F209" s="48">
        <v>573.86088303703707</v>
      </c>
      <c r="G209" s="48">
        <v>414.6423837424453</v>
      </c>
      <c r="H209" s="48">
        <v>295.0679945314954</v>
      </c>
      <c r="I209" s="48">
        <v>17233.119648956406</v>
      </c>
      <c r="J209" s="48">
        <v>-6.9219347695387503</v>
      </c>
      <c r="K209" s="48">
        <v>68.938549102223377</v>
      </c>
      <c r="L209" s="50">
        <v>0.71162043751604653</v>
      </c>
      <c r="M209" s="48">
        <v>2.7712472364745082</v>
      </c>
      <c r="N209" s="48">
        <v>0.15207010025710255</v>
      </c>
      <c r="O209" s="48">
        <v>32.821220591712056</v>
      </c>
      <c r="P209" s="48">
        <v>23.818741651258762</v>
      </c>
      <c r="Q209" s="48">
        <v>21.449766861775107</v>
      </c>
      <c r="R209" s="48">
        <v>17.127818092525533</v>
      </c>
      <c r="S209" s="48">
        <v>7.0564167119437746</v>
      </c>
      <c r="T209" s="48">
        <v>1.972048916990969</v>
      </c>
      <c r="U209" s="48">
        <v>0.48199391656571672</v>
      </c>
      <c r="V209" s="48">
        <v>0.40423467487856846</v>
      </c>
      <c r="W209" s="48">
        <v>3.8289997136189693</v>
      </c>
      <c r="X209" s="48">
        <v>13.139060695103856</v>
      </c>
      <c r="Y209" s="48">
        <v>20.923582975650895</v>
      </c>
      <c r="Z209" s="48">
        <v>38.151245002421753</v>
      </c>
      <c r="AA209" s="48"/>
      <c r="AB209" s="48">
        <v>20.668744247318394</v>
      </c>
      <c r="AC209" s="48">
        <v>15.442833789009345</v>
      </c>
      <c r="AD209" s="48">
        <v>11.924096308002756</v>
      </c>
      <c r="AE209" s="48">
        <v>10.175365859919953</v>
      </c>
      <c r="AF209" s="48">
        <v>3.9968462270073348</v>
      </c>
      <c r="AG209" s="48">
        <v>0.99192445420151421</v>
      </c>
      <c r="AH209" s="48">
        <v>0.26747712662086215</v>
      </c>
      <c r="AI209" s="48">
        <v>0.17900935741768245</v>
      </c>
      <c r="AJ209" s="48">
        <v>2.1829236852069727</v>
      </c>
      <c r="AK209" s="48">
        <v>6.7514238405818237</v>
      </c>
      <c r="AL209" s="48">
        <v>13.629770051000186</v>
      </c>
      <c r="AM209" s="38">
        <v>24.321437955028692</v>
      </c>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row>
    <row r="210" spans="1:131">
      <c r="A210" s="27" t="s">
        <v>227</v>
      </c>
      <c r="B210" s="27"/>
      <c r="C210" s="48">
        <v>2351.3828166529579</v>
      </c>
      <c r="D210" s="48">
        <v>3865.0968570659024</v>
      </c>
      <c r="E210" s="48">
        <v>773.01937141318058</v>
      </c>
      <c r="F210" s="48">
        <v>4638.1162284790826</v>
      </c>
      <c r="G210" s="48">
        <v>3351.264436901803</v>
      </c>
      <c r="H210" s="48">
        <v>2378.4751590449468</v>
      </c>
      <c r="I210" s="48">
        <v>17279.150750667988</v>
      </c>
      <c r="J210" s="48">
        <v>-6.8451914463760994</v>
      </c>
      <c r="K210" s="48">
        <v>69.217922112878682</v>
      </c>
      <c r="L210" s="50">
        <v>0.70972470356407136</v>
      </c>
      <c r="M210" s="48">
        <v>22.338385842192778</v>
      </c>
      <c r="N210" s="48">
        <v>1.2258020612140152</v>
      </c>
      <c r="O210" s="48">
        <v>264.56430149556269</v>
      </c>
      <c r="P210" s="48">
        <v>191.99739174416331</v>
      </c>
      <c r="Q210" s="48">
        <v>172.90163146647865</v>
      </c>
      <c r="R210" s="48">
        <v>138.06339764634896</v>
      </c>
      <c r="S210" s="48">
        <v>56.880150244273345</v>
      </c>
      <c r="T210" s="48">
        <v>15.89623221905841</v>
      </c>
      <c r="U210" s="48">
        <v>3.8852419734054622</v>
      </c>
      <c r="V210" s="48">
        <v>3.2584426316716608</v>
      </c>
      <c r="W210" s="48">
        <v>30.864684993345946</v>
      </c>
      <c r="X210" s="48">
        <v>105.91094275103643</v>
      </c>
      <c r="Y210" s="48">
        <v>168.66018432402151</v>
      </c>
      <c r="Z210" s="48">
        <v>307.52840093340603</v>
      </c>
      <c r="AA210" s="48"/>
      <c r="AB210" s="48">
        <v>166.60598801627265</v>
      </c>
      <c r="AC210" s="48">
        <v>124.48112717456412</v>
      </c>
      <c r="AD210" s="48">
        <v>96.11739459467826</v>
      </c>
      <c r="AE210" s="48">
        <v>82.021281130272939</v>
      </c>
      <c r="AF210" s="48">
        <v>32.217657087999605</v>
      </c>
      <c r="AG210" s="48">
        <v>7.9956746163321704</v>
      </c>
      <c r="AH210" s="48">
        <v>2.1560715261259347</v>
      </c>
      <c r="AI210" s="48">
        <v>1.4429532099222961</v>
      </c>
      <c r="AJ210" s="48">
        <v>17.596045167824663</v>
      </c>
      <c r="AK210" s="48">
        <v>54.421672938484896</v>
      </c>
      <c r="AL210" s="48">
        <v>109.86643787399457</v>
      </c>
      <c r="AM210" s="38">
        <v>196.04951089371366</v>
      </c>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row>
    <row r="211" spans="1:131">
      <c r="A211" s="27" t="s">
        <v>224</v>
      </c>
      <c r="B211" s="27"/>
      <c r="C211" s="48">
        <v>245.17929119859181</v>
      </c>
      <c r="D211" s="48">
        <v>436.41697398915824</v>
      </c>
      <c r="E211" s="48">
        <v>87.283394797831647</v>
      </c>
      <c r="F211" s="48">
        <v>523.70036878698988</v>
      </c>
      <c r="G211" s="48">
        <v>378.39897386178944</v>
      </c>
      <c r="H211" s="48">
        <v>248.00421670945894</v>
      </c>
      <c r="I211" s="48">
        <v>18711.267204284912</v>
      </c>
      <c r="J211" s="48">
        <v>-4.4575584825787891</v>
      </c>
      <c r="K211" s="48">
        <v>77.909755903057984</v>
      </c>
      <c r="L211" s="50">
        <v>0.65540404134405161</v>
      </c>
      <c r="M211" s="48">
        <v>2.3292292384383031</v>
      </c>
      <c r="N211" s="48">
        <v>0.12781469626712091</v>
      </c>
      <c r="O211" s="48">
        <v>27.586187777566874</v>
      </c>
      <c r="P211" s="48">
        <v>20.019617429551019</v>
      </c>
      <c r="Q211" s="48">
        <v>18.028497592907271</v>
      </c>
      <c r="R211" s="48">
        <v>14.395905990154706</v>
      </c>
      <c r="S211" s="48">
        <v>5.9309078987024941</v>
      </c>
      <c r="T211" s="48">
        <v>1.6575042228745618</v>
      </c>
      <c r="U211" s="48">
        <v>0.40511518006689651</v>
      </c>
      <c r="V211" s="48">
        <v>0.33975865145672812</v>
      </c>
      <c r="W211" s="48">
        <v>3.2182686443664896</v>
      </c>
      <c r="X211" s="48">
        <v>11.043361246824258</v>
      </c>
      <c r="Y211" s="48">
        <v>17.586240808227615</v>
      </c>
      <c r="Z211" s="48">
        <v>32.06606547870215</v>
      </c>
      <c r="AA211" s="48"/>
      <c r="AB211" s="48">
        <v>17.37204923076532</v>
      </c>
      <c r="AC211" s="48">
        <v>12.979679153947773</v>
      </c>
      <c r="AD211" s="48">
        <v>10.022185461116557</v>
      </c>
      <c r="AE211" s="48">
        <v>8.5523800838801431</v>
      </c>
      <c r="AF211" s="48">
        <v>3.3593433927355543</v>
      </c>
      <c r="AG211" s="48">
        <v>0.83371104917631411</v>
      </c>
      <c r="AH211" s="48">
        <v>0.22481413269043327</v>
      </c>
      <c r="AI211" s="48">
        <v>0.15045710240626309</v>
      </c>
      <c r="AJ211" s="48">
        <v>1.8347441563286675</v>
      </c>
      <c r="AK211" s="48">
        <v>5.6745618375710976</v>
      </c>
      <c r="AL211" s="48">
        <v>11.455801740868022</v>
      </c>
      <c r="AM211" s="38">
        <v>20.442132935704613</v>
      </c>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row>
    <row r="212" spans="1:131">
      <c r="A212" s="27" t="s">
        <v>236</v>
      </c>
      <c r="B212" s="27"/>
      <c r="C212" s="48">
        <v>357.26474219206523</v>
      </c>
      <c r="D212" s="48">
        <v>689.0794326144603</v>
      </c>
      <c r="E212" s="48">
        <v>137.81588652289207</v>
      </c>
      <c r="F212" s="48">
        <v>826.89531913735232</v>
      </c>
      <c r="G212" s="48">
        <v>597.47206399229913</v>
      </c>
      <c r="H212" s="48">
        <v>361.3811024255005</v>
      </c>
      <c r="I212" s="48">
        <v>20275.16891591013</v>
      </c>
      <c r="J212" s="48">
        <v>-1.8502123625165503</v>
      </c>
      <c r="K212" s="48">
        <v>87.401423781946448</v>
      </c>
      <c r="L212" s="50">
        <v>0.60485020841101345</v>
      </c>
      <c r="M212" s="48">
        <v>3.3940528961838408</v>
      </c>
      <c r="N212" s="48">
        <v>0.1862460907158881</v>
      </c>
      <c r="O212" s="48">
        <v>40.19740907249566</v>
      </c>
      <c r="P212" s="48">
        <v>29.171727452132387</v>
      </c>
      <c r="Q212" s="48">
        <v>26.270353067556623</v>
      </c>
      <c r="R212" s="48">
        <v>20.977096462963299</v>
      </c>
      <c r="S212" s="48">
        <v>8.6422644874951828</v>
      </c>
      <c r="T212" s="48">
        <v>2.4152440280443264</v>
      </c>
      <c r="U212" s="48">
        <v>0.5903164564068335</v>
      </c>
      <c r="V212" s="48">
        <v>0.49508172744447876</v>
      </c>
      <c r="W212" s="48">
        <v>4.6895229687367861</v>
      </c>
      <c r="X212" s="48">
        <v>16.091912124767468</v>
      </c>
      <c r="Y212" s="48">
        <v>25.625915458699644</v>
      </c>
      <c r="Z212" s="48">
        <v>46.725294621572047</v>
      </c>
      <c r="AA212" s="48"/>
      <c r="AB212" s="48">
        <v>25.313804683243507</v>
      </c>
      <c r="AC212" s="48">
        <v>18.913431489264003</v>
      </c>
      <c r="AD212" s="48">
        <v>14.603898589733081</v>
      </c>
      <c r="AE212" s="48">
        <v>12.462161265166191</v>
      </c>
      <c r="AF212" s="48">
        <v>4.8950910383706123</v>
      </c>
      <c r="AG212" s="48">
        <v>1.2148479653014137</v>
      </c>
      <c r="AH212" s="48">
        <v>0.32758950710777524</v>
      </c>
      <c r="AI212" s="48">
        <v>0.21923963332857319</v>
      </c>
      <c r="AJ212" s="48">
        <v>2.6735104534918586</v>
      </c>
      <c r="AK212" s="48">
        <v>8.2687280073367564</v>
      </c>
      <c r="AL212" s="48">
        <v>16.692902714363232</v>
      </c>
      <c r="AM212" s="38">
        <v>29.787398917043536</v>
      </c>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row>
    <row r="213" spans="1:131">
      <c r="A213" s="27" t="s">
        <v>220</v>
      </c>
      <c r="B213" s="27"/>
      <c r="C213" s="48">
        <v>313.18425137916427</v>
      </c>
      <c r="D213" s="48">
        <v>616.64875589506175</v>
      </c>
      <c r="E213" s="48">
        <v>123.32975117901236</v>
      </c>
      <c r="F213" s="48">
        <v>739.97850707407406</v>
      </c>
      <c r="G213" s="48">
        <v>534.67044219420586</v>
      </c>
      <c r="H213" s="48">
        <v>316.79272164187603</v>
      </c>
      <c r="I213" s="48">
        <v>20697.757608894066</v>
      </c>
      <c r="J213" s="48">
        <v>-1.1456700112655702</v>
      </c>
      <c r="K213" s="48">
        <v>89.966208699924948</v>
      </c>
      <c r="L213" s="50">
        <v>0.59250090643089803</v>
      </c>
      <c r="M213" s="48">
        <v>2.9752835639772379</v>
      </c>
      <c r="N213" s="48">
        <v>0.16326643971431565</v>
      </c>
      <c r="O213" s="48">
        <v>35.237721445749713</v>
      </c>
      <c r="P213" s="48">
        <v>25.572424436502391</v>
      </c>
      <c r="Q213" s="48">
        <v>23.029031100152551</v>
      </c>
      <c r="R213" s="48">
        <v>18.388873784611558</v>
      </c>
      <c r="S213" s="48">
        <v>7.575953667103926</v>
      </c>
      <c r="T213" s="48">
        <v>2.1172433310377174</v>
      </c>
      <c r="U213" s="48">
        <v>0.51748128388550885</v>
      </c>
      <c r="V213" s="48">
        <v>0.43399692684437025</v>
      </c>
      <c r="W213" s="48">
        <v>4.1109143076303418</v>
      </c>
      <c r="X213" s="48">
        <v>14.106439446367867</v>
      </c>
      <c r="Y213" s="48">
        <v>22.464106308380209</v>
      </c>
      <c r="Z213" s="48">
        <v>40.960175153978405</v>
      </c>
      <c r="AA213" s="48"/>
      <c r="AB213" s="48">
        <v>22.190504779836282</v>
      </c>
      <c r="AC213" s="48">
        <v>16.579830535843499</v>
      </c>
      <c r="AD213" s="48">
        <v>12.802021881532223</v>
      </c>
      <c r="AE213" s="48">
        <v>10.924539103551584</v>
      </c>
      <c r="AF213" s="48">
        <v>4.291118717393001</v>
      </c>
      <c r="AG213" s="48">
        <v>1.0649560553274053</v>
      </c>
      <c r="AH213" s="48">
        <v>0.2871704437267491</v>
      </c>
      <c r="AI213" s="48">
        <v>0.19218913127380147</v>
      </c>
      <c r="AJ213" s="48">
        <v>2.3436440013470041</v>
      </c>
      <c r="AK213" s="48">
        <v>7.2485053379364945</v>
      </c>
      <c r="AL213" s="48">
        <v>14.633277854024913</v>
      </c>
      <c r="AM213" s="38">
        <v>26.112132345126785</v>
      </c>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row>
    <row r="214" spans="1:131">
      <c r="A214" s="27" t="s">
        <v>231</v>
      </c>
      <c r="B214" s="27"/>
      <c r="C214" s="48">
        <v>309.64144332325418</v>
      </c>
      <c r="D214" s="48">
        <v>616.64875589506175</v>
      </c>
      <c r="E214" s="48">
        <v>123.32975117901236</v>
      </c>
      <c r="F214" s="48">
        <v>739.97850707407406</v>
      </c>
      <c r="G214" s="48">
        <v>534.67044219420586</v>
      </c>
      <c r="H214" s="48">
        <v>313.20909378912103</v>
      </c>
      <c r="I214" s="48">
        <v>20934.574042796012</v>
      </c>
      <c r="J214" s="48">
        <v>-0.75084826159208962</v>
      </c>
      <c r="K214" s="48">
        <v>91.403500392971353</v>
      </c>
      <c r="L214" s="50">
        <v>0.58579840790105908</v>
      </c>
      <c r="M214" s="48">
        <v>2.9416265121534133</v>
      </c>
      <c r="N214" s="48">
        <v>0.16141953440112555</v>
      </c>
      <c r="O214" s="48">
        <v>34.839104711797859</v>
      </c>
      <c r="P214" s="48">
        <v>25.283143634853435</v>
      </c>
      <c r="Q214" s="48">
        <v>22.768521714568379</v>
      </c>
      <c r="R214" s="48">
        <v>18.180854863173639</v>
      </c>
      <c r="S214" s="48">
        <v>7.4902528390296474</v>
      </c>
      <c r="T214" s="48">
        <v>2.0932926160943883</v>
      </c>
      <c r="U214" s="48">
        <v>0.51162742356763247</v>
      </c>
      <c r="V214" s="48">
        <v>0.42908745964768491</v>
      </c>
      <c r="W214" s="48">
        <v>4.0644107549705479</v>
      </c>
      <c r="X214" s="48">
        <v>13.946864349310081</v>
      </c>
      <c r="Y214" s="48">
        <v>22.209987474346637</v>
      </c>
      <c r="Z214" s="48">
        <v>40.496824784769331</v>
      </c>
      <c r="AA214" s="48"/>
      <c r="AB214" s="48">
        <v>21.93948098552826</v>
      </c>
      <c r="AC214" s="48">
        <v>16.392275903293037</v>
      </c>
      <c r="AD214" s="48">
        <v>12.657202638373922</v>
      </c>
      <c r="AE214" s="48">
        <v>10.800958352052334</v>
      </c>
      <c r="AF214" s="48">
        <v>4.2425766534357647</v>
      </c>
      <c r="AG214" s="48">
        <v>1.0529090418668325</v>
      </c>
      <c r="AH214" s="48">
        <v>0.28392190949498575</v>
      </c>
      <c r="AI214" s="48">
        <v>0.19001504621193527</v>
      </c>
      <c r="AJ214" s="48">
        <v>2.3171321930054498</v>
      </c>
      <c r="AK214" s="48">
        <v>7.166508676254236</v>
      </c>
      <c r="AL214" s="48">
        <v>14.467743046839331</v>
      </c>
      <c r="AM214" s="38">
        <v>25.816746250768844</v>
      </c>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row>
    <row r="215" spans="1:131">
      <c r="A215" s="27" t="s">
        <v>1676</v>
      </c>
      <c r="B215" s="27"/>
      <c r="C215" s="48">
        <v>119.86389869211362</v>
      </c>
      <c r="D215" s="48">
        <v>239.1087012654321</v>
      </c>
      <c r="E215" s="48">
        <v>47.821740253086425</v>
      </c>
      <c r="F215" s="48">
        <v>286.93044151851853</v>
      </c>
      <c r="G215" s="48">
        <v>207.32119187122265</v>
      </c>
      <c r="H215" s="48">
        <v>121.24495572834215</v>
      </c>
      <c r="I215" s="48">
        <v>20969.705600503694</v>
      </c>
      <c r="J215" s="48">
        <v>-0.69227672221722736</v>
      </c>
      <c r="K215" s="48">
        <v>91.616721642971015</v>
      </c>
      <c r="L215" s="50">
        <v>0.58481699161585632</v>
      </c>
      <c r="M215" s="48">
        <v>1.138719734860224</v>
      </c>
      <c r="N215" s="48">
        <v>6.248638590082297E-2</v>
      </c>
      <c r="O215" s="48">
        <v>13.486408256207939</v>
      </c>
      <c r="P215" s="48">
        <v>9.7872433829939958</v>
      </c>
      <c r="Q215" s="48">
        <v>8.8138194644542764</v>
      </c>
      <c r="R215" s="48">
        <v>7.0379084985094629</v>
      </c>
      <c r="S215" s="48">
        <v>2.8995178999294513</v>
      </c>
      <c r="T215" s="48">
        <v>0.81032503716418314</v>
      </c>
      <c r="U215" s="48">
        <v>0.19805377797117457</v>
      </c>
      <c r="V215" s="48">
        <v>0.16610210584625554</v>
      </c>
      <c r="W215" s="48">
        <v>1.5733556650177898</v>
      </c>
      <c r="X215" s="48">
        <v>5.3989075799945017</v>
      </c>
      <c r="Y215" s="48">
        <v>8.597607800836224</v>
      </c>
      <c r="Z215" s="48">
        <v>15.676542685167501</v>
      </c>
      <c r="AA215" s="48"/>
      <c r="AB215" s="48">
        <v>8.4928932573846367</v>
      </c>
      <c r="AC215" s="48">
        <v>6.3455397866566257</v>
      </c>
      <c r="AD215" s="48">
        <v>4.8996724678994781</v>
      </c>
      <c r="AE215" s="48">
        <v>4.1811101375618449</v>
      </c>
      <c r="AF215" s="48">
        <v>1.6423246601717416</v>
      </c>
      <c r="AG215" s="48">
        <v>0.40758685714619375</v>
      </c>
      <c r="AH215" s="48">
        <v>0.1099077262750332</v>
      </c>
      <c r="AI215" s="48">
        <v>7.3555865147377761E-2</v>
      </c>
      <c r="AJ215" s="48">
        <v>0.89697456341039461</v>
      </c>
      <c r="AK215" s="48">
        <v>2.7741947612933746</v>
      </c>
      <c r="AL215" s="48">
        <v>5.600542576787702</v>
      </c>
      <c r="AM215" s="38">
        <v>9.9938038782864815</v>
      </c>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row>
    <row r="216" spans="1:131">
      <c r="A216" s="27" t="s">
        <v>251</v>
      </c>
      <c r="B216" s="27"/>
      <c r="C216" s="48">
        <v>1977.5911127011982</v>
      </c>
      <c r="D216" s="48">
        <v>4101.7368570659019</v>
      </c>
      <c r="E216" s="48">
        <v>820.34737141318044</v>
      </c>
      <c r="F216" s="48">
        <v>4922.0842284790824</v>
      </c>
      <c r="G216" s="48">
        <v>3556.4451207696993</v>
      </c>
      <c r="H216" s="48">
        <v>2000.376673247617</v>
      </c>
      <c r="I216" s="48">
        <v>21803.019625519293</v>
      </c>
      <c r="J216" s="48">
        <v>0.69702931521907197</v>
      </c>
      <c r="K216" s="48">
        <v>96.674290098502752</v>
      </c>
      <c r="L216" s="50">
        <v>0.56246521605672573</v>
      </c>
      <c r="M216" s="48">
        <v>18.787325058576659</v>
      </c>
      <c r="N216" s="48">
        <v>1.0309402811908981</v>
      </c>
      <c r="O216" s="48">
        <v>222.50737211747025</v>
      </c>
      <c r="P216" s="48">
        <v>161.47618877113996</v>
      </c>
      <c r="Q216" s="48">
        <v>145.41601960260965</v>
      </c>
      <c r="R216" s="48">
        <v>116.11590687874296</v>
      </c>
      <c r="S216" s="48">
        <v>47.838097146724913</v>
      </c>
      <c r="T216" s="48">
        <v>13.369259713563713</v>
      </c>
      <c r="U216" s="48">
        <v>3.2676176515728566</v>
      </c>
      <c r="V216" s="48">
        <v>2.7404585693166759</v>
      </c>
      <c r="W216" s="48">
        <v>25.958226073135236</v>
      </c>
      <c r="X216" s="48">
        <v>89.074623510429305</v>
      </c>
      <c r="Y216" s="48">
        <v>141.84882156300898</v>
      </c>
      <c r="Z216" s="48">
        <v>258.64160794319275</v>
      </c>
      <c r="AA216" s="48"/>
      <c r="AB216" s="48">
        <v>140.12117418327253</v>
      </c>
      <c r="AC216" s="48">
        <v>104.69276591459348</v>
      </c>
      <c r="AD216" s="48">
        <v>80.837923957017694</v>
      </c>
      <c r="AE216" s="48">
        <v>68.982623955074232</v>
      </c>
      <c r="AF216" s="48">
        <v>27.096120579793403</v>
      </c>
      <c r="AG216" s="48">
        <v>6.724628141927429</v>
      </c>
      <c r="AH216" s="48">
        <v>1.8133278248941371</v>
      </c>
      <c r="AI216" s="48">
        <v>1.2135716157217966</v>
      </c>
      <c r="AJ216" s="48">
        <v>14.798858908100433</v>
      </c>
      <c r="AK216" s="48">
        <v>45.770436008660901</v>
      </c>
      <c r="AL216" s="48">
        <v>92.401326396108104</v>
      </c>
      <c r="AM216" s="38">
        <v>164.88415567512698</v>
      </c>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row>
    <row r="217" spans="1:131">
      <c r="A217" s="27" t="s">
        <v>225</v>
      </c>
      <c r="B217" s="27"/>
      <c r="C217" s="48">
        <v>318.80670205822048</v>
      </c>
      <c r="D217" s="48">
        <v>689.07943261446042</v>
      </c>
      <c r="E217" s="48">
        <v>137.8158865228921</v>
      </c>
      <c r="F217" s="48">
        <v>826.89531913735254</v>
      </c>
      <c r="G217" s="48">
        <v>597.47206399229924</v>
      </c>
      <c r="H217" s="48">
        <v>322.47995350322191</v>
      </c>
      <c r="I217" s="48">
        <v>22720.987196562703</v>
      </c>
      <c r="J217" s="48">
        <v>2.2274702418522936</v>
      </c>
      <c r="K217" s="48">
        <v>102.24563978318299</v>
      </c>
      <c r="L217" s="50">
        <v>0.53974063883157275</v>
      </c>
      <c r="M217" s="48">
        <v>3.0286974410192777</v>
      </c>
      <c r="N217" s="48">
        <v>0.16619748589814018</v>
      </c>
      <c r="O217" s="48">
        <v>35.870327810848153</v>
      </c>
      <c r="P217" s="48">
        <v>26.031514235893539</v>
      </c>
      <c r="Q217" s="48">
        <v>23.442460546163556</v>
      </c>
      <c r="R217" s="48">
        <v>18.719000652236829</v>
      </c>
      <c r="S217" s="48">
        <v>7.7119612270387892</v>
      </c>
      <c r="T217" s="48">
        <v>2.1552532122878074</v>
      </c>
      <c r="U217" s="48">
        <v>0.52677138382881183</v>
      </c>
      <c r="V217" s="48">
        <v>0.4417882710939578</v>
      </c>
      <c r="W217" s="48">
        <v>4.1847156333314075</v>
      </c>
      <c r="X217" s="48">
        <v>14.35968576924339</v>
      </c>
      <c r="Y217" s="48">
        <v>22.867393923296166</v>
      </c>
      <c r="Z217" s="48">
        <v>41.695514059413767</v>
      </c>
      <c r="AA217" s="48"/>
      <c r="AB217" s="48">
        <v>22.588880554220101</v>
      </c>
      <c r="AC217" s="48">
        <v>16.877480494436188</v>
      </c>
      <c r="AD217" s="48">
        <v>13.031850604733156</v>
      </c>
      <c r="AE217" s="48">
        <v>11.120662254797708</v>
      </c>
      <c r="AF217" s="48">
        <v>4.3681551687479825</v>
      </c>
      <c r="AG217" s="48">
        <v>1.0840747142959608</v>
      </c>
      <c r="AH217" s="48">
        <v>0.29232588065956466</v>
      </c>
      <c r="AI217" s="48">
        <v>0.19563941303886184</v>
      </c>
      <c r="AJ217" s="48">
        <v>2.3857183481534356</v>
      </c>
      <c r="AK217" s="48">
        <v>7.3786343708618558</v>
      </c>
      <c r="AL217" s="48">
        <v>14.895982260919155</v>
      </c>
      <c r="AM217" s="38">
        <v>26.580911268680381</v>
      </c>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row>
    <row r="218" spans="1:131">
      <c r="A218" s="27" t="s">
        <v>249</v>
      </c>
      <c r="B218" s="27"/>
      <c r="C218" s="48">
        <v>1752.8373326611568</v>
      </c>
      <c r="D218" s="48">
        <v>3865.0968570659024</v>
      </c>
      <c r="E218" s="48">
        <v>773.01937141318058</v>
      </c>
      <c r="F218" s="48">
        <v>4638.1162284790826</v>
      </c>
      <c r="G218" s="48">
        <v>3351.264436901803</v>
      </c>
      <c r="H218" s="48">
        <v>1773.0333079135034</v>
      </c>
      <c r="I218" s="48">
        <v>23179.502971786023</v>
      </c>
      <c r="J218" s="48">
        <v>2.9919104356503383</v>
      </c>
      <c r="K218" s="48">
        <v>105.02847416676336</v>
      </c>
      <c r="L218" s="50">
        <v>0.52906398205706739</v>
      </c>
      <c r="M218" s="48">
        <v>16.652140339836421</v>
      </c>
      <c r="N218" s="48">
        <v>0.91377363146991153</v>
      </c>
      <c r="O218" s="48">
        <v>197.2193473842535</v>
      </c>
      <c r="P218" s="48">
        <v>143.1243750015073</v>
      </c>
      <c r="Q218" s="48">
        <v>128.88944852623496</v>
      </c>
      <c r="R218" s="48">
        <v>102.91930176347813</v>
      </c>
      <c r="S218" s="48">
        <v>42.401284099480158</v>
      </c>
      <c r="T218" s="48">
        <v>11.849839628359025</v>
      </c>
      <c r="U218" s="48">
        <v>2.8962519965596574</v>
      </c>
      <c r="V218" s="48">
        <v>2.4290046906350771</v>
      </c>
      <c r="W218" s="48">
        <v>23.008066459451427</v>
      </c>
      <c r="X218" s="48">
        <v>78.951267771705673</v>
      </c>
      <c r="Y218" s="48">
        <v>125.72766353607734</v>
      </c>
      <c r="Z218" s="48">
        <v>229.2469172573785</v>
      </c>
      <c r="AA218" s="48"/>
      <c r="AB218" s="48">
        <v>124.1963637616058</v>
      </c>
      <c r="AC218" s="48">
        <v>92.794403947335127</v>
      </c>
      <c r="AD218" s="48">
        <v>71.650671413638008</v>
      </c>
      <c r="AE218" s="48">
        <v>61.142729554554535</v>
      </c>
      <c r="AF218" s="48">
        <v>24.016638938914145</v>
      </c>
      <c r="AG218" s="48">
        <v>5.9603722830924735</v>
      </c>
      <c r="AH218" s="48">
        <v>1.6072426132044131</v>
      </c>
      <c r="AI218" s="48">
        <v>1.075648864031121</v>
      </c>
      <c r="AJ218" s="48">
        <v>13.116964476783092</v>
      </c>
      <c r="AK218" s="48">
        <v>40.568613224892317</v>
      </c>
      <c r="AL218" s="48">
        <v>81.899889949080148</v>
      </c>
      <c r="AM218" s="38">
        <v>146.1450255189051</v>
      </c>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row>
    <row r="219" spans="1:131">
      <c r="A219" s="27" t="s">
        <v>1675</v>
      </c>
      <c r="B219" s="27"/>
      <c r="C219" s="48">
        <v>56.683436160197026</v>
      </c>
      <c r="D219" s="48">
        <v>138.43135336419752</v>
      </c>
      <c r="E219" s="48">
        <v>27.686270672839505</v>
      </c>
      <c r="F219" s="48">
        <v>166.11762403703702</v>
      </c>
      <c r="G219" s="48">
        <v>120.02805845176047</v>
      </c>
      <c r="H219" s="48">
        <v>57.336535710610747</v>
      </c>
      <c r="I219" s="48">
        <v>25672.233109718843</v>
      </c>
      <c r="J219" s="48">
        <v>7.1478047640395204</v>
      </c>
      <c r="K219" s="48">
        <v>120.1574086804076</v>
      </c>
      <c r="L219" s="50">
        <v>0.47769276992557885</v>
      </c>
      <c r="M219" s="48">
        <v>0.53849864804666758</v>
      </c>
      <c r="N219" s="48">
        <v>2.9549706831985219E-2</v>
      </c>
      <c r="O219" s="48">
        <v>6.3776997891977771</v>
      </c>
      <c r="P219" s="48">
        <v>4.6283709401882813</v>
      </c>
      <c r="Q219" s="48">
        <v>4.1680404057620279</v>
      </c>
      <c r="R219" s="48">
        <v>3.3282150958670322</v>
      </c>
      <c r="S219" s="48">
        <v>1.3711771398172719</v>
      </c>
      <c r="T219" s="48">
        <v>0.38320134764753255</v>
      </c>
      <c r="U219" s="48">
        <v>9.3659298607926392E-2</v>
      </c>
      <c r="V219" s="48">
        <v>7.8549406581499615E-2</v>
      </c>
      <c r="W219" s="48">
        <v>0.74403724864981369</v>
      </c>
      <c r="X219" s="48">
        <v>2.5531343172100334</v>
      </c>
      <c r="Y219" s="48">
        <v>4.0657942735611723</v>
      </c>
      <c r="Z219" s="48">
        <v>7.4134106783042641</v>
      </c>
      <c r="AA219" s="48"/>
      <c r="AB219" s="48">
        <v>4.0162749420230863</v>
      </c>
      <c r="AC219" s="48">
        <v>3.0007950961352008</v>
      </c>
      <c r="AD219" s="48">
        <v>2.317046872081495</v>
      </c>
      <c r="AE219" s="48">
        <v>1.9772399542084367</v>
      </c>
      <c r="AF219" s="48">
        <v>0.77665257049816916</v>
      </c>
      <c r="AG219" s="48">
        <v>0.19274713945460623</v>
      </c>
      <c r="AH219" s="48">
        <v>5.1975178963815476E-2</v>
      </c>
      <c r="AI219" s="48">
        <v>3.478444495618406E-2</v>
      </c>
      <c r="AJ219" s="48">
        <v>0.4241777629225314</v>
      </c>
      <c r="AK219" s="48">
        <v>1.3119120382663829</v>
      </c>
      <c r="AL219" s="48">
        <v>2.6484871681776689</v>
      </c>
      <c r="AM219" s="38">
        <v>4.7260530511148193</v>
      </c>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row>
    <row r="220" spans="1:131">
      <c r="A220" s="27" t="s">
        <v>1673</v>
      </c>
      <c r="B220" s="27"/>
      <c r="C220" s="48">
        <v>56.111593683209037</v>
      </c>
      <c r="D220" s="48">
        <v>138.43135336419752</v>
      </c>
      <c r="E220" s="48">
        <v>27.686270672839505</v>
      </c>
      <c r="F220" s="48">
        <v>166.11762403703702</v>
      </c>
      <c r="G220" s="48">
        <v>120.02805845176047</v>
      </c>
      <c r="H220" s="48">
        <v>56.758104535231681</v>
      </c>
      <c r="I220" s="48">
        <v>25933.863058320137</v>
      </c>
      <c r="J220" s="48">
        <v>7.5839957511756575</v>
      </c>
      <c r="K220" s="48">
        <v>121.74529912188139</v>
      </c>
      <c r="L220" s="50">
        <v>0.47287363694250606</v>
      </c>
      <c r="M220" s="48">
        <v>0.53306608393952015</v>
      </c>
      <c r="N220" s="48">
        <v>2.925159897731467E-2</v>
      </c>
      <c r="O220" s="48">
        <v>6.3133593064748617</v>
      </c>
      <c r="P220" s="48">
        <v>4.5816783032885624</v>
      </c>
      <c r="Q220" s="48">
        <v>4.1259917454958988</v>
      </c>
      <c r="R220" s="48">
        <v>3.29463888924839</v>
      </c>
      <c r="S220" s="48">
        <v>1.3573442216821323</v>
      </c>
      <c r="T220" s="48">
        <v>0.37933547742744572</v>
      </c>
      <c r="U220" s="48">
        <v>9.2714430601732331E-2</v>
      </c>
      <c r="V220" s="48">
        <v>7.7756972490197265E-2</v>
      </c>
      <c r="W220" s="48">
        <v>0.73653113871609732</v>
      </c>
      <c r="X220" s="48">
        <v>2.5273773985943335</v>
      </c>
      <c r="Y220" s="48">
        <v>4.0247771083041837</v>
      </c>
      <c r="Z220" s="48">
        <v>7.3386215791884357</v>
      </c>
      <c r="AA220" s="48"/>
      <c r="AB220" s="48">
        <v>3.9757573452313104</v>
      </c>
      <c r="AC220" s="48">
        <v>2.9705220178437277</v>
      </c>
      <c r="AD220" s="48">
        <v>2.2936716868001419</v>
      </c>
      <c r="AE220" s="48">
        <v>1.9572928608491227</v>
      </c>
      <c r="AF220" s="48">
        <v>0.76881742570529543</v>
      </c>
      <c r="AG220" s="48">
        <v>0.19080263839530967</v>
      </c>
      <c r="AH220" s="48">
        <v>5.1450835044428447E-2</v>
      </c>
      <c r="AI220" s="48">
        <v>3.4433527218801649E-2</v>
      </c>
      <c r="AJ220" s="48">
        <v>0.41989850818668023</v>
      </c>
      <c r="AK220" s="48">
        <v>1.2986770073583698</v>
      </c>
      <c r="AL220" s="48">
        <v>2.6217682964028293</v>
      </c>
      <c r="AM220" s="38">
        <v>4.6783749626607563</v>
      </c>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row>
    <row r="221" spans="1:131">
      <c r="A221" s="27" t="s">
        <v>241</v>
      </c>
      <c r="B221" s="27"/>
      <c r="C221" s="48">
        <v>163.51238390770072</v>
      </c>
      <c r="D221" s="48">
        <v>478.21740253086421</v>
      </c>
      <c r="E221" s="48">
        <v>95.64348050617285</v>
      </c>
      <c r="F221" s="48">
        <v>573.86088303703707</v>
      </c>
      <c r="G221" s="48">
        <v>414.6423837424453</v>
      </c>
      <c r="H221" s="48">
        <v>165.39635339951798</v>
      </c>
      <c r="I221" s="48">
        <v>30743.979234270668</v>
      </c>
      <c r="J221" s="48">
        <v>15.603449694595122</v>
      </c>
      <c r="K221" s="48">
        <v>150.93896574530709</v>
      </c>
      <c r="L221" s="50">
        <v>0.39888916301005484</v>
      </c>
      <c r="M221" s="48">
        <v>1.553384968129611</v>
      </c>
      <c r="N221" s="48">
        <v>8.5240827571148772E-2</v>
      </c>
      <c r="O221" s="48">
        <v>18.397489055394345</v>
      </c>
      <c r="P221" s="48">
        <v>13.35127185833403</v>
      </c>
      <c r="Q221" s="48">
        <v>12.023375242172342</v>
      </c>
      <c r="R221" s="48">
        <v>9.6007656089302884</v>
      </c>
      <c r="S221" s="48">
        <v>3.9553784681935111</v>
      </c>
      <c r="T221" s="48">
        <v>1.1054052138513446</v>
      </c>
      <c r="U221" s="48">
        <v>0.27017513806368387</v>
      </c>
      <c r="V221" s="48">
        <v>0.22658825213731709</v>
      </c>
      <c r="W221" s="48">
        <v>2.146293740891569</v>
      </c>
      <c r="X221" s="48">
        <v>7.3649218700103818</v>
      </c>
      <c r="Y221" s="48">
        <v>11.728430017358264</v>
      </c>
      <c r="Z221" s="48">
        <v>21.385161786425499</v>
      </c>
      <c r="AA221" s="48"/>
      <c r="AB221" s="48">
        <v>11.585583632279832</v>
      </c>
      <c r="AC221" s="48">
        <v>8.656270562019138</v>
      </c>
      <c r="AD221" s="48">
        <v>6.6838900981441425</v>
      </c>
      <c r="AE221" s="48">
        <v>5.7036630164139073</v>
      </c>
      <c r="AF221" s="48">
        <v>2.2403778223906077</v>
      </c>
      <c r="AG221" s="48">
        <v>0.55600976931852875</v>
      </c>
      <c r="AH221" s="48">
        <v>0.1499306674419737</v>
      </c>
      <c r="AI221" s="48">
        <v>0.10034126198026316</v>
      </c>
      <c r="AJ221" s="48">
        <v>1.2236081986998852</v>
      </c>
      <c r="AK221" s="48">
        <v>3.7844188599980835</v>
      </c>
      <c r="AL221" s="48">
        <v>7.6399823291196336</v>
      </c>
      <c r="AM221" s="38">
        <v>13.633051438132162</v>
      </c>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row>
    <row r="222" spans="1:131">
      <c r="A222" s="27" t="s">
        <v>221</v>
      </c>
      <c r="B222" s="27"/>
      <c r="C222" s="48">
        <v>78.181732072535269</v>
      </c>
      <c r="D222" s="48">
        <v>239.1087012654321</v>
      </c>
      <c r="E222" s="48">
        <v>47.821740253086425</v>
      </c>
      <c r="F222" s="48">
        <v>286.93044151851853</v>
      </c>
      <c r="G222" s="48">
        <v>207.32119187122265</v>
      </c>
      <c r="H222" s="48">
        <v>79.082532333176331</v>
      </c>
      <c r="I222" s="48">
        <v>32149.590461493524</v>
      </c>
      <c r="J222" s="48">
        <v>17.94689298925514</v>
      </c>
      <c r="K222" s="48">
        <v>159.46993341192052</v>
      </c>
      <c r="L222" s="50">
        <v>0.38144934253657181</v>
      </c>
      <c r="M222" s="48">
        <v>0.74273473654672539</v>
      </c>
      <c r="N222" s="48">
        <v>4.0757008023138926E-2</v>
      </c>
      <c r="O222" s="48">
        <v>8.7965665092875014</v>
      </c>
      <c r="P222" s="48">
        <v>6.3837706619522381</v>
      </c>
      <c r="Q222" s="48">
        <v>5.7488508168389663</v>
      </c>
      <c r="R222" s="48">
        <v>4.5905054197748045</v>
      </c>
      <c r="S222" s="48">
        <v>1.8912227456749608</v>
      </c>
      <c r="T222" s="48">
        <v>0.5285379137380386</v>
      </c>
      <c r="U222" s="48">
        <v>0.12918140970092215</v>
      </c>
      <c r="V222" s="48">
        <v>0.10834079716789873</v>
      </c>
      <c r="W222" s="48">
        <v>1.0262278500817661</v>
      </c>
      <c r="X222" s="48">
        <v>3.5214601769939047</v>
      </c>
      <c r="Y222" s="48">
        <v>5.6078258498523397</v>
      </c>
      <c r="Z222" s="48">
        <v>10.225090902337444</v>
      </c>
      <c r="AA222" s="48"/>
      <c r="AB222" s="48">
        <v>5.5395253484540108</v>
      </c>
      <c r="AC222" s="48">
        <v>4.1389050153483939</v>
      </c>
      <c r="AD222" s="48">
        <v>3.195831975334356</v>
      </c>
      <c r="AE222" s="48">
        <v>2.7271466730802119</v>
      </c>
      <c r="AF222" s="48">
        <v>1.0712131672562777</v>
      </c>
      <c r="AG222" s="48">
        <v>0.26585024189428452</v>
      </c>
      <c r="AH222" s="48">
        <v>7.1687776737580339E-2</v>
      </c>
      <c r="AI222" s="48">
        <v>4.7977122420215325E-2</v>
      </c>
      <c r="AJ222" s="48">
        <v>0.5850554316822395</v>
      </c>
      <c r="AK222" s="48">
        <v>1.8094802013872737</v>
      </c>
      <c r="AL222" s="48">
        <v>3.65297745173419</v>
      </c>
      <c r="AM222" s="38">
        <v>6.5185006138054549</v>
      </c>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row>
    <row r="223" spans="1:131">
      <c r="A223" s="27" t="s">
        <v>232</v>
      </c>
      <c r="B223" s="27"/>
      <c r="C223" s="48">
        <v>77.417109014497882</v>
      </c>
      <c r="D223" s="48">
        <v>239.1087012654321</v>
      </c>
      <c r="E223" s="48">
        <v>47.821740253086425</v>
      </c>
      <c r="F223" s="48">
        <v>286.93044151851853</v>
      </c>
      <c r="G223" s="48">
        <v>207.32119187122265</v>
      </c>
      <c r="H223" s="48">
        <v>78.309099382703494</v>
      </c>
      <c r="I223" s="48">
        <v>32467.121282344939</v>
      </c>
      <c r="J223" s="48">
        <v>18.476282238971319</v>
      </c>
      <c r="K223" s="48">
        <v>161.39709870014082</v>
      </c>
      <c r="L223" s="50">
        <v>0.37771874006659728</v>
      </c>
      <c r="M223" s="48">
        <v>0.73547073649819539</v>
      </c>
      <c r="N223" s="48">
        <v>4.035840150362368E-2</v>
      </c>
      <c r="O223" s="48">
        <v>8.7105354454282313</v>
      </c>
      <c r="P223" s="48">
        <v>6.3213369179566126</v>
      </c>
      <c r="Q223" s="48">
        <v>5.6926266353678541</v>
      </c>
      <c r="R223" s="48">
        <v>4.5456099410106754</v>
      </c>
      <c r="S223" s="48">
        <v>1.8727264488944519</v>
      </c>
      <c r="T223" s="48">
        <v>0.52336877428336226</v>
      </c>
      <c r="U223" s="48">
        <v>0.12791800606546089</v>
      </c>
      <c r="V223" s="48">
        <v>0.10728121624733444</v>
      </c>
      <c r="W223" s="48">
        <v>1.0161912666476125</v>
      </c>
      <c r="X223" s="48">
        <v>3.4870200388962758</v>
      </c>
      <c r="Y223" s="48">
        <v>5.5529809028732044</v>
      </c>
      <c r="Z223" s="48">
        <v>10.12508876542902</v>
      </c>
      <c r="AA223" s="48"/>
      <c r="AB223" s="48">
        <v>5.4853483853741851</v>
      </c>
      <c r="AC223" s="48">
        <v>4.0984262215705094</v>
      </c>
      <c r="AD223" s="48">
        <v>3.1645765048660546</v>
      </c>
      <c r="AE223" s="48">
        <v>2.7004749791485345</v>
      </c>
      <c r="AF223" s="48">
        <v>1.0607366241298413</v>
      </c>
      <c r="AG223" s="48">
        <v>0.26325020708374092</v>
      </c>
      <c r="AH223" s="48">
        <v>7.0986665037699681E-2</v>
      </c>
      <c r="AI223" s="48">
        <v>4.7507902653803093E-2</v>
      </c>
      <c r="AJ223" s="48">
        <v>0.57933354676826476</v>
      </c>
      <c r="AK223" s="48">
        <v>1.7917833526687112</v>
      </c>
      <c r="AL223" s="48">
        <v>3.6172510650701653</v>
      </c>
      <c r="AM223" s="38">
        <v>6.4547492010262868</v>
      </c>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row>
    <row r="224" spans="1:131">
      <c r="A224" s="27" t="s">
        <v>242</v>
      </c>
      <c r="B224" s="27"/>
      <c r="C224" s="48">
        <v>173.59575203746954</v>
      </c>
      <c r="D224" s="48">
        <v>616.64875589506164</v>
      </c>
      <c r="E224" s="48">
        <v>123.32975117901233</v>
      </c>
      <c r="F224" s="48">
        <v>739.97850707407395</v>
      </c>
      <c r="G224" s="48">
        <v>534.67044219420575</v>
      </c>
      <c r="H224" s="48">
        <v>175.5959008514719</v>
      </c>
      <c r="I224" s="48">
        <v>37340.842998103682</v>
      </c>
      <c r="J224" s="48">
        <v>26.601779711981298</v>
      </c>
      <c r="K224" s="48">
        <v>190.97680151409514</v>
      </c>
      <c r="L224" s="50">
        <v>0.32841894182676934</v>
      </c>
      <c r="M224" s="48">
        <v>1.6491780335022097</v>
      </c>
      <c r="N224" s="48">
        <v>9.0497399725165059E-2</v>
      </c>
      <c r="O224" s="48">
        <v>19.532012633214908</v>
      </c>
      <c r="P224" s="48">
        <v>14.174608818696605</v>
      </c>
      <c r="Q224" s="48">
        <v>12.764824396247469</v>
      </c>
      <c r="R224" s="48">
        <v>10.192818954670232</v>
      </c>
      <c r="S224" s="48">
        <v>4.1992960005185838</v>
      </c>
      <c r="T224" s="48">
        <v>1.1735725748637114</v>
      </c>
      <c r="U224" s="48">
        <v>0.2868361108383517</v>
      </c>
      <c r="V224" s="48">
        <v>0.24056133910222335</v>
      </c>
      <c r="W224" s="48">
        <v>2.2786498926815444</v>
      </c>
      <c r="X224" s="48">
        <v>7.8190967568753429</v>
      </c>
      <c r="Y224" s="48">
        <v>12.451690694152081</v>
      </c>
      <c r="Z224" s="48">
        <v>22.703927091253508</v>
      </c>
      <c r="AA224" s="48"/>
      <c r="AB224" s="48">
        <v>12.300035357406934</v>
      </c>
      <c r="AC224" s="48">
        <v>9.1900794431677983</v>
      </c>
      <c r="AD224" s="48">
        <v>7.0960675906853048</v>
      </c>
      <c r="AE224" s="48">
        <v>6.055392546056833</v>
      </c>
      <c r="AF224" s="48">
        <v>2.3785358859760923</v>
      </c>
      <c r="AG224" s="48">
        <v>0.59029739361829614</v>
      </c>
      <c r="AH224" s="48">
        <v>0.15917648771337739</v>
      </c>
      <c r="AI224" s="48">
        <v>0.10652903723601197</v>
      </c>
      <c r="AJ224" s="48">
        <v>1.2990648192886893</v>
      </c>
      <c r="AK224" s="48">
        <v>4.0177937739381866</v>
      </c>
      <c r="AL224" s="48">
        <v>8.1111194533445943</v>
      </c>
      <c r="AM224" s="38">
        <v>14.473764985922879</v>
      </c>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row>
    <row r="225" spans="1:131">
      <c r="A225" s="27" t="s">
        <v>222</v>
      </c>
      <c r="B225" s="27"/>
      <c r="C225" s="48">
        <v>96.265864434004669</v>
      </c>
      <c r="D225" s="48">
        <v>377.54005462962965</v>
      </c>
      <c r="E225" s="48">
        <v>75.50801092592593</v>
      </c>
      <c r="F225" s="48">
        <v>453.04806555555558</v>
      </c>
      <c r="G225" s="48">
        <v>327.34925032298321</v>
      </c>
      <c r="H225" s="48">
        <v>97.375027834126541</v>
      </c>
      <c r="I225" s="48">
        <v>41226.462543089932</v>
      </c>
      <c r="J225" s="48">
        <v>33.07990744171542</v>
      </c>
      <c r="K225" s="48">
        <v>214.55949213369954</v>
      </c>
      <c r="L225" s="50">
        <v>0.2974652538169868</v>
      </c>
      <c r="M225" s="48">
        <v>0.91453590964826603</v>
      </c>
      <c r="N225" s="48">
        <v>5.0184467714925893E-2</v>
      </c>
      <c r="O225" s="48">
        <v>10.831290847868727</v>
      </c>
      <c r="P225" s="48">
        <v>7.860393788041363</v>
      </c>
      <c r="Q225" s="48">
        <v>7.0786113164094138</v>
      </c>
      <c r="R225" s="48">
        <v>5.6523302913474947</v>
      </c>
      <c r="S225" s="48">
        <v>2.3286794449723942</v>
      </c>
      <c r="T225" s="48">
        <v>0.65079345012377321</v>
      </c>
      <c r="U225" s="48">
        <v>0.15906222264460662</v>
      </c>
      <c r="V225" s="48">
        <v>0.13340099044058859</v>
      </c>
      <c r="W225" s="48">
        <v>1.2636035103790684</v>
      </c>
      <c r="X225" s="48">
        <v>4.3360053432140386</v>
      </c>
      <c r="Y225" s="48">
        <v>6.9049660159810582</v>
      </c>
      <c r="Z225" s="48">
        <v>12.590245681901163</v>
      </c>
      <c r="AA225" s="48"/>
      <c r="AB225" s="48">
        <v>6.8208669990612742</v>
      </c>
      <c r="AC225" s="48">
        <v>5.096270683068151</v>
      </c>
      <c r="AD225" s="48">
        <v>3.9350564324408173</v>
      </c>
      <c r="AE225" s="48">
        <v>3.3579600369919662</v>
      </c>
      <c r="AF225" s="48">
        <v>1.3189943328876363</v>
      </c>
      <c r="AG225" s="48">
        <v>0.32734377542567838</v>
      </c>
      <c r="AH225" s="48">
        <v>8.8269799274751662E-2</v>
      </c>
      <c r="AI225" s="48">
        <v>5.9074659007977696E-2</v>
      </c>
      <c r="AJ225" s="48">
        <v>0.72038397435921864</v>
      </c>
      <c r="AK225" s="48">
        <v>2.2280291206793943</v>
      </c>
      <c r="AL225" s="48">
        <v>4.4979437373280478</v>
      </c>
      <c r="AM225" s="38">
        <v>8.02628798015607</v>
      </c>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row>
    <row r="226" spans="1:131">
      <c r="A226" s="27" t="s">
        <v>233</v>
      </c>
      <c r="B226" s="27"/>
      <c r="C226" s="48">
        <v>95.351569631990586</v>
      </c>
      <c r="D226" s="48">
        <v>377.54005462962965</v>
      </c>
      <c r="E226" s="48">
        <v>75.50801092592593</v>
      </c>
      <c r="F226" s="48">
        <v>453.04806555555558</v>
      </c>
      <c r="G226" s="48">
        <v>327.34925032298321</v>
      </c>
      <c r="H226" s="48">
        <v>96.45019864032902</v>
      </c>
      <c r="I226" s="48">
        <v>41621.769516578177</v>
      </c>
      <c r="J226" s="48">
        <v>33.738965549968917</v>
      </c>
      <c r="K226" s="48">
        <v>216.95869821849863</v>
      </c>
      <c r="L226" s="50">
        <v>0.29464004742691552</v>
      </c>
      <c r="M226" s="48">
        <v>0.90585001217710448</v>
      </c>
      <c r="N226" s="48">
        <v>4.9707835647646678E-2</v>
      </c>
      <c r="O226" s="48">
        <v>10.728419565514034</v>
      </c>
      <c r="P226" s="48">
        <v>7.7857389015512828</v>
      </c>
      <c r="Q226" s="48">
        <v>7.0113814881611249</v>
      </c>
      <c r="R226" s="48">
        <v>5.5986467116587812</v>
      </c>
      <c r="S226" s="48">
        <v>2.3065625759803239</v>
      </c>
      <c r="T226" s="48">
        <v>0.64461247338678151</v>
      </c>
      <c r="U226" s="48">
        <v>0.15755151306737666</v>
      </c>
      <c r="V226" s="48">
        <v>0.13213400101645084</v>
      </c>
      <c r="W226" s="48">
        <v>1.2516023079991911</v>
      </c>
      <c r="X226" s="48">
        <v>4.2948236931025008</v>
      </c>
      <c r="Y226" s="48">
        <v>6.8393854015689435</v>
      </c>
      <c r="Z226" s="48">
        <v>12.470668547776596</v>
      </c>
      <c r="AA226" s="48"/>
      <c r="AB226" s="48">
        <v>6.7560851235840493</v>
      </c>
      <c r="AC226" s="48">
        <v>5.0478683358541989</v>
      </c>
      <c r="AD226" s="48">
        <v>3.897682835237219</v>
      </c>
      <c r="AE226" s="48">
        <v>3.3260674712809135</v>
      </c>
      <c r="AF226" s="48">
        <v>1.3064670505582709</v>
      </c>
      <c r="AG226" s="48">
        <v>0.32423479474905925</v>
      </c>
      <c r="AH226" s="48">
        <v>8.7431447911823224E-2</v>
      </c>
      <c r="AI226" s="48">
        <v>5.8513591448055916E-2</v>
      </c>
      <c r="AJ226" s="48">
        <v>0.71354205456674213</v>
      </c>
      <c r="AK226" s="48">
        <v>2.2068681883411232</v>
      </c>
      <c r="AL226" s="48">
        <v>4.455224060909309</v>
      </c>
      <c r="AM226" s="38">
        <v>7.9500574967664397</v>
      </c>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row>
    <row r="227" spans="1:131">
      <c r="A227" s="27" t="s">
        <v>1677</v>
      </c>
      <c r="B227" s="27"/>
      <c r="C227" s="48">
        <v>31.579529644069172</v>
      </c>
      <c r="D227" s="48">
        <v>138.43135336419752</v>
      </c>
      <c r="E227" s="48">
        <v>27.686270672839505</v>
      </c>
      <c r="F227" s="48">
        <v>166.11762403703702</v>
      </c>
      <c r="G227" s="48">
        <v>120.02805845176047</v>
      </c>
      <c r="H227" s="48">
        <v>31.943385084210956</v>
      </c>
      <c r="I227" s="48">
        <v>46080.179247943233</v>
      </c>
      <c r="J227" s="48">
        <v>41.172052443033387</v>
      </c>
      <c r="K227" s="48">
        <v>244.017780079944</v>
      </c>
      <c r="L227" s="50">
        <v>0.26613264845110418</v>
      </c>
      <c r="M227" s="48">
        <v>0.30000887686519845</v>
      </c>
      <c r="N227" s="48">
        <v>1.6462760659691576E-2</v>
      </c>
      <c r="O227" s="48">
        <v>3.5531501475094212</v>
      </c>
      <c r="P227" s="48">
        <v>2.5785624021865243</v>
      </c>
      <c r="Q227" s="48">
        <v>2.3221026188222984</v>
      </c>
      <c r="R227" s="48">
        <v>1.8542183466918132</v>
      </c>
      <c r="S227" s="48">
        <v>0.76391150691276311</v>
      </c>
      <c r="T227" s="48">
        <v>0.21348949776936826</v>
      </c>
      <c r="U227" s="48">
        <v>5.2179557154452112E-2</v>
      </c>
      <c r="V227" s="48">
        <v>4.3761519796612969E-2</v>
      </c>
      <c r="W227" s="48">
        <v>0.41451873671920292</v>
      </c>
      <c r="X227" s="48">
        <v>1.4224046091306033</v>
      </c>
      <c r="Y227" s="48">
        <v>2.2651391568031123</v>
      </c>
      <c r="Z227" s="48">
        <v>4.1301663790728584</v>
      </c>
      <c r="AA227" s="48"/>
      <c r="AB227" s="48">
        <v>2.2375508999119473</v>
      </c>
      <c r="AC227" s="48">
        <v>1.6718058063092833</v>
      </c>
      <c r="AD227" s="48">
        <v>1.2908753480787742</v>
      </c>
      <c r="AE227" s="48">
        <v>1.1015617961285264</v>
      </c>
      <c r="AF227" s="48">
        <v>0.43268941572056252</v>
      </c>
      <c r="AG227" s="48">
        <v>0.1073834689028689</v>
      </c>
      <c r="AH227" s="48">
        <v>2.8956460935164061E-2</v>
      </c>
      <c r="AI227" s="48">
        <v>1.9379142921784519E-2</v>
      </c>
      <c r="AJ227" s="48">
        <v>0.23631831706019965</v>
      </c>
      <c r="AK227" s="48">
        <v>0.73089367740088051</v>
      </c>
      <c r="AL227" s="48">
        <v>1.475527679779828</v>
      </c>
      <c r="AM227" s="38">
        <v>2.6329831523503255</v>
      </c>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row>
    <row r="228" spans="1:131">
      <c r="A228" s="27" t="s">
        <v>246</v>
      </c>
      <c r="B228" s="27"/>
      <c r="C228" s="48">
        <v>80.891595786455383</v>
      </c>
      <c r="D228" s="48">
        <v>436.41697398915824</v>
      </c>
      <c r="E228" s="48">
        <v>87.283394797831647</v>
      </c>
      <c r="F228" s="48">
        <v>523.70036878698988</v>
      </c>
      <c r="G228" s="48">
        <v>378.39897386178944</v>
      </c>
      <c r="H228" s="48">
        <v>81.823618762110414</v>
      </c>
      <c r="I228" s="48">
        <v>56713.125584576352</v>
      </c>
      <c r="J228" s="48">
        <v>58.899363033952667</v>
      </c>
      <c r="K228" s="48">
        <v>308.55150010285007</v>
      </c>
      <c r="L228" s="50">
        <v>0.21623636535546356</v>
      </c>
      <c r="M228" s="48">
        <v>0.7684787288871433</v>
      </c>
      <c r="N228" s="48">
        <v>4.216969017025976E-2</v>
      </c>
      <c r="O228" s="48">
        <v>9.1014650547493385</v>
      </c>
      <c r="P228" s="48">
        <v>6.6050390838229944</v>
      </c>
      <c r="Q228" s="48">
        <v>5.9481122275587808</v>
      </c>
      <c r="R228" s="48">
        <v>4.7496173214407866</v>
      </c>
      <c r="S228" s="48">
        <v>1.9567745793013906</v>
      </c>
      <c r="T228" s="48">
        <v>0.546857611650857</v>
      </c>
      <c r="U228" s="48">
        <v>0.13365897761073509</v>
      </c>
      <c r="V228" s="48">
        <v>0.11209600682109601</v>
      </c>
      <c r="W228" s="48">
        <v>1.0617980215199065</v>
      </c>
      <c r="X228" s="48">
        <v>3.6435178099048384</v>
      </c>
      <c r="Y228" s="48">
        <v>5.8021991821085139</v>
      </c>
      <c r="Z228" s="48">
        <v>10.579503654181718</v>
      </c>
      <c r="AA228" s="48"/>
      <c r="AB228" s="48">
        <v>5.7315313111792801</v>
      </c>
      <c r="AC228" s="48">
        <v>4.2823639567037581</v>
      </c>
      <c r="AD228" s="48">
        <v>3.3066029812479809</v>
      </c>
      <c r="AE228" s="48">
        <v>2.8216725375757896</v>
      </c>
      <c r="AF228" s="48">
        <v>1.1083425786273129</v>
      </c>
      <c r="AG228" s="48">
        <v>0.27506489990643784</v>
      </c>
      <c r="AH228" s="48">
        <v>7.4172552909238215E-2</v>
      </c>
      <c r="AI228" s="48">
        <v>4.964006157106738E-2</v>
      </c>
      <c r="AJ228" s="48">
        <v>0.6053340881269017</v>
      </c>
      <c r="AK228" s="48">
        <v>1.8721987496825063</v>
      </c>
      <c r="AL228" s="48">
        <v>3.7795936161732016</v>
      </c>
      <c r="AM228" s="38">
        <v>6.7444389220809597</v>
      </c>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row>
    <row r="229" spans="1:131">
      <c r="A229" s="27" t="s">
        <v>243</v>
      </c>
      <c r="B229" s="27"/>
      <c r="C229" s="48">
        <v>43.648485215587066</v>
      </c>
      <c r="D229" s="48">
        <v>239.1087012654321</v>
      </c>
      <c r="E229" s="48">
        <v>47.821740253086425</v>
      </c>
      <c r="F229" s="48">
        <v>286.93044151851853</v>
      </c>
      <c r="G229" s="48">
        <v>207.32119187122265</v>
      </c>
      <c r="H229" s="48">
        <v>44.151397671175928</v>
      </c>
      <c r="I229" s="48">
        <v>57585.289736575709</v>
      </c>
      <c r="J229" s="48">
        <v>60.353440231303949</v>
      </c>
      <c r="K229" s="48">
        <v>313.84485863370514</v>
      </c>
      <c r="L229" s="50">
        <v>0.21296133440425388</v>
      </c>
      <c r="M229" s="48">
        <v>0.41466523326938892</v>
      </c>
      <c r="N229" s="48">
        <v>2.2754441670325792E-2</v>
      </c>
      <c r="O229" s="48">
        <v>4.9110807991864043</v>
      </c>
      <c r="P229" s="48">
        <v>3.5640284753400318</v>
      </c>
      <c r="Q229" s="48">
        <v>3.2095557777180646</v>
      </c>
      <c r="R229" s="48">
        <v>2.5628571104208251</v>
      </c>
      <c r="S229" s="48">
        <v>1.0558605682640592</v>
      </c>
      <c r="T229" s="48">
        <v>0.2950801766871613</v>
      </c>
      <c r="U229" s="48">
        <v>7.212136009250926E-2</v>
      </c>
      <c r="V229" s="48">
        <v>6.048614629106152E-2</v>
      </c>
      <c r="W229" s="48">
        <v>0.57293807587377898</v>
      </c>
      <c r="X229" s="48">
        <v>1.9660142900158786</v>
      </c>
      <c r="Y229" s="48">
        <v>3.1308222165220365</v>
      </c>
      <c r="Z229" s="48">
        <v>5.7086191012579963</v>
      </c>
      <c r="AA229" s="48"/>
      <c r="AB229" s="48">
        <v>3.0926903748951937</v>
      </c>
      <c r="AC229" s="48">
        <v>2.3107307753625115</v>
      </c>
      <c r="AD229" s="48">
        <v>1.7842176302446633</v>
      </c>
      <c r="AE229" s="48">
        <v>1.522552878852061</v>
      </c>
      <c r="AF229" s="48">
        <v>0.59805316221886573</v>
      </c>
      <c r="AG229" s="48">
        <v>0.14842291217233494</v>
      </c>
      <c r="AH229" s="48">
        <v>4.0022941166940475E-2</v>
      </c>
      <c r="AI229" s="48">
        <v>2.6785396832885382E-2</v>
      </c>
      <c r="AJ229" s="48">
        <v>0.32663363528949041</v>
      </c>
      <c r="AK229" s="48">
        <v>1.0102240987047084</v>
      </c>
      <c r="AL229" s="48">
        <v>2.0394397523319312</v>
      </c>
      <c r="AM229" s="38">
        <v>3.6392475598456788</v>
      </c>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row>
    <row r="230" spans="1:131">
      <c r="A230" s="27" t="s">
        <v>247</v>
      </c>
      <c r="B230" s="27"/>
      <c r="C230" s="48">
        <v>104.5381966544835</v>
      </c>
      <c r="D230" s="48">
        <v>689.07943261446042</v>
      </c>
      <c r="E230" s="48">
        <v>137.8158865228921</v>
      </c>
      <c r="F230" s="48">
        <v>826.89531913735254</v>
      </c>
      <c r="G230" s="48">
        <v>597.47206399229924</v>
      </c>
      <c r="H230" s="48">
        <v>105.7426728447262</v>
      </c>
      <c r="I230" s="48">
        <v>69291.447790940438</v>
      </c>
      <c r="J230" s="48">
        <v>79.870015702127304</v>
      </c>
      <c r="K230" s="48">
        <v>384.8921396513453</v>
      </c>
      <c r="L230" s="50">
        <v>0.17698345950797309</v>
      </c>
      <c r="M230" s="48">
        <v>0.99312394203803223</v>
      </c>
      <c r="N230" s="48">
        <v>5.4496926671032425E-2</v>
      </c>
      <c r="O230" s="48">
        <v>11.762046903475827</v>
      </c>
      <c r="P230" s="48">
        <v>8.5358542867422642</v>
      </c>
      <c r="Q230" s="48">
        <v>7.6868915704045699</v>
      </c>
      <c r="R230" s="48">
        <v>6.138047157495385</v>
      </c>
      <c r="S230" s="48">
        <v>2.5287878646814193</v>
      </c>
      <c r="T230" s="48">
        <v>0.70671752724070591</v>
      </c>
      <c r="U230" s="48">
        <v>0.17273078062391004</v>
      </c>
      <c r="V230" s="48">
        <v>0.14486442369342145</v>
      </c>
      <c r="W230" s="48">
        <v>1.3721876704474067</v>
      </c>
      <c r="X230" s="48">
        <v>4.7086075830602088</v>
      </c>
      <c r="Y230" s="48">
        <v>7.4983245568423449</v>
      </c>
      <c r="Z230" s="48">
        <v>13.672152499343563</v>
      </c>
      <c r="AA230" s="48"/>
      <c r="AB230" s="48">
        <v>7.40699873100679</v>
      </c>
      <c r="AC230" s="48">
        <v>5.5342041543322864</v>
      </c>
      <c r="AD230" s="48">
        <v>4.2732042723513901</v>
      </c>
      <c r="AE230" s="48">
        <v>3.6465167457735337</v>
      </c>
      <c r="AF230" s="48">
        <v>1.4323383451470968</v>
      </c>
      <c r="AG230" s="48">
        <v>0.35547312819831606</v>
      </c>
      <c r="AH230" s="48">
        <v>9.585501246458715E-2</v>
      </c>
      <c r="AI230" s="48">
        <v>6.4151071171299756E-2</v>
      </c>
      <c r="AJ230" s="48">
        <v>0.78228811449493363</v>
      </c>
      <c r="AK230" s="48">
        <v>2.4194884421276184</v>
      </c>
      <c r="AL230" s="48">
        <v>4.8844616907372558</v>
      </c>
      <c r="AM230" s="38">
        <v>8.7160041226273712</v>
      </c>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row>
    <row r="231" spans="1:131">
      <c r="A231" s="27" t="s">
        <v>244</v>
      </c>
      <c r="B231" s="27"/>
      <c r="C231" s="48">
        <v>53.731853345355894</v>
      </c>
      <c r="D231" s="48">
        <v>377.54005462962965</v>
      </c>
      <c r="E231" s="48">
        <v>75.50801092592593</v>
      </c>
      <c r="F231" s="48">
        <v>453.04806555555558</v>
      </c>
      <c r="G231" s="48">
        <v>327.34925032298321</v>
      </c>
      <c r="H231" s="48">
        <v>54.350945123129726</v>
      </c>
      <c r="I231" s="48">
        <v>73861.235136600517</v>
      </c>
      <c r="J231" s="48">
        <v>87.488792007982397</v>
      </c>
      <c r="K231" s="48">
        <v>412.62719706558471</v>
      </c>
      <c r="L231" s="50">
        <v>0.1660335102936808</v>
      </c>
      <c r="M231" s="48">
        <v>0.51045829864198844</v>
      </c>
      <c r="N231" s="48">
        <v>2.8011013824342085E-2</v>
      </c>
      <c r="O231" s="48">
        <v>6.0456043770069678</v>
      </c>
      <c r="P231" s="48">
        <v>4.3873654357026073</v>
      </c>
      <c r="Q231" s="48">
        <v>3.9510049317931917</v>
      </c>
      <c r="R231" s="48">
        <v>3.1549104561607684</v>
      </c>
      <c r="S231" s="48">
        <v>1.2997781005891318</v>
      </c>
      <c r="T231" s="48">
        <v>0.36324753769952806</v>
      </c>
      <c r="U231" s="48">
        <v>8.8782332867177127E-2</v>
      </c>
      <c r="V231" s="48">
        <v>7.4459233255967816E-2</v>
      </c>
      <c r="W231" s="48">
        <v>0.70529422766375438</v>
      </c>
      <c r="X231" s="48">
        <v>2.4201891768808399</v>
      </c>
      <c r="Y231" s="48">
        <v>3.8540828933158551</v>
      </c>
      <c r="Z231" s="48">
        <v>7.0273844060860036</v>
      </c>
      <c r="AA231" s="48"/>
      <c r="AB231" s="48">
        <v>3.807142100022296</v>
      </c>
      <c r="AC231" s="48">
        <v>2.8445396565111714</v>
      </c>
      <c r="AD231" s="48">
        <v>2.1963951227858263</v>
      </c>
      <c r="AE231" s="48">
        <v>1.8742824084949872</v>
      </c>
      <c r="AF231" s="48">
        <v>0.73621122580435061</v>
      </c>
      <c r="AG231" s="48">
        <v>0.18271053647210234</v>
      </c>
      <c r="AH231" s="48">
        <v>4.9268761438344189E-2</v>
      </c>
      <c r="AI231" s="48">
        <v>3.2973172088634192E-2</v>
      </c>
      <c r="AJ231" s="48">
        <v>0.40209025587829461</v>
      </c>
      <c r="AK231" s="48">
        <v>1.2435990126448115</v>
      </c>
      <c r="AL231" s="48">
        <v>2.5105768765568923</v>
      </c>
      <c r="AM231" s="38">
        <v>4.479961107636397</v>
      </c>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row>
    <row r="232" spans="1:131">
      <c r="A232" s="27"/>
      <c r="B232" s="27"/>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row>
  </sheetData>
  <mergeCells count="3">
    <mergeCell ref="I6:N6"/>
    <mergeCell ref="O6:P6"/>
    <mergeCell ref="R6:T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dimension ref="A2:U174"/>
  <sheetViews>
    <sheetView topLeftCell="A124" workbookViewId="0">
      <selection activeCell="A175" sqref="A175:XFD176"/>
    </sheetView>
  </sheetViews>
  <sheetFormatPr defaultRowHeight="12.75"/>
  <cols>
    <col min="3" max="3" width="15.7109375" customWidth="1"/>
    <col min="4" max="4" width="7.7109375" customWidth="1"/>
    <col min="5" max="5" width="11.42578125" customWidth="1"/>
    <col min="6" max="6" width="88.28515625" customWidth="1"/>
    <col min="7" max="7" width="43.85546875" customWidth="1"/>
    <col min="8" max="8" width="11" customWidth="1"/>
    <col min="20" max="20" width="11" customWidth="1"/>
  </cols>
  <sheetData>
    <row r="2" spans="1:21">
      <c r="A2" t="s">
        <v>21</v>
      </c>
      <c r="B2" t="s">
        <v>22</v>
      </c>
    </row>
    <row r="3" spans="1:21">
      <c r="A3" s="26" t="s">
        <v>79</v>
      </c>
      <c r="B3" s="26"/>
      <c r="C3" s="26"/>
      <c r="D3" s="26"/>
      <c r="E3" s="26"/>
      <c r="F3">
        <v>2</v>
      </c>
      <c r="G3">
        <v>3</v>
      </c>
      <c r="H3">
        <v>4</v>
      </c>
      <c r="I3">
        <v>5</v>
      </c>
      <c r="J3">
        <v>6</v>
      </c>
      <c r="K3">
        <v>7</v>
      </c>
      <c r="L3">
        <v>8</v>
      </c>
      <c r="M3">
        <v>9</v>
      </c>
      <c r="N3">
        <v>10</v>
      </c>
      <c r="O3">
        <v>11</v>
      </c>
      <c r="P3">
        <v>12</v>
      </c>
      <c r="Q3">
        <v>13</v>
      </c>
      <c r="R3">
        <v>14</v>
      </c>
      <c r="S3">
        <v>15</v>
      </c>
      <c r="T3">
        <v>16</v>
      </c>
      <c r="U3">
        <v>17</v>
      </c>
    </row>
    <row r="4" spans="1:21">
      <c r="F4" s="12" t="s">
        <v>2</v>
      </c>
      <c r="G4" s="13"/>
      <c r="H4" s="13"/>
      <c r="I4" s="13"/>
      <c r="J4" s="13"/>
      <c r="K4" s="13"/>
      <c r="L4" s="14"/>
      <c r="M4" s="28"/>
      <c r="N4" s="639" t="s">
        <v>3</v>
      </c>
      <c r="O4" s="640"/>
      <c r="P4" s="640"/>
      <c r="Q4" s="640"/>
      <c r="R4" s="640"/>
      <c r="S4" s="641"/>
      <c r="T4" s="642" t="s">
        <v>4</v>
      </c>
      <c r="U4" s="643"/>
    </row>
    <row r="5" spans="1:21" ht="25.5">
      <c r="A5" s="27" t="s">
        <v>23</v>
      </c>
      <c r="B5" s="27" t="s">
        <v>215</v>
      </c>
      <c r="C5" t="s">
        <v>292</v>
      </c>
      <c r="D5" t="s">
        <v>293</v>
      </c>
      <c r="E5" t="s">
        <v>294</v>
      </c>
      <c r="F5" s="29" t="s">
        <v>5</v>
      </c>
      <c r="G5" s="29" t="s">
        <v>6</v>
      </c>
      <c r="H5" s="29" t="s">
        <v>7</v>
      </c>
      <c r="I5" s="29" t="s">
        <v>8</v>
      </c>
      <c r="J5" s="29" t="s">
        <v>9</v>
      </c>
      <c r="K5" s="29" t="s">
        <v>10</v>
      </c>
      <c r="L5" s="29" t="s">
        <v>11</v>
      </c>
      <c r="M5" s="29" t="s">
        <v>12</v>
      </c>
      <c r="N5" s="29" t="s">
        <v>13</v>
      </c>
      <c r="O5" s="29" t="s">
        <v>14</v>
      </c>
      <c r="P5" s="29" t="s">
        <v>15</v>
      </c>
      <c r="Q5" s="29" t="s">
        <v>16</v>
      </c>
      <c r="R5" s="29" t="s">
        <v>17</v>
      </c>
      <c r="S5" s="29" t="s">
        <v>18</v>
      </c>
      <c r="T5" s="30" t="s">
        <v>19</v>
      </c>
      <c r="U5" s="29" t="s">
        <v>11</v>
      </c>
    </row>
    <row r="6" spans="1:21">
      <c r="A6" t="s">
        <v>87</v>
      </c>
      <c r="B6" t="s">
        <v>77</v>
      </c>
      <c r="C6" t="s">
        <v>63</v>
      </c>
      <c r="D6" t="s">
        <v>59</v>
      </c>
      <c r="E6" t="str">
        <f t="shared" ref="E6:E19" si="0">B6&amp;D6&amp;G6</f>
        <v>Electric ZonalHZ1WALL R0 - R11</v>
      </c>
      <c r="F6" s="31" t="str">
        <f>Composite!B5</f>
        <v>Multi Family Weatherization - Insulate Walls - R-0 to R-11 - Heating Zone 1 (Zonal Heating System)</v>
      </c>
      <c r="G6" s="31" t="str">
        <f>Composite!C5</f>
        <v>WALL R0 - R11</v>
      </c>
      <c r="H6" s="31">
        <f>VLOOKUP($F6&amp;$G6,Composite!$A$5:$Q$841,H$3,FALSE)*VLOOKUP($C6,[3]!ExistingSat,MATCH($A6,[3]SATS!$C$10:$F$10,0)+1,FALSE)</f>
        <v>607.42509439510275</v>
      </c>
      <c r="I6">
        <f>VLOOKUP($F6&amp;$G6,Composite!$A$5:$Q$841,I$3,FALSE)</f>
        <v>45</v>
      </c>
      <c r="J6" s="31">
        <f>VLOOKUP($F6&amp;$G6,Composite!$A$5:$Q$841,J$3,FALSE)*VLOOKUP($C6,[3]!ExistingSat,MATCH($A6,[3]SATS!$C$10:$F$10,0)+1,FALSE)</f>
        <v>414.11354893012168</v>
      </c>
      <c r="K6" s="31">
        <f>VLOOKUP($F6&amp;$G6,Composite!$A$5:$Q$841,K$3,FALSE)*VLOOKUP($C6,[3]!ExistingSat,MATCH($A6,[3]SATS!$C$10:$F$10,0)+1,FALSE)</f>
        <v>0</v>
      </c>
      <c r="L6" t="str">
        <f>VLOOKUP($F6&amp;$G6,Composite!$A$5:$Q$841,L$3,FALSE)</f>
        <v>ResSHWX</v>
      </c>
      <c r="M6" s="31">
        <f>VLOOKUP($F6&amp;$G6,Composite!$A$5:$Q$841,M$3,FALSE)*VLOOKUP($C6,[3]!ExistingSat,MATCH($A6,[3]SATS!$C$10:$F$10,0)+1,FALSE)</f>
        <v>0</v>
      </c>
      <c r="N6" s="31">
        <f>VLOOKUP($F6&amp;$G6,Composite!$A$5:$Q$841,N$3,FALSE)*VLOOKUP($C6,[3]!ExistingSat,MATCH($A6,[3]SATS!$C$10:$F$10,0)+1,FALSE)</f>
        <v>0</v>
      </c>
      <c r="O6">
        <f>VLOOKUP($F6&amp;$G6,Composite!$A$5:$Q$841,O$3,FALSE)</f>
        <v>0</v>
      </c>
      <c r="P6" s="31">
        <f>VLOOKUP($F6&amp;$G6,Composite!$A$5:$Q$841,P$3,FALSE)*VLOOKUP($C6,[3]!ExistingSat,MATCH($A6,[3]SATS!$C$10:$F$10,0)+1,FALSE)</f>
        <v>0</v>
      </c>
      <c r="Q6">
        <f>VLOOKUP($F6&amp;$G6,Composite!$A$5:$Q$841,Q$3,FALSE)</f>
        <v>0</v>
      </c>
      <c r="R6" s="31">
        <f>VLOOKUP($F6&amp;$G6,Composite!$A$5:$Q$841,R$3,FALSE)*VLOOKUP($C6,[3]!ExistingSat,MATCH($A6,[3]SATS!$C$10:$F$10,0)+1,FALSE)</f>
        <v>0</v>
      </c>
      <c r="S6">
        <f>VLOOKUP($F6&amp;$G6,Composite!$A$5:$Q$841,S$3,FALSE)</f>
        <v>0</v>
      </c>
      <c r="T6" s="31">
        <f>VLOOKUP($F6&amp;$G6,Composite!$A$5:$Q$841,T$3,FALSE)*VLOOKUP($C6,[3]!ExistingSat,MATCH($A6,[3]SATS!$C$10:$F$10,0)+1,FALSE)</f>
        <v>0</v>
      </c>
    </row>
    <row r="7" spans="1:21">
      <c r="A7" t="s">
        <v>87</v>
      </c>
      <c r="B7" t="s">
        <v>77</v>
      </c>
      <c r="C7" t="s">
        <v>26</v>
      </c>
      <c r="D7" t="s">
        <v>59</v>
      </c>
      <c r="E7" t="str">
        <f t="shared" si="0"/>
        <v>Electric ZonalHZ1FLOOR R0 - R19</v>
      </c>
      <c r="F7" s="31" t="str">
        <f>Composite!B6</f>
        <v>Multi Family Weatherization - Insulate Floors - R-0 to R-19 - Heating Zone 1 (Zonal Heating System)</v>
      </c>
      <c r="G7" s="31" t="str">
        <f>Composite!C6</f>
        <v>FLOOR R0 - R19</v>
      </c>
      <c r="H7" s="31">
        <f>VLOOKUP($F7&amp;$G7,Composite!$A$5:$Q$841,H$3,FALSE)*VLOOKUP($C7,[3]!ExistingSat,MATCH($A7,[3]SATS!$C$10:$F$10,0)+1,FALSE)</f>
        <v>215.74089222111516</v>
      </c>
      <c r="I7">
        <f>VLOOKUP($F7&amp;$G7,Composite!$A$5:$Q$841,I$3,FALSE)</f>
        <v>45</v>
      </c>
      <c r="J7" s="31">
        <f>VLOOKUP($F7&amp;$G7,Composite!$A$5:$Q$841,J$3,FALSE)*VLOOKUP($C7,[3]!ExistingSat,MATCH($A7,[3]SATS!$C$10:$F$10,0)+1,FALSE)</f>
        <v>436.41697398915824</v>
      </c>
      <c r="K7" s="31">
        <f>VLOOKUP($F7&amp;$G7,Composite!$A$5:$Q$841,K$3,FALSE)*VLOOKUP($C7,[3]!ExistingSat,MATCH($A7,[3]SATS!$C$10:$F$10,0)+1,FALSE)</f>
        <v>0</v>
      </c>
      <c r="L7" t="str">
        <f>VLOOKUP($F7&amp;$G7,Composite!$A$5:$Q$841,L$3,FALSE)</f>
        <v>ResSHWX</v>
      </c>
      <c r="M7" s="31">
        <f>VLOOKUP($F7&amp;$G7,Composite!$A$5:$Q$841,M$3,FALSE)*VLOOKUP($C7,[3]!ExistingSat,MATCH($A7,[3]SATS!$C$10:$F$10,0)+1,FALSE)</f>
        <v>0</v>
      </c>
      <c r="N7" s="31">
        <f>VLOOKUP($F7&amp;$G7,Composite!$A$5:$Q$841,N$3,FALSE)*VLOOKUP($C7,[3]!ExistingSat,MATCH($A7,[3]SATS!$C$10:$F$10,0)+1,FALSE)</f>
        <v>0</v>
      </c>
      <c r="O7">
        <f>VLOOKUP($F7&amp;$G7,Composite!$A$5:$Q$841,O$3,FALSE)</f>
        <v>0</v>
      </c>
      <c r="P7" s="31">
        <f>VLOOKUP($F7&amp;$G7,Composite!$A$5:$Q$841,P$3,FALSE)*VLOOKUP($C7,[3]!ExistingSat,MATCH($A7,[3]SATS!$C$10:$F$10,0)+1,FALSE)</f>
        <v>0</v>
      </c>
      <c r="Q7">
        <f>VLOOKUP($F7&amp;$G7,Composite!$A$5:$Q$841,Q$3,FALSE)</f>
        <v>0</v>
      </c>
      <c r="R7" s="31">
        <f>VLOOKUP($F7&amp;$G7,Composite!$A$5:$Q$841,R$3,FALSE)*VLOOKUP($C7,[3]!ExistingSat,MATCH($A7,[3]SATS!$C$10:$F$10,0)+1,FALSE)</f>
        <v>0</v>
      </c>
      <c r="S7">
        <f>VLOOKUP($F7&amp;$G7,Composite!$A$5:$Q$841,S$3,FALSE)</f>
        <v>0</v>
      </c>
      <c r="T7" s="31">
        <f>VLOOKUP($F7&amp;$G7,Composite!$A$5:$Q$841,T$3,FALSE)*VLOOKUP($C7,[3]!ExistingSat,MATCH($A7,[3]SATS!$C$10:$F$10,0)+1,FALSE)</f>
        <v>0</v>
      </c>
    </row>
    <row r="8" spans="1:21">
      <c r="A8" t="s">
        <v>87</v>
      </c>
      <c r="B8" t="s">
        <v>77</v>
      </c>
      <c r="C8" t="s">
        <v>26</v>
      </c>
      <c r="D8" t="s">
        <v>59</v>
      </c>
      <c r="E8" t="str">
        <f t="shared" si="0"/>
        <v>Electric ZonalHZ1FLOOR R0 - R30</v>
      </c>
      <c r="F8" s="31" t="str">
        <f>Composite!B7</f>
        <v>Multi Family Weatherization - Insulate Floors - R-0 to R-30 - Heating Zone 1 (Zonal Heating System)</v>
      </c>
      <c r="G8" s="31" t="str">
        <f>Composite!C7</f>
        <v>FLOOR R0 - R30</v>
      </c>
      <c r="H8" s="31">
        <f>VLOOKUP($F8&amp;$G8,Composite!$A$5:$Q$841,H$3,FALSE)*VLOOKUP($C8,[3]!ExistingSat,MATCH($A8,[3]SATS!$C$10:$F$10,0)+1,FALSE)</f>
        <v>280.39525324721404</v>
      </c>
      <c r="I8">
        <f>VLOOKUP($F8&amp;$G8,Composite!$A$5:$Q$841,I$3,FALSE)</f>
        <v>45</v>
      </c>
      <c r="J8" s="31">
        <f>VLOOKUP($F8&amp;$G8,Composite!$A$5:$Q$841,J$3,FALSE)*VLOOKUP($C8,[3]!ExistingSat,MATCH($A8,[3]SATS!$C$10:$F$10,0)+1,FALSE)</f>
        <v>689.07943261446042</v>
      </c>
      <c r="K8" s="31">
        <f>VLOOKUP($F8&amp;$G8,Composite!$A$5:$Q$841,K$3,FALSE)*VLOOKUP($C8,[3]!ExistingSat,MATCH($A8,[3]SATS!$C$10:$F$10,0)+1,FALSE)</f>
        <v>0</v>
      </c>
      <c r="L8" t="str">
        <f>VLOOKUP($F8&amp;$G8,Composite!$A$5:$Q$841,L$3,FALSE)</f>
        <v>ResSHWX</v>
      </c>
      <c r="M8" s="31">
        <f>VLOOKUP($F8&amp;$G8,Composite!$A$5:$Q$841,M$3,FALSE)*VLOOKUP($C8,[3]!ExistingSat,MATCH($A8,[3]SATS!$C$10:$F$10,0)+1,FALSE)</f>
        <v>0</v>
      </c>
      <c r="N8" s="31">
        <f>VLOOKUP($F8&amp;$G8,Composite!$A$5:$Q$841,N$3,FALSE)*VLOOKUP($C8,[3]!ExistingSat,MATCH($A8,[3]SATS!$C$10:$F$10,0)+1,FALSE)</f>
        <v>0</v>
      </c>
      <c r="O8">
        <f>VLOOKUP($F8&amp;$G8,Composite!$A$5:$Q$841,O$3,FALSE)</f>
        <v>0</v>
      </c>
      <c r="P8" s="31">
        <f>VLOOKUP($F8&amp;$G8,Composite!$A$5:$Q$841,P$3,FALSE)*VLOOKUP($C8,[3]!ExistingSat,MATCH($A8,[3]SATS!$C$10:$F$10,0)+1,FALSE)</f>
        <v>0</v>
      </c>
      <c r="Q8">
        <f>VLOOKUP($F8&amp;$G8,Composite!$A$5:$Q$841,Q$3,FALSE)</f>
        <v>0</v>
      </c>
      <c r="R8" s="31">
        <f>VLOOKUP($F8&amp;$G8,Composite!$A$5:$Q$841,R$3,FALSE)*VLOOKUP($C8,[3]!ExistingSat,MATCH($A8,[3]SATS!$C$10:$F$10,0)+1,FALSE)</f>
        <v>0</v>
      </c>
      <c r="S8">
        <f>VLOOKUP($F8&amp;$G8,Composite!$A$5:$Q$841,S$3,FALSE)</f>
        <v>0</v>
      </c>
      <c r="T8" s="31">
        <f>VLOOKUP($F8&amp;$G8,Composite!$A$5:$Q$841,T$3,FALSE)*VLOOKUP($C8,[3]!ExistingSat,MATCH($A8,[3]SATS!$C$10:$F$10,0)+1,FALSE)</f>
        <v>0</v>
      </c>
    </row>
    <row r="9" spans="1:21">
      <c r="A9" t="s">
        <v>87</v>
      </c>
      <c r="B9" t="s">
        <v>77</v>
      </c>
      <c r="C9" t="s">
        <v>28</v>
      </c>
      <c r="D9" t="s">
        <v>59</v>
      </c>
      <c r="E9" t="str">
        <f t="shared" si="0"/>
        <v>Electric ZonalHZ1ATTIC R0 - R19</v>
      </c>
      <c r="F9" s="31" t="str">
        <f>Composite!B8</f>
        <v>Multi Family Weatherization - Insulate Attic - R-0 to R-19 - Heating Zone 1 (Zonal Heating System)</v>
      </c>
      <c r="G9" s="31" t="str">
        <f>Composite!C8</f>
        <v>ATTIC R0 - R19</v>
      </c>
      <c r="H9" s="31">
        <f>VLOOKUP($F9&amp;$G9,Composite!$A$5:$Q$841,H$3,FALSE)*VLOOKUP($C9,[3]!ExistingSat,MATCH($A9,[3]SATS!$C$10:$F$10,0)+1,FALSE)</f>
        <v>185.3551965187161</v>
      </c>
      <c r="I9">
        <f>VLOOKUP($F9&amp;$G9,Composite!$A$5:$Q$841,I$3,FALSE)</f>
        <v>45</v>
      </c>
      <c r="J9" s="31">
        <f>VLOOKUP($F9&amp;$G9,Composite!$A$5:$Q$841,J$3,FALSE)*VLOOKUP($C9,[3]!ExistingSat,MATCH($A9,[3]SATS!$C$10:$F$10,0)+1,FALSE)</f>
        <v>239.1087012654321</v>
      </c>
      <c r="K9" s="31">
        <f>VLOOKUP($F9&amp;$G9,Composite!$A$5:$Q$841,K$3,FALSE)*VLOOKUP($C9,[3]!ExistingSat,MATCH($A9,[3]SATS!$C$10:$F$10,0)+1,FALSE)</f>
        <v>0</v>
      </c>
      <c r="L9" t="str">
        <f>VLOOKUP($F9&amp;$G9,Composite!$A$5:$Q$841,L$3,FALSE)</f>
        <v>ResSHWX</v>
      </c>
      <c r="M9" s="31">
        <f>VLOOKUP($F9&amp;$G9,Composite!$A$5:$Q$841,M$3,FALSE)*VLOOKUP($C9,[3]!ExistingSat,MATCH($A9,[3]SATS!$C$10:$F$10,0)+1,FALSE)</f>
        <v>0</v>
      </c>
      <c r="N9" s="31">
        <f>VLOOKUP($F9&amp;$G9,Composite!$A$5:$Q$841,N$3,FALSE)*VLOOKUP($C9,[3]!ExistingSat,MATCH($A9,[3]SATS!$C$10:$F$10,0)+1,FALSE)</f>
        <v>0</v>
      </c>
      <c r="O9">
        <f>VLOOKUP($F9&amp;$G9,Composite!$A$5:$Q$841,O$3,FALSE)</f>
        <v>0</v>
      </c>
      <c r="P9" s="31">
        <f>VLOOKUP($F9&amp;$G9,Composite!$A$5:$Q$841,P$3,FALSE)*VLOOKUP($C9,[3]!ExistingSat,MATCH($A9,[3]SATS!$C$10:$F$10,0)+1,FALSE)</f>
        <v>0</v>
      </c>
      <c r="Q9">
        <f>VLOOKUP($F9&amp;$G9,Composite!$A$5:$Q$841,Q$3,FALSE)</f>
        <v>0</v>
      </c>
      <c r="R9" s="31">
        <f>VLOOKUP($F9&amp;$G9,Composite!$A$5:$Q$841,R$3,FALSE)*VLOOKUP($C9,[3]!ExistingSat,MATCH($A9,[3]SATS!$C$10:$F$10,0)+1,FALSE)</f>
        <v>0</v>
      </c>
      <c r="S9">
        <f>VLOOKUP($F9&amp;$G9,Composite!$A$5:$Q$841,S$3,FALSE)</f>
        <v>0</v>
      </c>
      <c r="T9" s="31">
        <f>VLOOKUP($F9&amp;$G9,Composite!$A$5:$Q$841,T$3,FALSE)*VLOOKUP($C9,[3]!ExistingSat,MATCH($A9,[3]SATS!$C$10:$F$10,0)+1,FALSE)</f>
        <v>0</v>
      </c>
    </row>
    <row r="10" spans="1:21">
      <c r="A10" t="s">
        <v>87</v>
      </c>
      <c r="B10" t="s">
        <v>77</v>
      </c>
      <c r="C10" t="s">
        <v>28</v>
      </c>
      <c r="D10" t="s">
        <v>59</v>
      </c>
      <c r="E10" t="str">
        <f t="shared" si="0"/>
        <v>Electric ZonalHZ1ATTIC R0 - R38</v>
      </c>
      <c r="F10" s="31" t="str">
        <f>Composite!B9</f>
        <v>Multi Family Weatherization - Insulate Attic - R-0 to R-38 - Heating Zone 1 (Zonal Heating System)</v>
      </c>
      <c r="G10" s="31" t="str">
        <f>Composite!C9</f>
        <v>ATTIC R0 - R38</v>
      </c>
      <c r="H10" s="31">
        <f>VLOOKUP($F10&amp;$G10,Composite!$A$5:$Q$841,H$3,FALSE)*VLOOKUP($C10,[3]!ExistingSat,MATCH($A10,[3]SATS!$C$10:$F$10,0)+1,FALSE)</f>
        <v>252.1406496395399</v>
      </c>
      <c r="I10">
        <f>VLOOKUP($F10&amp;$G10,Composite!$A$5:$Q$841,I$3,FALSE)</f>
        <v>45</v>
      </c>
      <c r="J10" s="31">
        <f>VLOOKUP($F10&amp;$G10,Composite!$A$5:$Q$841,J$3,FALSE)*VLOOKUP($C10,[3]!ExistingSat,MATCH($A10,[3]SATS!$C$10:$F$10,0)+1,FALSE)</f>
        <v>478.21740253086421</v>
      </c>
      <c r="K10" s="31">
        <f>VLOOKUP($F10&amp;$G10,Composite!$A$5:$Q$841,K$3,FALSE)*VLOOKUP($C10,[3]!ExistingSat,MATCH($A10,[3]SATS!$C$10:$F$10,0)+1,FALSE)</f>
        <v>0</v>
      </c>
      <c r="L10" t="str">
        <f>VLOOKUP($F10&amp;$G10,Composite!$A$5:$Q$841,L$3,FALSE)</f>
        <v>ResSHWX</v>
      </c>
      <c r="M10" s="31">
        <f>VLOOKUP($F10&amp;$G10,Composite!$A$5:$Q$841,M$3,FALSE)*VLOOKUP($C10,[3]!ExistingSat,MATCH($A10,[3]SATS!$C$10:$F$10,0)+1,FALSE)</f>
        <v>0</v>
      </c>
      <c r="N10" s="31">
        <f>VLOOKUP($F10&amp;$G10,Composite!$A$5:$Q$841,N$3,FALSE)*VLOOKUP($C10,[3]!ExistingSat,MATCH($A10,[3]SATS!$C$10:$F$10,0)+1,FALSE)</f>
        <v>0</v>
      </c>
      <c r="O10">
        <f>VLOOKUP($F10&amp;$G10,Composite!$A$5:$Q$841,O$3,FALSE)</f>
        <v>0</v>
      </c>
      <c r="P10" s="31">
        <f>VLOOKUP($F10&amp;$G10,Composite!$A$5:$Q$841,P$3,FALSE)*VLOOKUP($C10,[3]!ExistingSat,MATCH($A10,[3]SATS!$C$10:$F$10,0)+1,FALSE)</f>
        <v>0</v>
      </c>
      <c r="Q10">
        <f>VLOOKUP($F10&amp;$G10,Composite!$A$5:$Q$841,Q$3,FALSE)</f>
        <v>0</v>
      </c>
      <c r="R10" s="31">
        <f>VLOOKUP($F10&amp;$G10,Composite!$A$5:$Q$841,R$3,FALSE)*VLOOKUP($C10,[3]!ExistingSat,MATCH($A10,[3]SATS!$C$10:$F$10,0)+1,FALSE)</f>
        <v>0</v>
      </c>
      <c r="S10">
        <f>VLOOKUP($F10&amp;$G10,Composite!$A$5:$Q$841,S$3,FALSE)</f>
        <v>0</v>
      </c>
      <c r="T10" s="31">
        <f>VLOOKUP($F10&amp;$G10,Composite!$A$5:$Q$841,T$3,FALSE)*VLOOKUP($C10,[3]!ExistingSat,MATCH($A10,[3]SATS!$C$10:$F$10,0)+1,FALSE)</f>
        <v>0</v>
      </c>
    </row>
    <row r="11" spans="1:21">
      <c r="A11" t="s">
        <v>87</v>
      </c>
      <c r="B11" t="s">
        <v>77</v>
      </c>
      <c r="C11" t="s">
        <v>28</v>
      </c>
      <c r="D11" t="s">
        <v>59</v>
      </c>
      <c r="E11" t="str">
        <f t="shared" si="0"/>
        <v>Electric ZonalHZ1ATTIC R0 - R49</v>
      </c>
      <c r="F11" s="31" t="str">
        <f>Composite!B10</f>
        <v>Multi Family Weatherization - Insulate Attic - R-0 to R-49 - Heating Zone 1 (Zonal Heating System)</v>
      </c>
      <c r="G11" s="31" t="str">
        <f>Composite!C10</f>
        <v>ATTIC R0 - R49</v>
      </c>
      <c r="H11" s="31">
        <f>VLOOKUP($F11&amp;$G11,Composite!$A$5:$Q$841,H$3,FALSE)*VLOOKUP($C11,[3]!ExistingSat,MATCH($A11,[3]SATS!$C$10:$F$10,0)+1,FALSE)</f>
        <v>267.58646464774625</v>
      </c>
      <c r="I11">
        <f>VLOOKUP($F11&amp;$G11,Composite!$A$5:$Q$841,I$3,FALSE)</f>
        <v>45</v>
      </c>
      <c r="J11" s="31">
        <f>VLOOKUP($F11&amp;$G11,Composite!$A$5:$Q$841,J$3,FALSE)*VLOOKUP($C11,[3]!ExistingSat,MATCH($A11,[3]SATS!$C$10:$F$10,0)+1,FALSE)</f>
        <v>616.64875589506175</v>
      </c>
      <c r="K11" s="31">
        <f>VLOOKUP($F11&amp;$G11,Composite!$A$5:$Q$841,K$3,FALSE)*VLOOKUP($C11,[3]!ExistingSat,MATCH($A11,[3]SATS!$C$10:$F$10,0)+1,FALSE)</f>
        <v>0</v>
      </c>
      <c r="L11" t="str">
        <f>VLOOKUP($F11&amp;$G11,Composite!$A$5:$Q$841,L$3,FALSE)</f>
        <v>ResSHWX</v>
      </c>
      <c r="M11" s="31">
        <f>VLOOKUP($F11&amp;$G11,Composite!$A$5:$Q$841,M$3,FALSE)*VLOOKUP($C11,[3]!ExistingSat,MATCH($A11,[3]SATS!$C$10:$F$10,0)+1,FALSE)</f>
        <v>0</v>
      </c>
      <c r="N11" s="31">
        <f>VLOOKUP($F11&amp;$G11,Composite!$A$5:$Q$841,N$3,FALSE)*VLOOKUP($C11,[3]!ExistingSat,MATCH($A11,[3]SATS!$C$10:$F$10,0)+1,FALSE)</f>
        <v>0</v>
      </c>
      <c r="O11">
        <f>VLOOKUP($F11&amp;$G11,Composite!$A$5:$Q$841,O$3,FALSE)</f>
        <v>0</v>
      </c>
      <c r="P11" s="31">
        <f>VLOOKUP($F11&amp;$G11,Composite!$A$5:$Q$841,P$3,FALSE)*VLOOKUP($C11,[3]!ExistingSat,MATCH($A11,[3]SATS!$C$10:$F$10,0)+1,FALSE)</f>
        <v>0</v>
      </c>
      <c r="Q11">
        <f>VLOOKUP($F11&amp;$G11,Composite!$A$5:$Q$841,Q$3,FALSE)</f>
        <v>0</v>
      </c>
      <c r="R11" s="31">
        <f>VLOOKUP($F11&amp;$G11,Composite!$A$5:$Q$841,R$3,FALSE)*VLOOKUP($C11,[3]!ExistingSat,MATCH($A11,[3]SATS!$C$10:$F$10,0)+1,FALSE)</f>
        <v>0</v>
      </c>
      <c r="S11">
        <f>VLOOKUP($F11&amp;$G11,Composite!$A$5:$Q$841,S$3,FALSE)</f>
        <v>0</v>
      </c>
      <c r="T11" s="31">
        <f>VLOOKUP($F11&amp;$G11,Composite!$A$5:$Q$841,T$3,FALSE)*VLOOKUP($C11,[3]!ExistingSat,MATCH($A11,[3]SATS!$C$10:$F$10,0)+1,FALSE)</f>
        <v>0</v>
      </c>
    </row>
    <row r="12" spans="1:21">
      <c r="A12" t="s">
        <v>87</v>
      </c>
      <c r="B12" t="s">
        <v>77</v>
      </c>
      <c r="C12" t="s">
        <v>28</v>
      </c>
      <c r="D12" t="s">
        <v>59</v>
      </c>
      <c r="E12" t="str">
        <f t="shared" si="0"/>
        <v>Electric ZonalHZ1ATTIC R19 - R30</v>
      </c>
      <c r="F12" s="31" t="str">
        <f>Composite!B11</f>
        <v>Multi Family Weatherization - Insulate Attic - R-19 to R-30 - Heating Zone 1 (Zonal Heating System)</v>
      </c>
      <c r="G12" s="31" t="str">
        <f>Composite!C11</f>
        <v>ATTIC R19 - R30</v>
      </c>
      <c r="H12" s="31">
        <f>VLOOKUP($F12&amp;$G12,Composite!$A$5:$Q$841,H$3,FALSE)*VLOOKUP($C12,[3]!ExistingSat,MATCH($A12,[3]SATS!$C$10:$F$10,0)+1,FALSE)</f>
        <v>48.421729615323777</v>
      </c>
      <c r="I12">
        <f>VLOOKUP($F12&amp;$G12,Composite!$A$5:$Q$841,I$3,FALSE)</f>
        <v>45</v>
      </c>
      <c r="J12" s="31">
        <f>VLOOKUP($F12&amp;$G12,Composite!$A$5:$Q$841,J$3,FALSE)*VLOOKUP($C12,[3]!ExistingSat,MATCH($A12,[3]SATS!$C$10:$F$10,0)+1,FALSE)</f>
        <v>138.43135336419752</v>
      </c>
      <c r="K12" s="31">
        <f>VLOOKUP($F12&amp;$G12,Composite!$A$5:$Q$841,K$3,FALSE)*VLOOKUP($C12,[3]!ExistingSat,MATCH($A12,[3]SATS!$C$10:$F$10,0)+1,FALSE)</f>
        <v>0</v>
      </c>
      <c r="L12" t="str">
        <f>VLOOKUP($F12&amp;$G12,Composite!$A$5:$Q$841,L$3,FALSE)</f>
        <v>ResSHWX</v>
      </c>
      <c r="M12" s="31">
        <f>VLOOKUP($F12&amp;$G12,Composite!$A$5:$Q$841,M$3,FALSE)*VLOOKUP($C12,[3]!ExistingSat,MATCH($A12,[3]SATS!$C$10:$F$10,0)+1,FALSE)</f>
        <v>0</v>
      </c>
      <c r="N12" s="31">
        <f>VLOOKUP($F12&amp;$G12,Composite!$A$5:$Q$841,N$3,FALSE)*VLOOKUP($C12,[3]!ExistingSat,MATCH($A12,[3]SATS!$C$10:$F$10,0)+1,FALSE)</f>
        <v>0</v>
      </c>
      <c r="O12">
        <f>VLOOKUP($F12&amp;$G12,Composite!$A$5:$Q$841,O$3,FALSE)</f>
        <v>0</v>
      </c>
      <c r="P12" s="31">
        <f>VLOOKUP($F12&amp;$G12,Composite!$A$5:$Q$841,P$3,FALSE)*VLOOKUP($C12,[3]!ExistingSat,MATCH($A12,[3]SATS!$C$10:$F$10,0)+1,FALSE)</f>
        <v>0</v>
      </c>
      <c r="Q12">
        <f>VLOOKUP($F12&amp;$G12,Composite!$A$5:$Q$841,Q$3,FALSE)</f>
        <v>0</v>
      </c>
      <c r="R12" s="31">
        <f>VLOOKUP($F12&amp;$G12,Composite!$A$5:$Q$841,R$3,FALSE)*VLOOKUP($C12,[3]!ExistingSat,MATCH($A12,[3]SATS!$C$10:$F$10,0)+1,FALSE)</f>
        <v>0</v>
      </c>
      <c r="S12">
        <f>VLOOKUP($F12&amp;$G12,Composite!$A$5:$Q$841,S$3,FALSE)</f>
        <v>0</v>
      </c>
      <c r="T12" s="31">
        <f>VLOOKUP($F12&amp;$G12,Composite!$A$5:$Q$841,T$3,FALSE)*VLOOKUP($C12,[3]!ExistingSat,MATCH($A12,[3]SATS!$C$10:$F$10,0)+1,FALSE)</f>
        <v>0</v>
      </c>
    </row>
    <row r="13" spans="1:21">
      <c r="A13" t="s">
        <v>87</v>
      </c>
      <c r="B13" t="s">
        <v>77</v>
      </c>
      <c r="C13" t="s">
        <v>28</v>
      </c>
      <c r="D13" t="s">
        <v>59</v>
      </c>
      <c r="E13" t="str">
        <f t="shared" si="0"/>
        <v>Electric ZonalHZ1ATTIC R19 - R38</v>
      </c>
      <c r="F13" s="31" t="str">
        <f>Composite!B12</f>
        <v>Multi Family Weatherization - Insulate Attic - R-19 to R-38 - Heating Zone 1 (Zonal Heating System)</v>
      </c>
      <c r="G13" s="31" t="str">
        <f>Composite!C12</f>
        <v>ATTIC R19 - R38</v>
      </c>
      <c r="H13" s="31">
        <f>VLOOKUP($F13&amp;$G13,Composite!$A$5:$Q$841,H$3,FALSE)*VLOOKUP($C13,[3]!ExistingSat,MATCH($A13,[3]SATS!$C$10:$F$10,0)+1,FALSE)</f>
        <v>66.785453120823831</v>
      </c>
      <c r="I13">
        <f>VLOOKUP($F13&amp;$G13,Composite!$A$5:$Q$841,I$3,FALSE)</f>
        <v>45</v>
      </c>
      <c r="J13" s="31">
        <f>VLOOKUP($F13&amp;$G13,Composite!$A$5:$Q$841,J$3,FALSE)*VLOOKUP($C13,[3]!ExistingSat,MATCH($A13,[3]SATS!$C$10:$F$10,0)+1,FALSE)</f>
        <v>239.1087012654321</v>
      </c>
      <c r="K13" s="31">
        <f>VLOOKUP($F13&amp;$G13,Composite!$A$5:$Q$841,K$3,FALSE)*VLOOKUP($C13,[3]!ExistingSat,MATCH($A13,[3]SATS!$C$10:$F$10,0)+1,FALSE)</f>
        <v>0</v>
      </c>
      <c r="L13" t="str">
        <f>VLOOKUP($F13&amp;$G13,Composite!$A$5:$Q$841,L$3,FALSE)</f>
        <v>ResSHWX</v>
      </c>
      <c r="M13" s="31">
        <f>VLOOKUP($F13&amp;$G13,Composite!$A$5:$Q$841,M$3,FALSE)*VLOOKUP($C13,[3]!ExistingSat,MATCH($A13,[3]SATS!$C$10:$F$10,0)+1,FALSE)</f>
        <v>0</v>
      </c>
      <c r="N13" s="31">
        <f>VLOOKUP($F13&amp;$G13,Composite!$A$5:$Q$841,N$3,FALSE)*VLOOKUP($C13,[3]!ExistingSat,MATCH($A13,[3]SATS!$C$10:$F$10,0)+1,FALSE)</f>
        <v>0</v>
      </c>
      <c r="O13">
        <f>VLOOKUP($F13&amp;$G13,Composite!$A$5:$Q$841,O$3,FALSE)</f>
        <v>0</v>
      </c>
      <c r="P13" s="31">
        <f>VLOOKUP($F13&amp;$G13,Composite!$A$5:$Q$841,P$3,FALSE)*VLOOKUP($C13,[3]!ExistingSat,MATCH($A13,[3]SATS!$C$10:$F$10,0)+1,FALSE)</f>
        <v>0</v>
      </c>
      <c r="Q13">
        <f>VLOOKUP($F13&amp;$G13,Composite!$A$5:$Q$841,Q$3,FALSE)</f>
        <v>0</v>
      </c>
      <c r="R13" s="31">
        <f>VLOOKUP($F13&amp;$G13,Composite!$A$5:$Q$841,R$3,FALSE)*VLOOKUP($C13,[3]!ExistingSat,MATCH($A13,[3]SATS!$C$10:$F$10,0)+1,FALSE)</f>
        <v>0</v>
      </c>
      <c r="S13">
        <f>VLOOKUP($F13&amp;$G13,Composite!$A$5:$Q$841,S$3,FALSE)</f>
        <v>0</v>
      </c>
      <c r="T13" s="31">
        <f>VLOOKUP($F13&amp;$G13,Composite!$A$5:$Q$841,T$3,FALSE)*VLOOKUP($C13,[3]!ExistingSat,MATCH($A13,[3]SATS!$C$10:$F$10,0)+1,FALSE)</f>
        <v>0</v>
      </c>
    </row>
    <row r="14" spans="1:21">
      <c r="A14" t="s">
        <v>87</v>
      </c>
      <c r="B14" t="s">
        <v>77</v>
      </c>
      <c r="C14" t="s">
        <v>28</v>
      </c>
      <c r="D14" t="s">
        <v>59</v>
      </c>
      <c r="E14" t="str">
        <f t="shared" si="0"/>
        <v>Electric ZonalHZ1ATTIC R19 - R49</v>
      </c>
      <c r="F14" s="31" t="str">
        <f>Composite!B13</f>
        <v>Multi Family Weatherization - Insulate Attic - R-19 to R-49 - Heating Zone 1 (Zonal Heating System)</v>
      </c>
      <c r="G14" s="31" t="str">
        <f>Composite!C13</f>
        <v>ATTIC R19 - R49</v>
      </c>
      <c r="H14" s="31">
        <f>VLOOKUP($F14&amp;$G14,Composite!$A$5:$Q$841,H$3,FALSE)*VLOOKUP($C14,[3]!ExistingSat,MATCH($A14,[3]SATS!$C$10:$F$10,0)+1,FALSE)</f>
        <v>82.231268129030141</v>
      </c>
      <c r="I14">
        <f>VLOOKUP($F14&amp;$G14,Composite!$A$5:$Q$841,I$3,FALSE)</f>
        <v>45</v>
      </c>
      <c r="J14" s="31">
        <f>VLOOKUP($F14&amp;$G14,Composite!$A$5:$Q$841,J$3,FALSE)*VLOOKUP($C14,[3]!ExistingSat,MATCH($A14,[3]SATS!$C$10:$F$10,0)+1,FALSE)</f>
        <v>377.54005462962965</v>
      </c>
      <c r="K14" s="31">
        <f>VLOOKUP($F14&amp;$G14,Composite!$A$5:$Q$841,K$3,FALSE)*VLOOKUP($C14,[3]!ExistingSat,MATCH($A14,[3]SATS!$C$10:$F$10,0)+1,FALSE)</f>
        <v>0</v>
      </c>
      <c r="L14" t="str">
        <f>VLOOKUP($F14&amp;$G14,Composite!$A$5:$Q$841,L$3,FALSE)</f>
        <v>ResSHWX</v>
      </c>
      <c r="M14" s="31">
        <f>VLOOKUP($F14&amp;$G14,Composite!$A$5:$Q$841,M$3,FALSE)*VLOOKUP($C14,[3]!ExistingSat,MATCH($A14,[3]SATS!$C$10:$F$10,0)+1,FALSE)</f>
        <v>0</v>
      </c>
      <c r="N14" s="31">
        <f>VLOOKUP($F14&amp;$G14,Composite!$A$5:$Q$841,N$3,FALSE)*VLOOKUP($C14,[3]!ExistingSat,MATCH($A14,[3]SATS!$C$10:$F$10,0)+1,FALSE)</f>
        <v>0</v>
      </c>
      <c r="O14">
        <f>VLOOKUP($F14&amp;$G14,Composite!$A$5:$Q$841,O$3,FALSE)</f>
        <v>0</v>
      </c>
      <c r="P14" s="31">
        <f>VLOOKUP($F14&amp;$G14,Composite!$A$5:$Q$841,P$3,FALSE)*VLOOKUP($C14,[3]!ExistingSat,MATCH($A14,[3]SATS!$C$10:$F$10,0)+1,FALSE)</f>
        <v>0</v>
      </c>
      <c r="Q14">
        <f>VLOOKUP($F14&amp;$G14,Composite!$A$5:$Q$841,Q$3,FALSE)</f>
        <v>0</v>
      </c>
      <c r="R14" s="31">
        <f>VLOOKUP($F14&amp;$G14,Composite!$A$5:$Q$841,R$3,FALSE)*VLOOKUP($C14,[3]!ExistingSat,MATCH($A14,[3]SATS!$C$10:$F$10,0)+1,FALSE)</f>
        <v>0</v>
      </c>
      <c r="S14">
        <f>VLOOKUP($F14&amp;$G14,Composite!$A$5:$Q$841,S$3,FALSE)</f>
        <v>0</v>
      </c>
      <c r="T14" s="31">
        <f>VLOOKUP($F14&amp;$G14,Composite!$A$5:$Q$841,T$3,FALSE)*VLOOKUP($C14,[3]!ExistingSat,MATCH($A14,[3]SATS!$C$10:$F$10,0)+1,FALSE)</f>
        <v>0</v>
      </c>
    </row>
    <row r="15" spans="1:21">
      <c r="A15" t="s">
        <v>87</v>
      </c>
      <c r="B15" t="s">
        <v>77</v>
      </c>
      <c r="C15" t="s">
        <v>27</v>
      </c>
      <c r="D15" t="s">
        <v>59</v>
      </c>
      <c r="E15" t="str">
        <f t="shared" si="0"/>
        <v>Electric ZonalHZ1WINDOW CL22 Prime Window Replacement of Single Pane Base</v>
      </c>
      <c r="F15" s="31" t="str">
        <f>Composite!B14</f>
        <v>Windows - Single Pane to Class 22 - Heating Zone 1 (Zonal Heating System)</v>
      </c>
      <c r="G15" s="31" t="str">
        <f>Composite!C14</f>
        <v>WINDOW CL22 Prime Window Replacement of Single Pane Base</v>
      </c>
      <c r="H15" s="31">
        <f>VLOOKUP($F15&amp;$G15,Composite!$A$5:$Q$841,H$3,FALSE)*VLOOKUP($C15,[3]!ExistingSat,MATCH($A15,[3]SATS!$C$10:$F$10,0)+1,FALSE)</f>
        <v>3985.5344060989173</v>
      </c>
      <c r="I15">
        <f>VLOOKUP($F15&amp;$G15,Composite!$A$5:$Q$841,I$3,FALSE)</f>
        <v>45</v>
      </c>
      <c r="J15" s="31">
        <f>VLOOKUP($F15&amp;$G15,Composite!$A$5:$Q$841,J$3,FALSE)*VLOOKUP($C15,[3]!ExistingSat,MATCH($A15,[3]SATS!$C$10:$F$10,0)+1,FALSE)</f>
        <v>4101.7368570659019</v>
      </c>
      <c r="K15" s="31">
        <f>VLOOKUP($F15&amp;$G15,Composite!$A$5:$Q$841,K$3,FALSE)*VLOOKUP($C15,[3]!ExistingSat,MATCH($A15,[3]SATS!$C$10:$F$10,0)+1,FALSE)</f>
        <v>0</v>
      </c>
      <c r="L15" t="str">
        <f>VLOOKUP($F15&amp;$G15,Composite!$A$5:$Q$841,L$3,FALSE)</f>
        <v>ResSHWX</v>
      </c>
      <c r="M15" s="31">
        <f>VLOOKUP($F15&amp;$G15,Composite!$A$5:$Q$841,M$3,FALSE)*VLOOKUP($C15,[3]!ExistingSat,MATCH($A15,[3]SATS!$C$10:$F$10,0)+1,FALSE)</f>
        <v>0</v>
      </c>
      <c r="N15" s="31">
        <f>VLOOKUP($F15&amp;$G15,Composite!$A$5:$Q$841,N$3,FALSE)*VLOOKUP($C15,[3]!ExistingSat,MATCH($A15,[3]SATS!$C$10:$F$10,0)+1,FALSE)</f>
        <v>0</v>
      </c>
      <c r="O15">
        <f>VLOOKUP($F15&amp;$G15,Composite!$A$5:$Q$841,O$3,FALSE)</f>
        <v>0</v>
      </c>
      <c r="P15" s="31">
        <f>VLOOKUP($F15&amp;$G15,Composite!$A$5:$Q$841,P$3,FALSE)*VLOOKUP($C15,[3]!ExistingSat,MATCH($A15,[3]SATS!$C$10:$F$10,0)+1,FALSE)</f>
        <v>0</v>
      </c>
      <c r="Q15">
        <f>VLOOKUP($F15&amp;$G15,Composite!$A$5:$Q$841,Q$3,FALSE)</f>
        <v>0</v>
      </c>
      <c r="R15" s="31">
        <f>VLOOKUP($F15&amp;$G15,Composite!$A$5:$Q$841,R$3,FALSE)*VLOOKUP($C15,[3]!ExistingSat,MATCH($A15,[3]SATS!$C$10:$F$10,0)+1,FALSE)</f>
        <v>0</v>
      </c>
      <c r="S15">
        <f>VLOOKUP($F15&amp;$G15,Composite!$A$5:$Q$841,S$3,FALSE)</f>
        <v>0</v>
      </c>
      <c r="T15" s="31">
        <f>VLOOKUP($F15&amp;$G15,Composite!$A$5:$Q$841,T$3,FALSE)*VLOOKUP($C15,[3]!ExistingSat,MATCH($A15,[3]SATS!$C$10:$F$10,0)+1,FALSE)</f>
        <v>0</v>
      </c>
    </row>
    <row r="16" spans="1:21">
      <c r="A16" t="s">
        <v>87</v>
      </c>
      <c r="B16" t="s">
        <v>77</v>
      </c>
      <c r="C16" t="s">
        <v>27</v>
      </c>
      <c r="D16" t="s">
        <v>59</v>
      </c>
      <c r="E16" t="str">
        <f t="shared" si="0"/>
        <v>Electric ZonalHZ1WINDOW CL22 Prime Window Replacement of Double Pane Base</v>
      </c>
      <c r="F16" s="31" t="str">
        <f>Composite!B15</f>
        <v>Windows - Double Pane to Class 22 - Heating Zone 1 (Zonal Heating System)</v>
      </c>
      <c r="G16" s="31" t="str">
        <f>Composite!C15</f>
        <v>WINDOW CL22 Prime Window Replacement of Double Pane Base</v>
      </c>
      <c r="H16" s="31">
        <f>VLOOKUP($F16&amp;$G16,Composite!$A$5:$Q$841,H$3,FALSE)*VLOOKUP($C16,[3]!ExistingSat,MATCH($A16,[3]SATS!$C$10:$F$10,0)+1,FALSE)</f>
        <v>2331.2258752127736</v>
      </c>
      <c r="I16">
        <f>VLOOKUP($F16&amp;$G16,Composite!$A$5:$Q$841,I$3,FALSE)</f>
        <v>45</v>
      </c>
      <c r="J16" s="31">
        <f>VLOOKUP($F16&amp;$G16,Composite!$A$5:$Q$841,J$3,FALSE)*VLOOKUP($C16,[3]!ExistingSat,MATCH($A16,[3]SATS!$C$10:$F$10,0)+1,FALSE)</f>
        <v>4101.7368570659019</v>
      </c>
      <c r="K16" s="31">
        <f>VLOOKUP($F16&amp;$G16,Composite!$A$5:$Q$841,K$3,FALSE)*VLOOKUP($C16,[3]!ExistingSat,MATCH($A16,[3]SATS!$C$10:$F$10,0)+1,FALSE)</f>
        <v>0</v>
      </c>
      <c r="L16" t="str">
        <f>VLOOKUP($F16&amp;$G16,Composite!$A$5:$Q$841,L$3,FALSE)</f>
        <v>ResSHWX</v>
      </c>
      <c r="M16" s="31">
        <f>VLOOKUP($F16&amp;$G16,Composite!$A$5:$Q$841,M$3,FALSE)*VLOOKUP($C16,[3]!ExistingSat,MATCH($A16,[3]SATS!$C$10:$F$10,0)+1,FALSE)</f>
        <v>0</v>
      </c>
      <c r="N16" s="31">
        <f>VLOOKUP($F16&amp;$G16,Composite!$A$5:$Q$841,N$3,FALSE)*VLOOKUP($C16,[3]!ExistingSat,MATCH($A16,[3]SATS!$C$10:$F$10,0)+1,FALSE)</f>
        <v>0</v>
      </c>
      <c r="O16">
        <f>VLOOKUP($F16&amp;$G16,Composite!$A$5:$Q$841,O$3,FALSE)</f>
        <v>0</v>
      </c>
      <c r="P16" s="31">
        <f>VLOOKUP($F16&amp;$G16,Composite!$A$5:$Q$841,P$3,FALSE)*VLOOKUP($C16,[3]!ExistingSat,MATCH($A16,[3]SATS!$C$10:$F$10,0)+1,FALSE)</f>
        <v>0</v>
      </c>
      <c r="Q16">
        <f>VLOOKUP($F16&amp;$G16,Composite!$A$5:$Q$841,Q$3,FALSE)</f>
        <v>0</v>
      </c>
      <c r="R16" s="31">
        <f>VLOOKUP($F16&amp;$G16,Composite!$A$5:$Q$841,R$3,FALSE)*VLOOKUP($C16,[3]!ExistingSat,MATCH($A16,[3]SATS!$C$10:$F$10,0)+1,FALSE)</f>
        <v>0</v>
      </c>
      <c r="S16">
        <f>VLOOKUP($F16&amp;$G16,Composite!$A$5:$Q$841,S$3,FALSE)</f>
        <v>0</v>
      </c>
      <c r="T16" s="31">
        <f>VLOOKUP($F16&amp;$G16,Composite!$A$5:$Q$841,T$3,FALSE)*VLOOKUP($C16,[3]!ExistingSat,MATCH($A16,[3]SATS!$C$10:$F$10,0)+1,FALSE)</f>
        <v>0</v>
      </c>
    </row>
    <row r="17" spans="1:20">
      <c r="A17" t="s">
        <v>87</v>
      </c>
      <c r="B17" t="s">
        <v>77</v>
      </c>
      <c r="C17" t="s">
        <v>27</v>
      </c>
      <c r="D17" t="s">
        <v>59</v>
      </c>
      <c r="E17" t="str">
        <f t="shared" si="0"/>
        <v>Electric ZonalHZ1WINDOW CL30 Prime Window Replacement of Single Pane Base</v>
      </c>
      <c r="F17" s="31" t="str">
        <f>Composite!B16</f>
        <v>Windows - Single Pane to Class 30 - Heating Zone 1 (Zonal Heating System)</v>
      </c>
      <c r="G17" s="31" t="str">
        <f>Composite!C16</f>
        <v>WINDOW CL30 Prime Window Replacement of Single Pane Base</v>
      </c>
      <c r="H17" s="31">
        <f>VLOOKUP($F17&amp;$G17,Composite!$A$5:$Q$841,H$3,FALSE)*VLOOKUP($C17,[3]!ExistingSat,MATCH($A17,[3]SATS!$C$10:$F$10,0)+1,FALSE)</f>
        <v>3670.6782977092621</v>
      </c>
      <c r="I17">
        <f>VLOOKUP($F17&amp;$G17,Composite!$A$5:$Q$841,I$3,FALSE)</f>
        <v>45</v>
      </c>
      <c r="J17" s="31">
        <f>VLOOKUP($F17&amp;$G17,Composite!$A$5:$Q$841,J$3,FALSE)*VLOOKUP($C17,[3]!ExistingSat,MATCH($A17,[3]SATS!$C$10:$F$10,0)+1,FALSE)</f>
        <v>3865.0968570659024</v>
      </c>
      <c r="K17" s="31">
        <f>VLOOKUP($F17&amp;$G17,Composite!$A$5:$Q$841,K$3,FALSE)*VLOOKUP($C17,[3]!ExistingSat,MATCH($A17,[3]SATS!$C$10:$F$10,0)+1,FALSE)</f>
        <v>0</v>
      </c>
      <c r="L17" t="str">
        <f>VLOOKUP($F17&amp;$G17,Composite!$A$5:$Q$841,L$3,FALSE)</f>
        <v>ResSHWX</v>
      </c>
      <c r="M17" s="31">
        <f>VLOOKUP($F17&amp;$G17,Composite!$A$5:$Q$841,M$3,FALSE)*VLOOKUP($C17,[3]!ExistingSat,MATCH($A17,[3]SATS!$C$10:$F$10,0)+1,FALSE)</f>
        <v>0</v>
      </c>
      <c r="N17" s="31">
        <f>VLOOKUP($F17&amp;$G17,Composite!$A$5:$Q$841,N$3,FALSE)*VLOOKUP($C17,[3]!ExistingSat,MATCH($A17,[3]SATS!$C$10:$F$10,0)+1,FALSE)</f>
        <v>0</v>
      </c>
      <c r="O17">
        <f>VLOOKUP($F17&amp;$G17,Composite!$A$5:$Q$841,O$3,FALSE)</f>
        <v>0</v>
      </c>
      <c r="P17" s="31">
        <f>VLOOKUP($F17&amp;$G17,Composite!$A$5:$Q$841,P$3,FALSE)*VLOOKUP($C17,[3]!ExistingSat,MATCH($A17,[3]SATS!$C$10:$F$10,0)+1,FALSE)</f>
        <v>0</v>
      </c>
      <c r="Q17">
        <f>VLOOKUP($F17&amp;$G17,Composite!$A$5:$Q$841,Q$3,FALSE)</f>
        <v>0</v>
      </c>
      <c r="R17" s="31">
        <f>VLOOKUP($F17&amp;$G17,Composite!$A$5:$Q$841,R$3,FALSE)*VLOOKUP($C17,[3]!ExistingSat,MATCH($A17,[3]SATS!$C$10:$F$10,0)+1,FALSE)</f>
        <v>0</v>
      </c>
      <c r="S17">
        <f>VLOOKUP($F17&amp;$G17,Composite!$A$5:$Q$841,S$3,FALSE)</f>
        <v>0</v>
      </c>
      <c r="T17" s="31">
        <f>VLOOKUP($F17&amp;$G17,Composite!$A$5:$Q$841,T$3,FALSE)*VLOOKUP($C17,[3]!ExistingSat,MATCH($A17,[3]SATS!$C$10:$F$10,0)+1,FALSE)</f>
        <v>0</v>
      </c>
    </row>
    <row r="18" spans="1:20">
      <c r="A18" t="s">
        <v>87</v>
      </c>
      <c r="B18" t="s">
        <v>77</v>
      </c>
      <c r="C18" t="s">
        <v>27</v>
      </c>
      <c r="D18" t="s">
        <v>59</v>
      </c>
      <c r="E18" t="str">
        <f t="shared" si="0"/>
        <v>Electric ZonalHZ1WINDOW CL30 Prime Window Replacement of Double Pane Base</v>
      </c>
      <c r="F18" s="31" t="str">
        <f>Composite!B17</f>
        <v>Windows - Double Pane to Class 30 - Heating Zone 1 (Zonal Heating System)</v>
      </c>
      <c r="G18" s="31" t="str">
        <f>Composite!C17</f>
        <v>WINDOW CL30 Prime Window Replacement of Double Pane Base</v>
      </c>
      <c r="H18" s="31">
        <f>VLOOKUP($F18&amp;$G18,Composite!$A$5:$Q$841,H$3,FALSE)*VLOOKUP($C18,[3]!ExistingSat,MATCH($A18,[3]SATS!$C$10:$F$10,0)+1,FALSE)</f>
        <v>2016.3697668231168</v>
      </c>
      <c r="I18">
        <f>VLOOKUP($F18&amp;$G18,Composite!$A$5:$Q$841,I$3,FALSE)</f>
        <v>45</v>
      </c>
      <c r="J18" s="31">
        <f>VLOOKUP($F18&amp;$G18,Composite!$A$5:$Q$841,J$3,FALSE)*VLOOKUP($C18,[3]!ExistingSat,MATCH($A18,[3]SATS!$C$10:$F$10,0)+1,FALSE)</f>
        <v>3865.0968570659024</v>
      </c>
      <c r="K18" s="31">
        <f>VLOOKUP($F18&amp;$G18,Composite!$A$5:$Q$841,K$3,FALSE)*VLOOKUP($C18,[3]!ExistingSat,MATCH($A18,[3]SATS!$C$10:$F$10,0)+1,FALSE)</f>
        <v>0</v>
      </c>
      <c r="L18" t="str">
        <f>VLOOKUP($F18&amp;$G18,Composite!$A$5:$Q$841,L$3,FALSE)</f>
        <v>ResSHWX</v>
      </c>
      <c r="M18" s="31">
        <f>VLOOKUP($F18&amp;$G18,Composite!$A$5:$Q$841,M$3,FALSE)*VLOOKUP($C18,[3]!ExistingSat,MATCH($A18,[3]SATS!$C$10:$F$10,0)+1,FALSE)</f>
        <v>0</v>
      </c>
      <c r="N18" s="31">
        <f>VLOOKUP($F18&amp;$G18,Composite!$A$5:$Q$841,N$3,FALSE)*VLOOKUP($C18,[3]!ExistingSat,MATCH($A18,[3]SATS!$C$10:$F$10,0)+1,FALSE)</f>
        <v>0</v>
      </c>
      <c r="O18">
        <f>VLOOKUP($F18&amp;$G18,Composite!$A$5:$Q$841,O$3,FALSE)</f>
        <v>0</v>
      </c>
      <c r="P18" s="31">
        <f>VLOOKUP($F18&amp;$G18,Composite!$A$5:$Q$841,P$3,FALSE)*VLOOKUP($C18,[3]!ExistingSat,MATCH($A18,[3]SATS!$C$10:$F$10,0)+1,FALSE)</f>
        <v>0</v>
      </c>
      <c r="Q18">
        <f>VLOOKUP($F18&amp;$G18,Composite!$A$5:$Q$841,Q$3,FALSE)</f>
        <v>0</v>
      </c>
      <c r="R18" s="31">
        <f>VLOOKUP($F18&amp;$G18,Composite!$A$5:$Q$841,R$3,FALSE)*VLOOKUP($C18,[3]!ExistingSat,MATCH($A18,[3]SATS!$C$10:$F$10,0)+1,FALSE)</f>
        <v>0</v>
      </c>
      <c r="S18">
        <f>VLOOKUP($F18&amp;$G18,Composite!$A$5:$Q$841,S$3,FALSE)</f>
        <v>0</v>
      </c>
      <c r="T18" s="31">
        <f>VLOOKUP($F18&amp;$G18,Composite!$A$5:$Q$841,T$3,FALSE)*VLOOKUP($C18,[3]!ExistingSat,MATCH($A18,[3]SATS!$C$10:$F$10,0)+1,FALSE)</f>
        <v>0</v>
      </c>
    </row>
    <row r="19" spans="1:20">
      <c r="A19" t="s">
        <v>87</v>
      </c>
      <c r="B19" t="s">
        <v>77</v>
      </c>
      <c r="C19" t="s">
        <v>63</v>
      </c>
      <c r="D19" t="s">
        <v>60</v>
      </c>
      <c r="E19" t="str">
        <f t="shared" si="0"/>
        <v>Electric ZonalHZ2WALL R0 - R11</v>
      </c>
      <c r="F19" s="31" t="str">
        <f>Composite!B18</f>
        <v>Multi Family Weatherization - Insulate Walls - R-0 to R-11 - Heating Zone 2 (Zonal Heating System)</v>
      </c>
      <c r="G19" s="31" t="str">
        <f>Composite!C18</f>
        <v>WALL R0 - R11</v>
      </c>
      <c r="H19" s="31">
        <f>VLOOKUP($F19&amp;$G19,Composite!$A$5:$Q$841,H$3,FALSE)*VLOOKUP($C19,[3]!ExistingSat,MATCH($A19,[3]SATS!$C$10:$F$10,0)+1,FALSE)</f>
        <v>850.08423813276659</v>
      </c>
      <c r="I19">
        <f>VLOOKUP($F19&amp;$G19,Composite!$A$5:$Q$841,I$3,FALSE)</f>
        <v>45</v>
      </c>
      <c r="J19" s="31">
        <f>VLOOKUP($F19&amp;$G19,Composite!$A$5:$Q$841,J$3,FALSE)*VLOOKUP($C19,[3]!ExistingSat,MATCH($A19,[3]SATS!$C$10:$F$10,0)+1,FALSE)</f>
        <v>414.11354893012168</v>
      </c>
      <c r="K19" s="31">
        <f>VLOOKUP($F19&amp;$G19,Composite!$A$5:$Q$841,K$3,FALSE)*VLOOKUP($C19,[3]!ExistingSat,MATCH($A19,[3]SATS!$C$10:$F$10,0)+1,FALSE)</f>
        <v>0</v>
      </c>
      <c r="L19" t="str">
        <f>VLOOKUP($F19&amp;$G19,Composite!$A$5:$Q$841,L$3,FALSE)</f>
        <v>ResSHWX</v>
      </c>
      <c r="M19" s="31">
        <f>VLOOKUP($F19&amp;$G19,Composite!$A$5:$Q$841,M$3,FALSE)*VLOOKUP($C19,[3]!ExistingSat,MATCH($A19,[3]SATS!$C$10:$F$10,0)+1,FALSE)</f>
        <v>0</v>
      </c>
      <c r="N19" s="31">
        <f>VLOOKUP($F19&amp;$G19,Composite!$A$5:$Q$841,N$3,FALSE)*VLOOKUP($C19,[3]!ExistingSat,MATCH($A19,[3]SATS!$C$10:$F$10,0)+1,FALSE)</f>
        <v>0</v>
      </c>
      <c r="O19">
        <f>VLOOKUP($F19&amp;$G19,Composite!$A$5:$Q$841,O$3,FALSE)</f>
        <v>0</v>
      </c>
      <c r="P19" s="31">
        <f>VLOOKUP($F19&amp;$G19,Composite!$A$5:$Q$841,P$3,FALSE)*VLOOKUP($C19,[3]!ExistingSat,MATCH($A19,[3]SATS!$C$10:$F$10,0)+1,FALSE)</f>
        <v>0</v>
      </c>
      <c r="Q19">
        <f>VLOOKUP($F19&amp;$G19,Composite!$A$5:$Q$841,Q$3,FALSE)</f>
        <v>0</v>
      </c>
      <c r="R19" s="31">
        <f>VLOOKUP($F19&amp;$G19,Composite!$A$5:$Q$841,R$3,FALSE)*VLOOKUP($C19,[3]!ExistingSat,MATCH($A19,[3]SATS!$C$10:$F$10,0)+1,FALSE)</f>
        <v>0</v>
      </c>
      <c r="S19">
        <f>VLOOKUP($F19&amp;$G19,Composite!$A$5:$Q$841,S$3,FALSE)</f>
        <v>0</v>
      </c>
      <c r="T19" s="31">
        <f>VLOOKUP($F19&amp;$G19,Composite!$A$5:$Q$841,T$3,FALSE)*VLOOKUP($C19,[3]!ExistingSat,MATCH($A19,[3]SATS!$C$10:$F$10,0)+1,FALSE)</f>
        <v>0</v>
      </c>
    </row>
    <row r="20" spans="1:20">
      <c r="A20" t="s">
        <v>87</v>
      </c>
      <c r="B20" t="s">
        <v>77</v>
      </c>
      <c r="C20" t="s">
        <v>26</v>
      </c>
      <c r="D20" t="s">
        <v>60</v>
      </c>
      <c r="E20" t="str">
        <f t="shared" ref="E20:E71" si="1">B20&amp;D20&amp;G20</f>
        <v>Electric ZonalHZ2FLOOR R0 - R19</v>
      </c>
      <c r="F20" s="31" t="str">
        <f>Composite!B19</f>
        <v>Multi Family Weatherization - Insulate Floors - R-0 to R-19 - Heating Zone 2 (Zonal Heating System)</v>
      </c>
      <c r="G20" s="31" t="str">
        <f>Composite!C19</f>
        <v>FLOOR R0 - R19</v>
      </c>
      <c r="H20" s="31">
        <f>VLOOKUP($F20&amp;$G20,Composite!$A$5:$Q$841,H$3,FALSE)*VLOOKUP($C20,[3]!ExistingSat,MATCH($A20,[3]SATS!$C$10:$F$10,0)+1,FALSE)</f>
        <v>276.31722154021151</v>
      </c>
      <c r="I20">
        <f>VLOOKUP($F20&amp;$G20,Composite!$A$5:$Q$841,I$3,FALSE)</f>
        <v>45</v>
      </c>
      <c r="J20" s="31">
        <f>VLOOKUP($F20&amp;$G20,Composite!$A$5:$Q$841,J$3,FALSE)*VLOOKUP($C20,[3]!ExistingSat,MATCH($A20,[3]SATS!$C$10:$F$10,0)+1,FALSE)</f>
        <v>436.41697398915824</v>
      </c>
      <c r="K20" s="31">
        <f>VLOOKUP($F20&amp;$G20,Composite!$A$5:$Q$841,K$3,FALSE)*VLOOKUP($C20,[3]!ExistingSat,MATCH($A20,[3]SATS!$C$10:$F$10,0)+1,FALSE)</f>
        <v>0</v>
      </c>
      <c r="L20" t="str">
        <f>VLOOKUP($F20&amp;$G20,Composite!$A$5:$Q$841,L$3,FALSE)</f>
        <v>ResSHWX</v>
      </c>
      <c r="M20" s="31">
        <f>VLOOKUP($F20&amp;$G20,Composite!$A$5:$Q$841,M$3,FALSE)*VLOOKUP($C20,[3]!ExistingSat,MATCH($A20,[3]SATS!$C$10:$F$10,0)+1,FALSE)</f>
        <v>0</v>
      </c>
      <c r="N20" s="31">
        <f>VLOOKUP($F20&amp;$G20,Composite!$A$5:$Q$841,N$3,FALSE)*VLOOKUP($C20,[3]!ExistingSat,MATCH($A20,[3]SATS!$C$10:$F$10,0)+1,FALSE)</f>
        <v>0</v>
      </c>
      <c r="O20">
        <f>VLOOKUP($F20&amp;$G20,Composite!$A$5:$Q$841,O$3,FALSE)</f>
        <v>0</v>
      </c>
      <c r="P20" s="31">
        <f>VLOOKUP($F20&amp;$G20,Composite!$A$5:$Q$841,P$3,FALSE)*VLOOKUP($C20,[3]!ExistingSat,MATCH($A20,[3]SATS!$C$10:$F$10,0)+1,FALSE)</f>
        <v>0</v>
      </c>
      <c r="Q20">
        <f>VLOOKUP($F20&amp;$G20,Composite!$A$5:$Q$841,Q$3,FALSE)</f>
        <v>0</v>
      </c>
      <c r="R20" s="31">
        <f>VLOOKUP($F20&amp;$G20,Composite!$A$5:$Q$841,R$3,FALSE)*VLOOKUP($C20,[3]!ExistingSat,MATCH($A20,[3]SATS!$C$10:$F$10,0)+1,FALSE)</f>
        <v>0</v>
      </c>
      <c r="S20">
        <f>VLOOKUP($F20&amp;$G20,Composite!$A$5:$Q$841,S$3,FALSE)</f>
        <v>0</v>
      </c>
      <c r="T20" s="31">
        <f>VLOOKUP($F20&amp;$G20,Composite!$A$5:$Q$841,T$3,FALSE)*VLOOKUP($C20,[3]!ExistingSat,MATCH($A20,[3]SATS!$C$10:$F$10,0)+1,FALSE)</f>
        <v>0</v>
      </c>
    </row>
    <row r="21" spans="1:20">
      <c r="A21" t="s">
        <v>87</v>
      </c>
      <c r="B21" t="s">
        <v>77</v>
      </c>
      <c r="C21" t="s">
        <v>26</v>
      </c>
      <c r="D21" t="s">
        <v>60</v>
      </c>
      <c r="E21" t="str">
        <f t="shared" si="1"/>
        <v>Electric ZonalHZ2FLOOR R0 - R30</v>
      </c>
      <c r="F21" s="31" t="str">
        <f>Composite!B20</f>
        <v>Multi Family Weatherization - Insulate Floors - R-0 to R-30 - Heating Zone 2 (Zonal Heating System)</v>
      </c>
      <c r="G21" s="31" t="str">
        <f>Composite!C20</f>
        <v>FLOOR R0 - R30</v>
      </c>
      <c r="H21" s="31">
        <f>VLOOKUP($F21&amp;$G21,Composite!$A$5:$Q$841,H$3,FALSE)*VLOOKUP($C21,[3]!ExistingSat,MATCH($A21,[3]SATS!$C$10:$F$10,0)+1,FALSE)</f>
        <v>360.28551493746255</v>
      </c>
      <c r="I21">
        <f>VLOOKUP($F21&amp;$G21,Composite!$A$5:$Q$841,I$3,FALSE)</f>
        <v>45</v>
      </c>
      <c r="J21" s="31">
        <f>VLOOKUP($F21&amp;$G21,Composite!$A$5:$Q$841,J$3,FALSE)*VLOOKUP($C21,[3]!ExistingSat,MATCH($A21,[3]SATS!$C$10:$F$10,0)+1,FALSE)</f>
        <v>689.07943261446042</v>
      </c>
      <c r="K21" s="31">
        <f>VLOOKUP($F21&amp;$G21,Composite!$A$5:$Q$841,K$3,FALSE)*VLOOKUP($C21,[3]!ExistingSat,MATCH($A21,[3]SATS!$C$10:$F$10,0)+1,FALSE)</f>
        <v>0</v>
      </c>
      <c r="L21" t="str">
        <f>VLOOKUP($F21&amp;$G21,Composite!$A$5:$Q$841,L$3,FALSE)</f>
        <v>ResSHWX</v>
      </c>
      <c r="M21" s="31">
        <f>VLOOKUP($F21&amp;$G21,Composite!$A$5:$Q$841,M$3,FALSE)*VLOOKUP($C21,[3]!ExistingSat,MATCH($A21,[3]SATS!$C$10:$F$10,0)+1,FALSE)</f>
        <v>0</v>
      </c>
      <c r="N21" s="31">
        <f>VLOOKUP($F21&amp;$G21,Composite!$A$5:$Q$841,N$3,FALSE)*VLOOKUP($C21,[3]!ExistingSat,MATCH($A21,[3]SATS!$C$10:$F$10,0)+1,FALSE)</f>
        <v>0</v>
      </c>
      <c r="O21">
        <f>VLOOKUP($F21&amp;$G21,Composite!$A$5:$Q$841,O$3,FALSE)</f>
        <v>0</v>
      </c>
      <c r="P21" s="31">
        <f>VLOOKUP($F21&amp;$G21,Composite!$A$5:$Q$841,P$3,FALSE)*VLOOKUP($C21,[3]!ExistingSat,MATCH($A21,[3]SATS!$C$10:$F$10,0)+1,FALSE)</f>
        <v>0</v>
      </c>
      <c r="Q21">
        <f>VLOOKUP($F21&amp;$G21,Composite!$A$5:$Q$841,Q$3,FALSE)</f>
        <v>0</v>
      </c>
      <c r="R21" s="31">
        <f>VLOOKUP($F21&amp;$G21,Composite!$A$5:$Q$841,R$3,FALSE)*VLOOKUP($C21,[3]!ExistingSat,MATCH($A21,[3]SATS!$C$10:$F$10,0)+1,FALSE)</f>
        <v>0</v>
      </c>
      <c r="S21">
        <f>VLOOKUP($F21&amp;$G21,Composite!$A$5:$Q$841,S$3,FALSE)</f>
        <v>0</v>
      </c>
      <c r="T21" s="31">
        <f>VLOOKUP($F21&amp;$G21,Composite!$A$5:$Q$841,T$3,FALSE)*VLOOKUP($C21,[3]!ExistingSat,MATCH($A21,[3]SATS!$C$10:$F$10,0)+1,FALSE)</f>
        <v>0</v>
      </c>
    </row>
    <row r="22" spans="1:20">
      <c r="A22" t="s">
        <v>87</v>
      </c>
      <c r="B22" t="s">
        <v>77</v>
      </c>
      <c r="C22" t="s">
        <v>28</v>
      </c>
      <c r="D22" t="s">
        <v>60</v>
      </c>
      <c r="E22" t="str">
        <f t="shared" si="1"/>
        <v>Electric ZonalHZ2ATTIC R0 - R19</v>
      </c>
      <c r="F22" s="31" t="str">
        <f>Composite!B21</f>
        <v>Multi Family Weatherization - Insulate Attic - R-0 to R-19 - Heating Zone 2 (Zonal Heating System)</v>
      </c>
      <c r="G22" s="31" t="str">
        <f>Composite!C21</f>
        <v>ATTIC R0 - R19</v>
      </c>
      <c r="H22" s="31">
        <f>VLOOKUP($F22&amp;$G22,Composite!$A$5:$Q$841,H$3,FALSE)*VLOOKUP($C22,[3]!ExistingSat,MATCH($A22,[3]SATS!$C$10:$F$10,0)+1,FALSE)</f>
        <v>190.56500697050743</v>
      </c>
      <c r="I22">
        <f>VLOOKUP($F22&amp;$G22,Composite!$A$5:$Q$841,I$3,FALSE)</f>
        <v>45</v>
      </c>
      <c r="J22" s="31">
        <f>VLOOKUP($F22&amp;$G22,Composite!$A$5:$Q$841,J$3,FALSE)*VLOOKUP($C22,[3]!ExistingSat,MATCH($A22,[3]SATS!$C$10:$F$10,0)+1,FALSE)</f>
        <v>239.1087012654321</v>
      </c>
      <c r="K22" s="31">
        <f>VLOOKUP($F22&amp;$G22,Composite!$A$5:$Q$841,K$3,FALSE)*VLOOKUP($C22,[3]!ExistingSat,MATCH($A22,[3]SATS!$C$10:$F$10,0)+1,FALSE)</f>
        <v>0</v>
      </c>
      <c r="L22" t="str">
        <f>VLOOKUP($F22&amp;$G22,Composite!$A$5:$Q$841,L$3,FALSE)</f>
        <v>ResSHWX</v>
      </c>
      <c r="M22" s="31">
        <f>VLOOKUP($F22&amp;$G22,Composite!$A$5:$Q$841,M$3,FALSE)*VLOOKUP($C22,[3]!ExistingSat,MATCH($A22,[3]SATS!$C$10:$F$10,0)+1,FALSE)</f>
        <v>0</v>
      </c>
      <c r="N22" s="31">
        <f>VLOOKUP($F22&amp;$G22,Composite!$A$5:$Q$841,N$3,FALSE)*VLOOKUP($C22,[3]!ExistingSat,MATCH($A22,[3]SATS!$C$10:$F$10,0)+1,FALSE)</f>
        <v>0</v>
      </c>
      <c r="O22">
        <f>VLOOKUP($F22&amp;$G22,Composite!$A$5:$Q$841,O$3,FALSE)</f>
        <v>0</v>
      </c>
      <c r="P22" s="31">
        <f>VLOOKUP($F22&amp;$G22,Composite!$A$5:$Q$841,P$3,FALSE)*VLOOKUP($C22,[3]!ExistingSat,MATCH($A22,[3]SATS!$C$10:$F$10,0)+1,FALSE)</f>
        <v>0</v>
      </c>
      <c r="Q22">
        <f>VLOOKUP($F22&amp;$G22,Composite!$A$5:$Q$841,Q$3,FALSE)</f>
        <v>0</v>
      </c>
      <c r="R22" s="31">
        <f>VLOOKUP($F22&amp;$G22,Composite!$A$5:$Q$841,R$3,FALSE)*VLOOKUP($C22,[3]!ExistingSat,MATCH($A22,[3]SATS!$C$10:$F$10,0)+1,FALSE)</f>
        <v>0</v>
      </c>
      <c r="S22">
        <f>VLOOKUP($F22&amp;$G22,Composite!$A$5:$Q$841,S$3,FALSE)</f>
        <v>0</v>
      </c>
      <c r="T22" s="31">
        <f>VLOOKUP($F22&amp;$G22,Composite!$A$5:$Q$841,T$3,FALSE)*VLOOKUP($C22,[3]!ExistingSat,MATCH($A22,[3]SATS!$C$10:$F$10,0)+1,FALSE)</f>
        <v>0</v>
      </c>
    </row>
    <row r="23" spans="1:20">
      <c r="A23" t="s">
        <v>87</v>
      </c>
      <c r="B23" t="s">
        <v>77</v>
      </c>
      <c r="C23" t="s">
        <v>28</v>
      </c>
      <c r="D23" t="s">
        <v>60</v>
      </c>
      <c r="E23" t="str">
        <f t="shared" si="1"/>
        <v>Electric ZonalHZ2ATTIC R0 - R38</v>
      </c>
      <c r="F23" s="31" t="str">
        <f>Composite!B22</f>
        <v>Multi Family Weatherization - Insulate Attic - R-0 to R-38 - Heating Zone 2 (Zonal Heating System)</v>
      </c>
      <c r="G23" s="31" t="str">
        <f>Composite!C22</f>
        <v>ATTIC R0 - R38</v>
      </c>
      <c r="H23" s="31">
        <f>VLOOKUP($F23&amp;$G23,Composite!$A$5:$Q$841,H$3,FALSE)*VLOOKUP($C23,[3]!ExistingSat,MATCH($A23,[3]SATS!$C$10:$F$10,0)+1,FALSE)</f>
        <v>259.67618046679638</v>
      </c>
      <c r="I23">
        <f>VLOOKUP($F23&amp;$G23,Composite!$A$5:$Q$841,I$3,FALSE)</f>
        <v>45</v>
      </c>
      <c r="J23" s="31">
        <f>VLOOKUP($F23&amp;$G23,Composite!$A$5:$Q$841,J$3,FALSE)*VLOOKUP($C23,[3]!ExistingSat,MATCH($A23,[3]SATS!$C$10:$F$10,0)+1,FALSE)</f>
        <v>478.21740253086421</v>
      </c>
      <c r="K23" s="31">
        <f>VLOOKUP($F23&amp;$G23,Composite!$A$5:$Q$841,K$3,FALSE)*VLOOKUP($C23,[3]!ExistingSat,MATCH($A23,[3]SATS!$C$10:$F$10,0)+1,FALSE)</f>
        <v>0</v>
      </c>
      <c r="L23" t="str">
        <f>VLOOKUP($F23&amp;$G23,Composite!$A$5:$Q$841,L$3,FALSE)</f>
        <v>ResSHWX</v>
      </c>
      <c r="M23" s="31">
        <f>VLOOKUP($F23&amp;$G23,Composite!$A$5:$Q$841,M$3,FALSE)*VLOOKUP($C23,[3]!ExistingSat,MATCH($A23,[3]SATS!$C$10:$F$10,0)+1,FALSE)</f>
        <v>0</v>
      </c>
      <c r="N23" s="31">
        <f>VLOOKUP($F23&amp;$G23,Composite!$A$5:$Q$841,N$3,FALSE)*VLOOKUP($C23,[3]!ExistingSat,MATCH($A23,[3]SATS!$C$10:$F$10,0)+1,FALSE)</f>
        <v>0</v>
      </c>
      <c r="O23">
        <f>VLOOKUP($F23&amp;$G23,Composite!$A$5:$Q$841,O$3,FALSE)</f>
        <v>0</v>
      </c>
      <c r="P23" s="31">
        <f>VLOOKUP($F23&amp;$G23,Composite!$A$5:$Q$841,P$3,FALSE)*VLOOKUP($C23,[3]!ExistingSat,MATCH($A23,[3]SATS!$C$10:$F$10,0)+1,FALSE)</f>
        <v>0</v>
      </c>
      <c r="Q23">
        <f>VLOOKUP($F23&amp;$G23,Composite!$A$5:$Q$841,Q$3,FALSE)</f>
        <v>0</v>
      </c>
      <c r="R23" s="31">
        <f>VLOOKUP($F23&amp;$G23,Composite!$A$5:$Q$841,R$3,FALSE)*VLOOKUP($C23,[3]!ExistingSat,MATCH($A23,[3]SATS!$C$10:$F$10,0)+1,FALSE)</f>
        <v>0</v>
      </c>
      <c r="S23">
        <f>VLOOKUP($F23&amp;$G23,Composite!$A$5:$Q$841,S$3,FALSE)</f>
        <v>0</v>
      </c>
      <c r="T23" s="31">
        <f>VLOOKUP($F23&amp;$G23,Composite!$A$5:$Q$841,T$3,FALSE)*VLOOKUP($C23,[3]!ExistingSat,MATCH($A23,[3]SATS!$C$10:$F$10,0)+1,FALSE)</f>
        <v>0</v>
      </c>
    </row>
    <row r="24" spans="1:20">
      <c r="A24" t="s">
        <v>87</v>
      </c>
      <c r="B24" t="s">
        <v>77</v>
      </c>
      <c r="C24" t="s">
        <v>28</v>
      </c>
      <c r="D24" t="s">
        <v>60</v>
      </c>
      <c r="E24" t="str">
        <f t="shared" si="1"/>
        <v>Electric ZonalHZ2ATTIC R0 - R49</v>
      </c>
      <c r="F24" s="31" t="str">
        <f>Composite!B23</f>
        <v>Multi Family Weatherization - Insulate Attic - R-0 to R-49 - Heating Zone 2 (Zonal Heating System)</v>
      </c>
      <c r="G24" s="31" t="str">
        <f>Composite!C23</f>
        <v>ATTIC R0 - R49</v>
      </c>
      <c r="H24" s="31">
        <f>VLOOKUP($F24&amp;$G24,Composite!$A$5:$Q$841,H$3,FALSE)*VLOOKUP($C24,[3]!ExistingSat,MATCH($A24,[3]SATS!$C$10:$F$10,0)+1,FALSE)</f>
        <v>275.72472654226766</v>
      </c>
      <c r="I24">
        <f>VLOOKUP($F24&amp;$G24,Composite!$A$5:$Q$841,I$3,FALSE)</f>
        <v>45</v>
      </c>
      <c r="J24" s="31">
        <f>VLOOKUP($F24&amp;$G24,Composite!$A$5:$Q$841,J$3,FALSE)*VLOOKUP($C24,[3]!ExistingSat,MATCH($A24,[3]SATS!$C$10:$F$10,0)+1,FALSE)</f>
        <v>616.64875589506175</v>
      </c>
      <c r="K24" s="31">
        <f>VLOOKUP($F24&amp;$G24,Composite!$A$5:$Q$841,K$3,FALSE)*VLOOKUP($C24,[3]!ExistingSat,MATCH($A24,[3]SATS!$C$10:$F$10,0)+1,FALSE)</f>
        <v>0</v>
      </c>
      <c r="L24" t="str">
        <f>VLOOKUP($F24&amp;$G24,Composite!$A$5:$Q$841,L$3,FALSE)</f>
        <v>ResSHWX</v>
      </c>
      <c r="M24" s="31">
        <f>VLOOKUP($F24&amp;$G24,Composite!$A$5:$Q$841,M$3,FALSE)*VLOOKUP($C24,[3]!ExistingSat,MATCH($A24,[3]SATS!$C$10:$F$10,0)+1,FALSE)</f>
        <v>0</v>
      </c>
      <c r="N24" s="31">
        <f>VLOOKUP($F24&amp;$G24,Composite!$A$5:$Q$841,N$3,FALSE)*VLOOKUP($C24,[3]!ExistingSat,MATCH($A24,[3]SATS!$C$10:$F$10,0)+1,FALSE)</f>
        <v>0</v>
      </c>
      <c r="O24">
        <f>VLOOKUP($F24&amp;$G24,Composite!$A$5:$Q$841,O$3,FALSE)</f>
        <v>0</v>
      </c>
      <c r="P24" s="31">
        <f>VLOOKUP($F24&amp;$G24,Composite!$A$5:$Q$841,P$3,FALSE)*VLOOKUP($C24,[3]!ExistingSat,MATCH($A24,[3]SATS!$C$10:$F$10,0)+1,FALSE)</f>
        <v>0</v>
      </c>
      <c r="Q24">
        <f>VLOOKUP($F24&amp;$G24,Composite!$A$5:$Q$841,Q$3,FALSE)</f>
        <v>0</v>
      </c>
      <c r="R24" s="31">
        <f>VLOOKUP($F24&amp;$G24,Composite!$A$5:$Q$841,R$3,FALSE)*VLOOKUP($C24,[3]!ExistingSat,MATCH($A24,[3]SATS!$C$10:$F$10,0)+1,FALSE)</f>
        <v>0</v>
      </c>
      <c r="S24">
        <f>VLOOKUP($F24&amp;$G24,Composite!$A$5:$Q$841,S$3,FALSE)</f>
        <v>0</v>
      </c>
      <c r="T24" s="31">
        <f>VLOOKUP($F24&amp;$G24,Composite!$A$5:$Q$841,T$3,FALSE)*VLOOKUP($C24,[3]!ExistingSat,MATCH($A24,[3]SATS!$C$10:$F$10,0)+1,FALSE)</f>
        <v>0</v>
      </c>
    </row>
    <row r="25" spans="1:20">
      <c r="A25" t="s">
        <v>87</v>
      </c>
      <c r="B25" t="s">
        <v>77</v>
      </c>
      <c r="C25" t="s">
        <v>28</v>
      </c>
      <c r="D25" t="s">
        <v>60</v>
      </c>
      <c r="E25" t="str">
        <f t="shared" si="1"/>
        <v>Electric ZonalHZ2ATTIC R19 - R30</v>
      </c>
      <c r="F25" s="31" t="str">
        <f>Composite!B24</f>
        <v>Multi Family Weatherization - Insulate Attic - R-19 to R-30 - Heating Zone 2 (Zonal Heating System)</v>
      </c>
      <c r="G25" s="31" t="str">
        <f>Composite!C24</f>
        <v>ATTIC R19 - R30</v>
      </c>
      <c r="H25" s="31">
        <f>VLOOKUP($F25&amp;$G25,Composite!$A$5:$Q$841,H$3,FALSE)*VLOOKUP($C25,[3]!ExistingSat,MATCH($A25,[3]SATS!$C$10:$F$10,0)+1,FALSE)</f>
        <v>50.06781915813626</v>
      </c>
      <c r="I25">
        <f>VLOOKUP($F25&amp;$G25,Composite!$A$5:$Q$841,I$3,FALSE)</f>
        <v>45</v>
      </c>
      <c r="J25" s="31">
        <f>VLOOKUP($F25&amp;$G25,Composite!$A$5:$Q$841,J$3,FALSE)*VLOOKUP($C25,[3]!ExistingSat,MATCH($A25,[3]SATS!$C$10:$F$10,0)+1,FALSE)</f>
        <v>138.43135336419752</v>
      </c>
      <c r="K25" s="31">
        <f>VLOOKUP($F25&amp;$G25,Composite!$A$5:$Q$841,K$3,FALSE)*VLOOKUP($C25,[3]!ExistingSat,MATCH($A25,[3]SATS!$C$10:$F$10,0)+1,FALSE)</f>
        <v>0</v>
      </c>
      <c r="L25" t="str">
        <f>VLOOKUP($F25&amp;$G25,Composite!$A$5:$Q$841,L$3,FALSE)</f>
        <v>ResSHWX</v>
      </c>
      <c r="M25" s="31">
        <f>VLOOKUP($F25&amp;$G25,Composite!$A$5:$Q$841,M$3,FALSE)*VLOOKUP($C25,[3]!ExistingSat,MATCH($A25,[3]SATS!$C$10:$F$10,0)+1,FALSE)</f>
        <v>0</v>
      </c>
      <c r="N25" s="31">
        <f>VLOOKUP($F25&amp;$G25,Composite!$A$5:$Q$841,N$3,FALSE)*VLOOKUP($C25,[3]!ExistingSat,MATCH($A25,[3]SATS!$C$10:$F$10,0)+1,FALSE)</f>
        <v>0</v>
      </c>
      <c r="O25">
        <f>VLOOKUP($F25&amp;$G25,Composite!$A$5:$Q$841,O$3,FALSE)</f>
        <v>0</v>
      </c>
      <c r="P25" s="31">
        <f>VLOOKUP($F25&amp;$G25,Composite!$A$5:$Q$841,P$3,FALSE)*VLOOKUP($C25,[3]!ExistingSat,MATCH($A25,[3]SATS!$C$10:$F$10,0)+1,FALSE)</f>
        <v>0</v>
      </c>
      <c r="Q25">
        <f>VLOOKUP($F25&amp;$G25,Composite!$A$5:$Q$841,Q$3,FALSE)</f>
        <v>0</v>
      </c>
      <c r="R25" s="31">
        <f>VLOOKUP($F25&amp;$G25,Composite!$A$5:$Q$841,R$3,FALSE)*VLOOKUP($C25,[3]!ExistingSat,MATCH($A25,[3]SATS!$C$10:$F$10,0)+1,FALSE)</f>
        <v>0</v>
      </c>
      <c r="S25">
        <f>VLOOKUP($F25&amp;$G25,Composite!$A$5:$Q$841,S$3,FALSE)</f>
        <v>0</v>
      </c>
      <c r="T25" s="31">
        <f>VLOOKUP($F25&amp;$G25,Composite!$A$5:$Q$841,T$3,FALSE)*VLOOKUP($C25,[3]!ExistingSat,MATCH($A25,[3]SATS!$C$10:$F$10,0)+1,FALSE)</f>
        <v>0</v>
      </c>
    </row>
    <row r="26" spans="1:20">
      <c r="A26" t="s">
        <v>87</v>
      </c>
      <c r="B26" t="s">
        <v>77</v>
      </c>
      <c r="C26" t="s">
        <v>28</v>
      </c>
      <c r="D26" t="s">
        <v>60</v>
      </c>
      <c r="E26" t="str">
        <f t="shared" si="1"/>
        <v>Electric ZonalHZ2ATTIC R19 - R38</v>
      </c>
      <c r="F26" s="31" t="str">
        <f>Composite!B25</f>
        <v>Multi Family Weatherization - Insulate Attic - R-19 to R-38 - Heating Zone 2 (Zonal Heating System)</v>
      </c>
      <c r="G26" s="31" t="str">
        <f>Composite!C25</f>
        <v>ATTIC R19 - R38</v>
      </c>
      <c r="H26" s="31">
        <f>VLOOKUP($F26&amp;$G26,Composite!$A$5:$Q$841,H$3,FALSE)*VLOOKUP($C26,[3]!ExistingSat,MATCH($A26,[3]SATS!$C$10:$F$10,0)+1,FALSE)</f>
        <v>69.111173496288941</v>
      </c>
      <c r="I26">
        <f>VLOOKUP($F26&amp;$G26,Composite!$A$5:$Q$841,I$3,FALSE)</f>
        <v>45</v>
      </c>
      <c r="J26" s="31">
        <f>VLOOKUP($F26&amp;$G26,Composite!$A$5:$Q$841,J$3,FALSE)*VLOOKUP($C26,[3]!ExistingSat,MATCH($A26,[3]SATS!$C$10:$F$10,0)+1,FALSE)</f>
        <v>239.1087012654321</v>
      </c>
      <c r="K26" s="31">
        <f>VLOOKUP($F26&amp;$G26,Composite!$A$5:$Q$841,K$3,FALSE)*VLOOKUP($C26,[3]!ExistingSat,MATCH($A26,[3]SATS!$C$10:$F$10,0)+1,FALSE)</f>
        <v>0</v>
      </c>
      <c r="L26" t="str">
        <f>VLOOKUP($F26&amp;$G26,Composite!$A$5:$Q$841,L$3,FALSE)</f>
        <v>ResSHWX</v>
      </c>
      <c r="M26" s="31">
        <f>VLOOKUP($F26&amp;$G26,Composite!$A$5:$Q$841,M$3,FALSE)*VLOOKUP($C26,[3]!ExistingSat,MATCH($A26,[3]SATS!$C$10:$F$10,0)+1,FALSE)</f>
        <v>0</v>
      </c>
      <c r="N26" s="31">
        <f>VLOOKUP($F26&amp;$G26,Composite!$A$5:$Q$841,N$3,FALSE)*VLOOKUP($C26,[3]!ExistingSat,MATCH($A26,[3]SATS!$C$10:$F$10,0)+1,FALSE)</f>
        <v>0</v>
      </c>
      <c r="O26">
        <f>VLOOKUP($F26&amp;$G26,Composite!$A$5:$Q$841,O$3,FALSE)</f>
        <v>0</v>
      </c>
      <c r="P26" s="31">
        <f>VLOOKUP($F26&amp;$G26,Composite!$A$5:$Q$841,P$3,FALSE)*VLOOKUP($C26,[3]!ExistingSat,MATCH($A26,[3]SATS!$C$10:$F$10,0)+1,FALSE)</f>
        <v>0</v>
      </c>
      <c r="Q26">
        <f>VLOOKUP($F26&amp;$G26,Composite!$A$5:$Q$841,Q$3,FALSE)</f>
        <v>0</v>
      </c>
      <c r="R26" s="31">
        <f>VLOOKUP($F26&amp;$G26,Composite!$A$5:$Q$841,R$3,FALSE)*VLOOKUP($C26,[3]!ExistingSat,MATCH($A26,[3]SATS!$C$10:$F$10,0)+1,FALSE)</f>
        <v>0</v>
      </c>
      <c r="S26">
        <f>VLOOKUP($F26&amp;$G26,Composite!$A$5:$Q$841,S$3,FALSE)</f>
        <v>0</v>
      </c>
      <c r="T26" s="31">
        <f>VLOOKUP($F26&amp;$G26,Composite!$A$5:$Q$841,T$3,FALSE)*VLOOKUP($C26,[3]!ExistingSat,MATCH($A26,[3]SATS!$C$10:$F$10,0)+1,FALSE)</f>
        <v>0</v>
      </c>
    </row>
    <row r="27" spans="1:20">
      <c r="A27" t="s">
        <v>87</v>
      </c>
      <c r="B27" t="s">
        <v>77</v>
      </c>
      <c r="C27" t="s">
        <v>28</v>
      </c>
      <c r="D27" t="s">
        <v>60</v>
      </c>
      <c r="E27" t="str">
        <f t="shared" si="1"/>
        <v>Electric ZonalHZ2ATTIC R19 - R49</v>
      </c>
      <c r="F27" s="31" t="str">
        <f>Composite!B26</f>
        <v>Multi Family Weatherization - Insulate Attic - R-19 to R-49 - Heating Zone 2 (Zonal Heating System)</v>
      </c>
      <c r="G27" s="31" t="str">
        <f>Composite!C26</f>
        <v>ATTIC R19 - R49</v>
      </c>
      <c r="H27" s="31">
        <f>VLOOKUP($F27&amp;$G27,Composite!$A$5:$Q$841,H$3,FALSE)*VLOOKUP($C27,[3]!ExistingSat,MATCH($A27,[3]SATS!$C$10:$F$10,0)+1,FALSE)</f>
        <v>85.159719571760235</v>
      </c>
      <c r="I27">
        <f>VLOOKUP($F27&amp;$G27,Composite!$A$5:$Q$841,I$3,FALSE)</f>
        <v>45</v>
      </c>
      <c r="J27" s="31">
        <f>VLOOKUP($F27&amp;$G27,Composite!$A$5:$Q$841,J$3,FALSE)*VLOOKUP($C27,[3]!ExistingSat,MATCH($A27,[3]SATS!$C$10:$F$10,0)+1,FALSE)</f>
        <v>377.54005462962965</v>
      </c>
      <c r="K27" s="31">
        <f>VLOOKUP($F27&amp;$G27,Composite!$A$5:$Q$841,K$3,FALSE)*VLOOKUP($C27,[3]!ExistingSat,MATCH($A27,[3]SATS!$C$10:$F$10,0)+1,FALSE)</f>
        <v>0</v>
      </c>
      <c r="L27" t="str">
        <f>VLOOKUP($F27&amp;$G27,Composite!$A$5:$Q$841,L$3,FALSE)</f>
        <v>ResSHWX</v>
      </c>
      <c r="M27" s="31">
        <f>VLOOKUP($F27&amp;$G27,Composite!$A$5:$Q$841,M$3,FALSE)*VLOOKUP($C27,[3]!ExistingSat,MATCH($A27,[3]SATS!$C$10:$F$10,0)+1,FALSE)</f>
        <v>0</v>
      </c>
      <c r="N27" s="31">
        <f>VLOOKUP($F27&amp;$G27,Composite!$A$5:$Q$841,N$3,FALSE)*VLOOKUP($C27,[3]!ExistingSat,MATCH($A27,[3]SATS!$C$10:$F$10,0)+1,FALSE)</f>
        <v>0</v>
      </c>
      <c r="O27">
        <f>VLOOKUP($F27&amp;$G27,Composite!$A$5:$Q$841,O$3,FALSE)</f>
        <v>0</v>
      </c>
      <c r="P27" s="31">
        <f>VLOOKUP($F27&amp;$G27,Composite!$A$5:$Q$841,P$3,FALSE)*VLOOKUP($C27,[3]!ExistingSat,MATCH($A27,[3]SATS!$C$10:$F$10,0)+1,FALSE)</f>
        <v>0</v>
      </c>
      <c r="Q27">
        <f>VLOOKUP($F27&amp;$G27,Composite!$A$5:$Q$841,Q$3,FALSE)</f>
        <v>0</v>
      </c>
      <c r="R27" s="31">
        <f>VLOOKUP($F27&amp;$G27,Composite!$A$5:$Q$841,R$3,FALSE)*VLOOKUP($C27,[3]!ExistingSat,MATCH($A27,[3]SATS!$C$10:$F$10,0)+1,FALSE)</f>
        <v>0</v>
      </c>
      <c r="S27">
        <f>VLOOKUP($F27&amp;$G27,Composite!$A$5:$Q$841,S$3,FALSE)</f>
        <v>0</v>
      </c>
      <c r="T27" s="31">
        <f>VLOOKUP($F27&amp;$G27,Composite!$A$5:$Q$841,T$3,FALSE)*VLOOKUP($C27,[3]!ExistingSat,MATCH($A27,[3]SATS!$C$10:$F$10,0)+1,FALSE)</f>
        <v>0</v>
      </c>
    </row>
    <row r="28" spans="1:20">
      <c r="A28" t="s">
        <v>87</v>
      </c>
      <c r="B28" t="s">
        <v>77</v>
      </c>
      <c r="C28" t="s">
        <v>27</v>
      </c>
      <c r="D28" t="s">
        <v>60</v>
      </c>
      <c r="E28" t="str">
        <f t="shared" si="1"/>
        <v>Electric ZonalHZ2WINDOW CL22 Prime Window Replacement of Single Pane Base</v>
      </c>
      <c r="F28" s="31" t="str">
        <f>Composite!B27</f>
        <v>Windows - Single Pane to Class 22 - Heating Zone 2 (Zonal Heating System)</v>
      </c>
      <c r="G28" s="31" t="str">
        <f>Composite!C27</f>
        <v>WINDOW CL22 Prime Window Replacement of Single Pane Base</v>
      </c>
      <c r="H28" s="31">
        <f>VLOOKUP($F28&amp;$G28,Composite!$A$5:$Q$841,H$3,FALSE)*VLOOKUP($C28,[3]!ExistingSat,MATCH($A28,[3]SATS!$C$10:$F$10,0)+1,FALSE)</f>
        <v>5522.2197523215154</v>
      </c>
      <c r="I28">
        <f>VLOOKUP($F28&amp;$G28,Composite!$A$5:$Q$841,I$3,FALSE)</f>
        <v>45</v>
      </c>
      <c r="J28" s="31">
        <f>VLOOKUP($F28&amp;$G28,Composite!$A$5:$Q$841,J$3,FALSE)*VLOOKUP($C28,[3]!ExistingSat,MATCH($A28,[3]SATS!$C$10:$F$10,0)+1,FALSE)</f>
        <v>4101.7368570659019</v>
      </c>
      <c r="K28" s="31">
        <f>VLOOKUP($F28&amp;$G28,Composite!$A$5:$Q$841,K$3,FALSE)*VLOOKUP($C28,[3]!ExistingSat,MATCH($A28,[3]SATS!$C$10:$F$10,0)+1,FALSE)</f>
        <v>0</v>
      </c>
      <c r="L28" t="str">
        <f>VLOOKUP($F28&amp;$G28,Composite!$A$5:$Q$841,L$3,FALSE)</f>
        <v>ResSHWX</v>
      </c>
      <c r="M28" s="31">
        <f>VLOOKUP($F28&amp;$G28,Composite!$A$5:$Q$841,M$3,FALSE)*VLOOKUP($C28,[3]!ExistingSat,MATCH($A28,[3]SATS!$C$10:$F$10,0)+1,FALSE)</f>
        <v>0</v>
      </c>
      <c r="N28" s="31">
        <f>VLOOKUP($F28&amp;$G28,Composite!$A$5:$Q$841,N$3,FALSE)*VLOOKUP($C28,[3]!ExistingSat,MATCH($A28,[3]SATS!$C$10:$F$10,0)+1,FALSE)</f>
        <v>0</v>
      </c>
      <c r="O28">
        <f>VLOOKUP($F28&amp;$G28,Composite!$A$5:$Q$841,O$3,FALSE)</f>
        <v>0</v>
      </c>
      <c r="P28" s="31">
        <f>VLOOKUP($F28&amp;$G28,Composite!$A$5:$Q$841,P$3,FALSE)*VLOOKUP($C28,[3]!ExistingSat,MATCH($A28,[3]SATS!$C$10:$F$10,0)+1,FALSE)</f>
        <v>0</v>
      </c>
      <c r="Q28">
        <f>VLOOKUP($F28&amp;$G28,Composite!$A$5:$Q$841,Q$3,FALSE)</f>
        <v>0</v>
      </c>
      <c r="R28" s="31">
        <f>VLOOKUP($F28&amp;$G28,Composite!$A$5:$Q$841,R$3,FALSE)*VLOOKUP($C28,[3]!ExistingSat,MATCH($A28,[3]SATS!$C$10:$F$10,0)+1,FALSE)</f>
        <v>0</v>
      </c>
      <c r="S28">
        <f>VLOOKUP($F28&amp;$G28,Composite!$A$5:$Q$841,S$3,FALSE)</f>
        <v>0</v>
      </c>
      <c r="T28" s="31">
        <f>VLOOKUP($F28&amp;$G28,Composite!$A$5:$Q$841,T$3,FALSE)*VLOOKUP($C28,[3]!ExistingSat,MATCH($A28,[3]SATS!$C$10:$F$10,0)+1,FALSE)</f>
        <v>0</v>
      </c>
    </row>
    <row r="29" spans="1:20">
      <c r="A29" t="s">
        <v>87</v>
      </c>
      <c r="B29" t="s">
        <v>77</v>
      </c>
      <c r="C29" t="s">
        <v>27</v>
      </c>
      <c r="D29" t="s">
        <v>60</v>
      </c>
      <c r="E29" t="str">
        <f t="shared" si="1"/>
        <v>Electric ZonalHZ2WINDOW CL22 Prime Window Replacement of Double Pane Base</v>
      </c>
      <c r="F29" s="31" t="str">
        <f>Composite!B28</f>
        <v>Windows - Double Pane to Class 22 - Heating Zone 2 (Zonal Heating System)</v>
      </c>
      <c r="G29" s="31" t="str">
        <f>Composite!C28</f>
        <v>WINDOW CL22 Prime Window Replacement of Double Pane Base</v>
      </c>
      <c r="H29" s="31">
        <f>VLOOKUP($F29&amp;$G29,Composite!$A$5:$Q$841,H$3,FALSE)*VLOOKUP($C29,[3]!ExistingSat,MATCH($A29,[3]SATS!$C$10:$F$10,0)+1,FALSE)</f>
        <v>3288.1468778024541</v>
      </c>
      <c r="I29">
        <f>VLOOKUP($F29&amp;$G29,Composite!$A$5:$Q$841,I$3,FALSE)</f>
        <v>45</v>
      </c>
      <c r="J29" s="31">
        <f>VLOOKUP($F29&amp;$G29,Composite!$A$5:$Q$841,J$3,FALSE)*VLOOKUP($C29,[3]!ExistingSat,MATCH($A29,[3]SATS!$C$10:$F$10,0)+1,FALSE)</f>
        <v>4101.7368570659019</v>
      </c>
      <c r="K29" s="31">
        <f>VLOOKUP($F29&amp;$G29,Composite!$A$5:$Q$841,K$3,FALSE)*VLOOKUP($C29,[3]!ExistingSat,MATCH($A29,[3]SATS!$C$10:$F$10,0)+1,FALSE)</f>
        <v>0</v>
      </c>
      <c r="L29" t="str">
        <f>VLOOKUP($F29&amp;$G29,Composite!$A$5:$Q$841,L$3,FALSE)</f>
        <v>ResSHWX</v>
      </c>
      <c r="M29" s="31">
        <f>VLOOKUP($F29&amp;$G29,Composite!$A$5:$Q$841,M$3,FALSE)*VLOOKUP($C29,[3]!ExistingSat,MATCH($A29,[3]SATS!$C$10:$F$10,0)+1,FALSE)</f>
        <v>0</v>
      </c>
      <c r="N29" s="31">
        <f>VLOOKUP($F29&amp;$G29,Composite!$A$5:$Q$841,N$3,FALSE)*VLOOKUP($C29,[3]!ExistingSat,MATCH($A29,[3]SATS!$C$10:$F$10,0)+1,FALSE)</f>
        <v>0</v>
      </c>
      <c r="O29">
        <f>VLOOKUP($F29&amp;$G29,Composite!$A$5:$Q$841,O$3,FALSE)</f>
        <v>0</v>
      </c>
      <c r="P29" s="31">
        <f>VLOOKUP($F29&amp;$G29,Composite!$A$5:$Q$841,P$3,FALSE)*VLOOKUP($C29,[3]!ExistingSat,MATCH($A29,[3]SATS!$C$10:$F$10,0)+1,FALSE)</f>
        <v>0</v>
      </c>
      <c r="Q29">
        <f>VLOOKUP($F29&amp;$G29,Composite!$A$5:$Q$841,Q$3,FALSE)</f>
        <v>0</v>
      </c>
      <c r="R29" s="31">
        <f>VLOOKUP($F29&amp;$G29,Composite!$A$5:$Q$841,R$3,FALSE)*VLOOKUP($C29,[3]!ExistingSat,MATCH($A29,[3]SATS!$C$10:$F$10,0)+1,FALSE)</f>
        <v>0</v>
      </c>
      <c r="S29">
        <f>VLOOKUP($F29&amp;$G29,Composite!$A$5:$Q$841,S$3,FALSE)</f>
        <v>0</v>
      </c>
      <c r="T29" s="31">
        <f>VLOOKUP($F29&amp;$G29,Composite!$A$5:$Q$841,T$3,FALSE)*VLOOKUP($C29,[3]!ExistingSat,MATCH($A29,[3]SATS!$C$10:$F$10,0)+1,FALSE)</f>
        <v>0</v>
      </c>
    </row>
    <row r="30" spans="1:20">
      <c r="A30" t="s">
        <v>87</v>
      </c>
      <c r="B30" t="s">
        <v>77</v>
      </c>
      <c r="C30" t="s">
        <v>27</v>
      </c>
      <c r="D30" t="s">
        <v>60</v>
      </c>
      <c r="E30" t="str">
        <f t="shared" si="1"/>
        <v>Electric ZonalHZ2WINDOW CL30 Prime Window Replacement of Single Pane Base</v>
      </c>
      <c r="F30" s="31" t="str">
        <f>Composite!B29</f>
        <v>Windows - Single Pane to Class 30 - Heating Zone 2 (Zonal Heating System)</v>
      </c>
      <c r="G30" s="31" t="str">
        <f>Composite!C29</f>
        <v>WINDOW CL30 Prime Window Replacement of Single Pane Base</v>
      </c>
      <c r="H30" s="31">
        <f>VLOOKUP($F30&amp;$G30,Composite!$A$5:$Q$841,H$3,FALSE)*VLOOKUP($C30,[3]!ExistingSat,MATCH($A30,[3]SATS!$C$10:$F$10,0)+1,FALSE)</f>
        <v>5070.6379549441817</v>
      </c>
      <c r="I30">
        <f>VLOOKUP($F30&amp;$G30,Composite!$A$5:$Q$841,I$3,FALSE)</f>
        <v>45</v>
      </c>
      <c r="J30" s="31">
        <f>VLOOKUP($F30&amp;$G30,Composite!$A$5:$Q$841,J$3,FALSE)*VLOOKUP($C30,[3]!ExistingSat,MATCH($A30,[3]SATS!$C$10:$F$10,0)+1,FALSE)</f>
        <v>3865.0968570659024</v>
      </c>
      <c r="K30" s="31">
        <f>VLOOKUP($F30&amp;$G30,Composite!$A$5:$Q$841,K$3,FALSE)*VLOOKUP($C30,[3]!ExistingSat,MATCH($A30,[3]SATS!$C$10:$F$10,0)+1,FALSE)</f>
        <v>0</v>
      </c>
      <c r="L30" t="str">
        <f>VLOOKUP($F30&amp;$G30,Composite!$A$5:$Q$841,L$3,FALSE)</f>
        <v>ResSHWX</v>
      </c>
      <c r="M30" s="31">
        <f>VLOOKUP($F30&amp;$G30,Composite!$A$5:$Q$841,M$3,FALSE)*VLOOKUP($C30,[3]!ExistingSat,MATCH($A30,[3]SATS!$C$10:$F$10,0)+1,FALSE)</f>
        <v>0</v>
      </c>
      <c r="N30" s="31">
        <f>VLOOKUP($F30&amp;$G30,Composite!$A$5:$Q$841,N$3,FALSE)*VLOOKUP($C30,[3]!ExistingSat,MATCH($A30,[3]SATS!$C$10:$F$10,0)+1,FALSE)</f>
        <v>0</v>
      </c>
      <c r="O30">
        <f>VLOOKUP($F30&amp;$G30,Composite!$A$5:$Q$841,O$3,FALSE)</f>
        <v>0</v>
      </c>
      <c r="P30" s="31">
        <f>VLOOKUP($F30&amp;$G30,Composite!$A$5:$Q$841,P$3,FALSE)*VLOOKUP($C30,[3]!ExistingSat,MATCH($A30,[3]SATS!$C$10:$F$10,0)+1,FALSE)</f>
        <v>0</v>
      </c>
      <c r="Q30">
        <f>VLOOKUP($F30&amp;$G30,Composite!$A$5:$Q$841,Q$3,FALSE)</f>
        <v>0</v>
      </c>
      <c r="R30" s="31">
        <f>VLOOKUP($F30&amp;$G30,Composite!$A$5:$Q$841,R$3,FALSE)*VLOOKUP($C30,[3]!ExistingSat,MATCH($A30,[3]SATS!$C$10:$F$10,0)+1,FALSE)</f>
        <v>0</v>
      </c>
      <c r="S30">
        <f>VLOOKUP($F30&amp;$G30,Composite!$A$5:$Q$841,S$3,FALSE)</f>
        <v>0</v>
      </c>
      <c r="T30" s="31">
        <f>VLOOKUP($F30&amp;$G30,Composite!$A$5:$Q$841,T$3,FALSE)*VLOOKUP($C30,[3]!ExistingSat,MATCH($A30,[3]SATS!$C$10:$F$10,0)+1,FALSE)</f>
        <v>0</v>
      </c>
    </row>
    <row r="31" spans="1:20">
      <c r="A31" t="s">
        <v>87</v>
      </c>
      <c r="B31" t="s">
        <v>77</v>
      </c>
      <c r="C31" t="s">
        <v>27</v>
      </c>
      <c r="D31" t="s">
        <v>60</v>
      </c>
      <c r="E31" t="str">
        <f t="shared" si="1"/>
        <v>Electric ZonalHZ2WINDOW CL30 Prime Window Replacement of Double Pane Base</v>
      </c>
      <c r="F31" s="31" t="str">
        <f>Composite!B30</f>
        <v>Windows - Double Pane to Class 30 - Heating Zone 2 (Zonal Heating System)</v>
      </c>
      <c r="G31" s="31" t="str">
        <f>Composite!C30</f>
        <v>WINDOW CL30 Prime Window Replacement of Double Pane Base</v>
      </c>
      <c r="H31" s="31">
        <f>VLOOKUP($F31&amp;$G31,Composite!$A$5:$Q$841,H$3,FALSE)*VLOOKUP($C31,[3]!ExistingSat,MATCH($A31,[3]SATS!$C$10:$F$10,0)+1,FALSE)</f>
        <v>2836.5650804251204</v>
      </c>
      <c r="I31">
        <f>VLOOKUP($F31&amp;$G31,Composite!$A$5:$Q$841,I$3,FALSE)</f>
        <v>45</v>
      </c>
      <c r="J31" s="31">
        <f>VLOOKUP($F31&amp;$G31,Composite!$A$5:$Q$841,J$3,FALSE)*VLOOKUP($C31,[3]!ExistingSat,MATCH($A31,[3]SATS!$C$10:$F$10,0)+1,FALSE)</f>
        <v>3865.0968570659024</v>
      </c>
      <c r="K31" s="31">
        <f>VLOOKUP($F31&amp;$G31,Composite!$A$5:$Q$841,K$3,FALSE)*VLOOKUP($C31,[3]!ExistingSat,MATCH($A31,[3]SATS!$C$10:$F$10,0)+1,FALSE)</f>
        <v>0</v>
      </c>
      <c r="L31" t="str">
        <f>VLOOKUP($F31&amp;$G31,Composite!$A$5:$Q$841,L$3,FALSE)</f>
        <v>ResSHWX</v>
      </c>
      <c r="M31" s="31">
        <f>VLOOKUP($F31&amp;$G31,Composite!$A$5:$Q$841,M$3,FALSE)*VLOOKUP($C31,[3]!ExistingSat,MATCH($A31,[3]SATS!$C$10:$F$10,0)+1,FALSE)</f>
        <v>0</v>
      </c>
      <c r="N31" s="31">
        <f>VLOOKUP($F31&amp;$G31,Composite!$A$5:$Q$841,N$3,FALSE)*VLOOKUP($C31,[3]!ExistingSat,MATCH($A31,[3]SATS!$C$10:$F$10,0)+1,FALSE)</f>
        <v>0</v>
      </c>
      <c r="O31">
        <f>VLOOKUP($F31&amp;$G31,Composite!$A$5:$Q$841,O$3,FALSE)</f>
        <v>0</v>
      </c>
      <c r="P31" s="31">
        <f>VLOOKUP($F31&amp;$G31,Composite!$A$5:$Q$841,P$3,FALSE)*VLOOKUP($C31,[3]!ExistingSat,MATCH($A31,[3]SATS!$C$10:$F$10,0)+1,FALSE)</f>
        <v>0</v>
      </c>
      <c r="Q31">
        <f>VLOOKUP($F31&amp;$G31,Composite!$A$5:$Q$841,Q$3,FALSE)</f>
        <v>0</v>
      </c>
      <c r="R31" s="31">
        <f>VLOOKUP($F31&amp;$G31,Composite!$A$5:$Q$841,R$3,FALSE)*VLOOKUP($C31,[3]!ExistingSat,MATCH($A31,[3]SATS!$C$10:$F$10,0)+1,FALSE)</f>
        <v>0</v>
      </c>
      <c r="S31">
        <f>VLOOKUP($F31&amp;$G31,Composite!$A$5:$Q$841,S$3,FALSE)</f>
        <v>0</v>
      </c>
      <c r="T31" s="31">
        <f>VLOOKUP($F31&amp;$G31,Composite!$A$5:$Q$841,T$3,FALSE)*VLOOKUP($C31,[3]!ExistingSat,MATCH($A31,[3]SATS!$C$10:$F$10,0)+1,FALSE)</f>
        <v>0</v>
      </c>
    </row>
    <row r="32" spans="1:20">
      <c r="A32" t="s">
        <v>87</v>
      </c>
      <c r="B32" t="s">
        <v>77</v>
      </c>
      <c r="C32" t="s">
        <v>63</v>
      </c>
      <c r="D32" t="s">
        <v>61</v>
      </c>
      <c r="E32" t="str">
        <f t="shared" si="1"/>
        <v>Electric ZonalHZ3WALL R0 - R11</v>
      </c>
      <c r="F32" s="31" t="str">
        <f>Composite!B31</f>
        <v>Multi Family Weatherization - Insulate Walls - R-0 to R-11 - Heating Zone 3 (Zonal Heating System)</v>
      </c>
      <c r="G32" s="31" t="str">
        <f>Composite!C31</f>
        <v>WALL R0 - R11</v>
      </c>
      <c r="H32" s="31">
        <f>VLOOKUP($F32&amp;$G32,Composite!$A$5:$Q$841,H$3,FALSE)*VLOOKUP($C32,[3]!ExistingSat,MATCH($A32,[3]SATS!$C$10:$F$10,0)+1,FALSE)</f>
        <v>1031.7890228561325</v>
      </c>
      <c r="I32">
        <f>VLOOKUP($F32&amp;$G32,Composite!$A$5:$Q$841,I$3,FALSE)</f>
        <v>45</v>
      </c>
      <c r="J32" s="31">
        <f>VLOOKUP($F32&amp;$G32,Composite!$A$5:$Q$841,J$3,FALSE)*VLOOKUP($C32,[3]!ExistingSat,MATCH($A32,[3]SATS!$C$10:$F$10,0)+1,FALSE)</f>
        <v>414.11354893012168</v>
      </c>
      <c r="K32" s="31">
        <f>VLOOKUP($F32&amp;$G32,Composite!$A$5:$Q$841,K$3,FALSE)*VLOOKUP($C32,[3]!ExistingSat,MATCH($A32,[3]SATS!$C$10:$F$10,0)+1,FALSE)</f>
        <v>0</v>
      </c>
      <c r="L32" t="str">
        <f>VLOOKUP($F32&amp;$G32,Composite!$A$5:$Q$841,L$3,FALSE)</f>
        <v>ResSHWX</v>
      </c>
      <c r="M32" s="31">
        <f>VLOOKUP($F32&amp;$G32,Composite!$A$5:$Q$841,M$3,FALSE)*VLOOKUP($C32,[3]!ExistingSat,MATCH($A32,[3]SATS!$C$10:$F$10,0)+1,FALSE)</f>
        <v>0</v>
      </c>
      <c r="N32" s="31">
        <f>VLOOKUP($F32&amp;$G32,Composite!$A$5:$Q$841,N$3,FALSE)*VLOOKUP($C32,[3]!ExistingSat,MATCH($A32,[3]SATS!$C$10:$F$10,0)+1,FALSE)</f>
        <v>0</v>
      </c>
      <c r="O32">
        <f>VLOOKUP($F32&amp;$G32,Composite!$A$5:$Q$841,O$3,FALSE)</f>
        <v>0</v>
      </c>
      <c r="P32" s="31">
        <f>VLOOKUP($F32&amp;$G32,Composite!$A$5:$Q$841,P$3,FALSE)*VLOOKUP($C32,[3]!ExistingSat,MATCH($A32,[3]SATS!$C$10:$F$10,0)+1,FALSE)</f>
        <v>0</v>
      </c>
      <c r="Q32">
        <f>VLOOKUP($F32&amp;$G32,Composite!$A$5:$Q$841,Q$3,FALSE)</f>
        <v>0</v>
      </c>
      <c r="R32" s="31">
        <f>VLOOKUP($F32&amp;$G32,Composite!$A$5:$Q$841,R$3,FALSE)*VLOOKUP($C32,[3]!ExistingSat,MATCH($A32,[3]SATS!$C$10:$F$10,0)+1,FALSE)</f>
        <v>0</v>
      </c>
      <c r="S32">
        <f>VLOOKUP($F32&amp;$G32,Composite!$A$5:$Q$841,S$3,FALSE)</f>
        <v>0</v>
      </c>
      <c r="T32" s="31">
        <f>VLOOKUP($F32&amp;$G32,Composite!$A$5:$Q$841,T$3,FALSE)*VLOOKUP($C32,[3]!ExistingSat,MATCH($A32,[3]SATS!$C$10:$F$10,0)+1,FALSE)</f>
        <v>0</v>
      </c>
    </row>
    <row r="33" spans="1:20">
      <c r="A33" t="s">
        <v>87</v>
      </c>
      <c r="B33" t="s">
        <v>77</v>
      </c>
      <c r="C33" t="s">
        <v>26</v>
      </c>
      <c r="D33" t="s">
        <v>61</v>
      </c>
      <c r="E33" t="str">
        <f t="shared" si="1"/>
        <v>Electric ZonalHZ3FLOOR R0 - R19</v>
      </c>
      <c r="F33" s="31" t="str">
        <f>Composite!B32</f>
        <v>Multi Family Weatherization - Insulate Floors - R-0 to R-19 - Heating Zone 3 (Zonal Heating System)</v>
      </c>
      <c r="G33" s="31" t="str">
        <f>Composite!C32</f>
        <v>FLOOR R0 - R19</v>
      </c>
      <c r="H33" s="31">
        <f>VLOOKUP($F33&amp;$G33,Composite!$A$5:$Q$841,H$3,FALSE)*VLOOKUP($C33,[3]!ExistingSat,MATCH($A33,[3]SATS!$C$10:$F$10,0)+1,FALSE)</f>
        <v>327.3408206010165</v>
      </c>
      <c r="I33">
        <f>VLOOKUP($F33&amp;$G33,Composite!$A$5:$Q$841,I$3,FALSE)</f>
        <v>45</v>
      </c>
      <c r="J33" s="31">
        <f>VLOOKUP($F33&amp;$G33,Composite!$A$5:$Q$841,J$3,FALSE)*VLOOKUP($C33,[3]!ExistingSat,MATCH($A33,[3]SATS!$C$10:$F$10,0)+1,FALSE)</f>
        <v>436.41697398915824</v>
      </c>
      <c r="K33" s="31">
        <f>VLOOKUP($F33&amp;$G33,Composite!$A$5:$Q$841,K$3,FALSE)*VLOOKUP($C33,[3]!ExistingSat,MATCH($A33,[3]SATS!$C$10:$F$10,0)+1,FALSE)</f>
        <v>0</v>
      </c>
      <c r="L33" t="str">
        <f>VLOOKUP($F33&amp;$G33,Composite!$A$5:$Q$841,L$3,FALSE)</f>
        <v>ResSHWX</v>
      </c>
      <c r="M33" s="31">
        <f>VLOOKUP($F33&amp;$G33,Composite!$A$5:$Q$841,M$3,FALSE)*VLOOKUP($C33,[3]!ExistingSat,MATCH($A33,[3]SATS!$C$10:$F$10,0)+1,FALSE)</f>
        <v>0</v>
      </c>
      <c r="N33" s="31">
        <f>VLOOKUP($F33&amp;$G33,Composite!$A$5:$Q$841,N$3,FALSE)*VLOOKUP($C33,[3]!ExistingSat,MATCH($A33,[3]SATS!$C$10:$F$10,0)+1,FALSE)</f>
        <v>0</v>
      </c>
      <c r="O33">
        <f>VLOOKUP($F33&amp;$G33,Composite!$A$5:$Q$841,O$3,FALSE)</f>
        <v>0</v>
      </c>
      <c r="P33" s="31">
        <f>VLOOKUP($F33&amp;$G33,Composite!$A$5:$Q$841,P$3,FALSE)*VLOOKUP($C33,[3]!ExistingSat,MATCH($A33,[3]SATS!$C$10:$F$10,0)+1,FALSE)</f>
        <v>0</v>
      </c>
      <c r="Q33">
        <f>VLOOKUP($F33&amp;$G33,Composite!$A$5:$Q$841,Q$3,FALSE)</f>
        <v>0</v>
      </c>
      <c r="R33" s="31">
        <f>VLOOKUP($F33&amp;$G33,Composite!$A$5:$Q$841,R$3,FALSE)*VLOOKUP($C33,[3]!ExistingSat,MATCH($A33,[3]SATS!$C$10:$F$10,0)+1,FALSE)</f>
        <v>0</v>
      </c>
      <c r="S33">
        <f>VLOOKUP($F33&amp;$G33,Composite!$A$5:$Q$841,S$3,FALSE)</f>
        <v>0</v>
      </c>
      <c r="T33" s="31">
        <f>VLOOKUP($F33&amp;$G33,Composite!$A$5:$Q$841,T$3,FALSE)*VLOOKUP($C33,[3]!ExistingSat,MATCH($A33,[3]SATS!$C$10:$F$10,0)+1,FALSE)</f>
        <v>0</v>
      </c>
    </row>
    <row r="34" spans="1:20">
      <c r="A34" t="s">
        <v>87</v>
      </c>
      <c r="B34" t="s">
        <v>77</v>
      </c>
      <c r="C34" t="s">
        <v>26</v>
      </c>
      <c r="D34" t="s">
        <v>61</v>
      </c>
      <c r="E34" t="str">
        <f t="shared" si="1"/>
        <v>Electric ZonalHZ3FLOOR R0 - R30</v>
      </c>
      <c r="F34" s="31" t="str">
        <f>Composite!B33</f>
        <v>Multi Family Weatherization - Insulate Floors - R-0 to R-30 - Heating Zone 3 (Zonal Heating System)</v>
      </c>
      <c r="G34" s="31" t="str">
        <f>Composite!C33</f>
        <v>FLOOR R0 - R30</v>
      </c>
      <c r="H34" s="31">
        <f>VLOOKUP($F34&amp;$G34,Composite!$A$5:$Q$841,H$3,FALSE)*VLOOKUP($C34,[3]!ExistingSat,MATCH($A34,[3]SATS!$C$10:$F$10,0)+1,FALSE)</f>
        <v>427.24492020954574</v>
      </c>
      <c r="I34">
        <f>VLOOKUP($F34&amp;$G34,Composite!$A$5:$Q$841,I$3,FALSE)</f>
        <v>45</v>
      </c>
      <c r="J34" s="31">
        <f>VLOOKUP($F34&amp;$G34,Composite!$A$5:$Q$841,J$3,FALSE)*VLOOKUP($C34,[3]!ExistingSat,MATCH($A34,[3]SATS!$C$10:$F$10,0)+1,FALSE)</f>
        <v>689.07943261446042</v>
      </c>
      <c r="K34" s="31">
        <f>VLOOKUP($F34&amp;$G34,Composite!$A$5:$Q$841,K$3,FALSE)*VLOOKUP($C34,[3]!ExistingSat,MATCH($A34,[3]SATS!$C$10:$F$10,0)+1,FALSE)</f>
        <v>0</v>
      </c>
      <c r="L34" t="str">
        <f>VLOOKUP($F34&amp;$G34,Composite!$A$5:$Q$841,L$3,FALSE)</f>
        <v>ResSHWX</v>
      </c>
      <c r="M34" s="31">
        <f>VLOOKUP($F34&amp;$G34,Composite!$A$5:$Q$841,M$3,FALSE)*VLOOKUP($C34,[3]!ExistingSat,MATCH($A34,[3]SATS!$C$10:$F$10,0)+1,FALSE)</f>
        <v>0</v>
      </c>
      <c r="N34" s="31">
        <f>VLOOKUP($F34&amp;$G34,Composite!$A$5:$Q$841,N$3,FALSE)*VLOOKUP($C34,[3]!ExistingSat,MATCH($A34,[3]SATS!$C$10:$F$10,0)+1,FALSE)</f>
        <v>0</v>
      </c>
      <c r="O34">
        <f>VLOOKUP($F34&amp;$G34,Composite!$A$5:$Q$841,O$3,FALSE)</f>
        <v>0</v>
      </c>
      <c r="P34" s="31">
        <f>VLOOKUP($F34&amp;$G34,Composite!$A$5:$Q$841,P$3,FALSE)*VLOOKUP($C34,[3]!ExistingSat,MATCH($A34,[3]SATS!$C$10:$F$10,0)+1,FALSE)</f>
        <v>0</v>
      </c>
      <c r="Q34">
        <f>VLOOKUP($F34&amp;$G34,Composite!$A$5:$Q$841,Q$3,FALSE)</f>
        <v>0</v>
      </c>
      <c r="R34" s="31">
        <f>VLOOKUP($F34&amp;$G34,Composite!$A$5:$Q$841,R$3,FALSE)*VLOOKUP($C34,[3]!ExistingSat,MATCH($A34,[3]SATS!$C$10:$F$10,0)+1,FALSE)</f>
        <v>0</v>
      </c>
      <c r="S34">
        <f>VLOOKUP($F34&amp;$G34,Composite!$A$5:$Q$841,S$3,FALSE)</f>
        <v>0</v>
      </c>
      <c r="T34" s="31">
        <f>VLOOKUP($F34&amp;$G34,Composite!$A$5:$Q$841,T$3,FALSE)*VLOOKUP($C34,[3]!ExistingSat,MATCH($A34,[3]SATS!$C$10:$F$10,0)+1,FALSE)</f>
        <v>0</v>
      </c>
    </row>
    <row r="35" spans="1:20">
      <c r="A35" t="s">
        <v>87</v>
      </c>
      <c r="B35" t="s">
        <v>77</v>
      </c>
      <c r="C35" t="s">
        <v>28</v>
      </c>
      <c r="D35" t="s">
        <v>61</v>
      </c>
      <c r="E35" t="str">
        <f t="shared" si="1"/>
        <v>Electric ZonalHZ3ATTIC R0 - R19</v>
      </c>
      <c r="F35" s="31" t="str">
        <f>Composite!B34</f>
        <v>Multi Family Weatherization - Insulate Attic - R-0 to R-19 - Heating Zone 3 (Zonal Heating System)</v>
      </c>
      <c r="G35" s="31" t="str">
        <f>Composite!C34</f>
        <v>ATTIC R0 - R19</v>
      </c>
      <c r="H35" s="31">
        <f>VLOOKUP($F35&amp;$G35,Composite!$A$5:$Q$841,H$3,FALSE)*VLOOKUP($C35,[3]!ExistingSat,MATCH($A35,[3]SATS!$C$10:$F$10,0)+1,FALSE)</f>
        <v>173.71540228527533</v>
      </c>
      <c r="I35">
        <f>VLOOKUP($F35&amp;$G35,Composite!$A$5:$Q$841,I$3,FALSE)</f>
        <v>45</v>
      </c>
      <c r="J35" s="31">
        <f>VLOOKUP($F35&amp;$G35,Composite!$A$5:$Q$841,J$3,FALSE)*VLOOKUP($C35,[3]!ExistingSat,MATCH($A35,[3]SATS!$C$10:$F$10,0)+1,FALSE)</f>
        <v>239.1087012654321</v>
      </c>
      <c r="K35" s="31">
        <f>VLOOKUP($F35&amp;$G35,Composite!$A$5:$Q$841,K$3,FALSE)*VLOOKUP($C35,[3]!ExistingSat,MATCH($A35,[3]SATS!$C$10:$F$10,0)+1,FALSE)</f>
        <v>0</v>
      </c>
      <c r="L35" t="str">
        <f>VLOOKUP($F35&amp;$G35,Composite!$A$5:$Q$841,L$3,FALSE)</f>
        <v>ResSHWX</v>
      </c>
      <c r="M35" s="31">
        <f>VLOOKUP($F35&amp;$G35,Composite!$A$5:$Q$841,M$3,FALSE)*VLOOKUP($C35,[3]!ExistingSat,MATCH($A35,[3]SATS!$C$10:$F$10,0)+1,FALSE)</f>
        <v>0</v>
      </c>
      <c r="N35" s="31">
        <f>VLOOKUP($F35&amp;$G35,Composite!$A$5:$Q$841,N$3,FALSE)*VLOOKUP($C35,[3]!ExistingSat,MATCH($A35,[3]SATS!$C$10:$F$10,0)+1,FALSE)</f>
        <v>0</v>
      </c>
      <c r="O35">
        <f>VLOOKUP($F35&amp;$G35,Composite!$A$5:$Q$841,O$3,FALSE)</f>
        <v>0</v>
      </c>
      <c r="P35" s="31">
        <f>VLOOKUP($F35&amp;$G35,Composite!$A$5:$Q$841,P$3,FALSE)*VLOOKUP($C35,[3]!ExistingSat,MATCH($A35,[3]SATS!$C$10:$F$10,0)+1,FALSE)</f>
        <v>0</v>
      </c>
      <c r="Q35">
        <f>VLOOKUP($F35&amp;$G35,Composite!$A$5:$Q$841,Q$3,FALSE)</f>
        <v>0</v>
      </c>
      <c r="R35" s="31">
        <f>VLOOKUP($F35&amp;$G35,Composite!$A$5:$Q$841,R$3,FALSE)*VLOOKUP($C35,[3]!ExistingSat,MATCH($A35,[3]SATS!$C$10:$F$10,0)+1,FALSE)</f>
        <v>0</v>
      </c>
      <c r="S35">
        <f>VLOOKUP($F35&amp;$G35,Composite!$A$5:$Q$841,S$3,FALSE)</f>
        <v>0</v>
      </c>
      <c r="T35" s="31">
        <f>VLOOKUP($F35&amp;$G35,Composite!$A$5:$Q$841,T$3,FALSE)*VLOOKUP($C35,[3]!ExistingSat,MATCH($A35,[3]SATS!$C$10:$F$10,0)+1,FALSE)</f>
        <v>0</v>
      </c>
    </row>
    <row r="36" spans="1:20">
      <c r="A36" t="s">
        <v>87</v>
      </c>
      <c r="B36" t="s">
        <v>77</v>
      </c>
      <c r="C36" t="s">
        <v>28</v>
      </c>
      <c r="D36" t="s">
        <v>61</v>
      </c>
      <c r="E36" t="str">
        <f t="shared" si="1"/>
        <v>Electric ZonalHZ3ATTIC R0 - R38</v>
      </c>
      <c r="F36" s="31" t="str">
        <f>Composite!B35</f>
        <v>Multi Family Weatherization - Insulate Attic - R-0 to R-38 - Heating Zone 3 (Zonal Heating System)</v>
      </c>
      <c r="G36" s="31" t="str">
        <f>Composite!C35</f>
        <v>ATTIC R0 - R38</v>
      </c>
      <c r="H36" s="31">
        <f>VLOOKUP($F36&amp;$G36,Composite!$A$5:$Q$841,H$3,FALSE)*VLOOKUP($C36,[3]!ExistingSat,MATCH($A36,[3]SATS!$C$10:$F$10,0)+1,FALSE)</f>
        <v>237.18322879037507</v>
      </c>
      <c r="I36">
        <f>VLOOKUP($F36&amp;$G36,Composite!$A$5:$Q$841,I$3,FALSE)</f>
        <v>45</v>
      </c>
      <c r="J36" s="31">
        <f>VLOOKUP($F36&amp;$G36,Composite!$A$5:$Q$841,J$3,FALSE)*VLOOKUP($C36,[3]!ExistingSat,MATCH($A36,[3]SATS!$C$10:$F$10,0)+1,FALSE)</f>
        <v>478.21740253086421</v>
      </c>
      <c r="K36" s="31">
        <f>VLOOKUP($F36&amp;$G36,Composite!$A$5:$Q$841,K$3,FALSE)*VLOOKUP($C36,[3]!ExistingSat,MATCH($A36,[3]SATS!$C$10:$F$10,0)+1,FALSE)</f>
        <v>0</v>
      </c>
      <c r="L36" t="str">
        <f>VLOOKUP($F36&amp;$G36,Composite!$A$5:$Q$841,L$3,FALSE)</f>
        <v>ResSHWX</v>
      </c>
      <c r="M36" s="31">
        <f>VLOOKUP($F36&amp;$G36,Composite!$A$5:$Q$841,M$3,FALSE)*VLOOKUP($C36,[3]!ExistingSat,MATCH($A36,[3]SATS!$C$10:$F$10,0)+1,FALSE)</f>
        <v>0</v>
      </c>
      <c r="N36" s="31">
        <f>VLOOKUP($F36&amp;$G36,Composite!$A$5:$Q$841,N$3,FALSE)*VLOOKUP($C36,[3]!ExistingSat,MATCH($A36,[3]SATS!$C$10:$F$10,0)+1,FALSE)</f>
        <v>0</v>
      </c>
      <c r="O36">
        <f>VLOOKUP($F36&amp;$G36,Composite!$A$5:$Q$841,O$3,FALSE)</f>
        <v>0</v>
      </c>
      <c r="P36" s="31">
        <f>VLOOKUP($F36&amp;$G36,Composite!$A$5:$Q$841,P$3,FALSE)*VLOOKUP($C36,[3]!ExistingSat,MATCH($A36,[3]SATS!$C$10:$F$10,0)+1,FALSE)</f>
        <v>0</v>
      </c>
      <c r="Q36">
        <f>VLOOKUP($F36&amp;$G36,Composite!$A$5:$Q$841,Q$3,FALSE)</f>
        <v>0</v>
      </c>
      <c r="R36" s="31">
        <f>VLOOKUP($F36&amp;$G36,Composite!$A$5:$Q$841,R$3,FALSE)*VLOOKUP($C36,[3]!ExistingSat,MATCH($A36,[3]SATS!$C$10:$F$10,0)+1,FALSE)</f>
        <v>0</v>
      </c>
      <c r="S36">
        <f>VLOOKUP($F36&amp;$G36,Composite!$A$5:$Q$841,S$3,FALSE)</f>
        <v>0</v>
      </c>
      <c r="T36" s="31">
        <f>VLOOKUP($F36&amp;$G36,Composite!$A$5:$Q$841,T$3,FALSE)*VLOOKUP($C36,[3]!ExistingSat,MATCH($A36,[3]SATS!$C$10:$F$10,0)+1,FALSE)</f>
        <v>0</v>
      </c>
    </row>
    <row r="37" spans="1:20">
      <c r="A37" t="s">
        <v>87</v>
      </c>
      <c r="B37" t="s">
        <v>77</v>
      </c>
      <c r="C37" t="s">
        <v>28</v>
      </c>
      <c r="D37" t="s">
        <v>61</v>
      </c>
      <c r="E37" t="str">
        <f t="shared" si="1"/>
        <v>Electric ZonalHZ3ATTIC R0 - R49</v>
      </c>
      <c r="F37" s="31" t="str">
        <f>Composite!B36</f>
        <v>Multi Family Weatherization - Insulate Attic - R-0 to R-49 - Heating Zone 3 (Zonal Heating System)</v>
      </c>
      <c r="G37" s="31" t="str">
        <f>Composite!C36</f>
        <v>ATTIC R0 - R49</v>
      </c>
      <c r="H37" s="31">
        <f>VLOOKUP($F37&amp;$G37,Composite!$A$5:$Q$841,H$3,FALSE)*VLOOKUP($C37,[3]!ExistingSat,MATCH($A37,[3]SATS!$C$10:$F$10,0)+1,FALSE)</f>
        <v>251.93648509845028</v>
      </c>
      <c r="I37">
        <f>VLOOKUP($F37&amp;$G37,Composite!$A$5:$Q$841,I$3,FALSE)</f>
        <v>45</v>
      </c>
      <c r="J37" s="31">
        <f>VLOOKUP($F37&amp;$G37,Composite!$A$5:$Q$841,J$3,FALSE)*VLOOKUP($C37,[3]!ExistingSat,MATCH($A37,[3]SATS!$C$10:$F$10,0)+1,FALSE)</f>
        <v>616.64875589506175</v>
      </c>
      <c r="K37" s="31">
        <f>VLOOKUP($F37&amp;$G37,Composite!$A$5:$Q$841,K$3,FALSE)*VLOOKUP($C37,[3]!ExistingSat,MATCH($A37,[3]SATS!$C$10:$F$10,0)+1,FALSE)</f>
        <v>0</v>
      </c>
      <c r="L37" t="str">
        <f>VLOOKUP($F37&amp;$G37,Composite!$A$5:$Q$841,L$3,FALSE)</f>
        <v>ResSHWX</v>
      </c>
      <c r="M37" s="31">
        <f>VLOOKUP($F37&amp;$G37,Composite!$A$5:$Q$841,M$3,FALSE)*VLOOKUP($C37,[3]!ExistingSat,MATCH($A37,[3]SATS!$C$10:$F$10,0)+1,FALSE)</f>
        <v>0</v>
      </c>
      <c r="N37" s="31">
        <f>VLOOKUP($F37&amp;$G37,Composite!$A$5:$Q$841,N$3,FALSE)*VLOOKUP($C37,[3]!ExistingSat,MATCH($A37,[3]SATS!$C$10:$F$10,0)+1,FALSE)</f>
        <v>0</v>
      </c>
      <c r="O37">
        <f>VLOOKUP($F37&amp;$G37,Composite!$A$5:$Q$841,O$3,FALSE)</f>
        <v>0</v>
      </c>
      <c r="P37" s="31">
        <f>VLOOKUP($F37&amp;$G37,Composite!$A$5:$Q$841,P$3,FALSE)*VLOOKUP($C37,[3]!ExistingSat,MATCH($A37,[3]SATS!$C$10:$F$10,0)+1,FALSE)</f>
        <v>0</v>
      </c>
      <c r="Q37">
        <f>VLOOKUP($F37&amp;$G37,Composite!$A$5:$Q$841,Q$3,FALSE)</f>
        <v>0</v>
      </c>
      <c r="R37" s="31">
        <f>VLOOKUP($F37&amp;$G37,Composite!$A$5:$Q$841,R$3,FALSE)*VLOOKUP($C37,[3]!ExistingSat,MATCH($A37,[3]SATS!$C$10:$F$10,0)+1,FALSE)</f>
        <v>0</v>
      </c>
      <c r="S37">
        <f>VLOOKUP($F37&amp;$G37,Composite!$A$5:$Q$841,S$3,FALSE)</f>
        <v>0</v>
      </c>
      <c r="T37" s="31">
        <f>VLOOKUP($F37&amp;$G37,Composite!$A$5:$Q$841,T$3,FALSE)*VLOOKUP($C37,[3]!ExistingSat,MATCH($A37,[3]SATS!$C$10:$F$10,0)+1,FALSE)</f>
        <v>0</v>
      </c>
    </row>
    <row r="38" spans="1:20">
      <c r="A38" t="s">
        <v>87</v>
      </c>
      <c r="B38" t="s">
        <v>77</v>
      </c>
      <c r="C38" t="s">
        <v>28</v>
      </c>
      <c r="D38" t="s">
        <v>61</v>
      </c>
      <c r="E38" t="str">
        <f t="shared" si="1"/>
        <v>Electric ZonalHZ3ATTIC R19 - R30</v>
      </c>
      <c r="F38" s="31" t="str">
        <f>Composite!B37</f>
        <v>Multi Family Weatherization - Insulate Attic - R-19 to R-30 - Heating Zone 3 (Zonal Heating System)</v>
      </c>
      <c r="G38" s="31" t="str">
        <f>Composite!C37</f>
        <v>ATTIC R19 - R30</v>
      </c>
      <c r="H38" s="31">
        <f>VLOOKUP($F38&amp;$G38,Composite!$A$5:$Q$841,H$3,FALSE)*VLOOKUP($C38,[3]!ExistingSat,MATCH($A38,[3]SATS!$C$10:$F$10,0)+1,FALSE)</f>
        <v>45.968964782274796</v>
      </c>
      <c r="I38">
        <f>VLOOKUP($F38&amp;$G38,Composite!$A$5:$Q$841,I$3,FALSE)</f>
        <v>45</v>
      </c>
      <c r="J38" s="31">
        <f>VLOOKUP($F38&amp;$G38,Composite!$A$5:$Q$841,J$3,FALSE)*VLOOKUP($C38,[3]!ExistingSat,MATCH($A38,[3]SATS!$C$10:$F$10,0)+1,FALSE)</f>
        <v>138.43135336419752</v>
      </c>
      <c r="K38" s="31">
        <f>VLOOKUP($F38&amp;$G38,Composite!$A$5:$Q$841,K$3,FALSE)*VLOOKUP($C38,[3]!ExistingSat,MATCH($A38,[3]SATS!$C$10:$F$10,0)+1,FALSE)</f>
        <v>0</v>
      </c>
      <c r="L38" t="str">
        <f>VLOOKUP($F38&amp;$G38,Composite!$A$5:$Q$841,L$3,FALSE)</f>
        <v>ResSHWX</v>
      </c>
      <c r="M38" s="31">
        <f>VLOOKUP($F38&amp;$G38,Composite!$A$5:$Q$841,M$3,FALSE)*VLOOKUP($C38,[3]!ExistingSat,MATCH($A38,[3]SATS!$C$10:$F$10,0)+1,FALSE)</f>
        <v>0</v>
      </c>
      <c r="N38" s="31">
        <f>VLOOKUP($F38&amp;$G38,Composite!$A$5:$Q$841,N$3,FALSE)*VLOOKUP($C38,[3]!ExistingSat,MATCH($A38,[3]SATS!$C$10:$F$10,0)+1,FALSE)</f>
        <v>0</v>
      </c>
      <c r="O38">
        <f>VLOOKUP($F38&amp;$G38,Composite!$A$5:$Q$841,O$3,FALSE)</f>
        <v>0</v>
      </c>
      <c r="P38" s="31">
        <f>VLOOKUP($F38&amp;$G38,Composite!$A$5:$Q$841,P$3,FALSE)*VLOOKUP($C38,[3]!ExistingSat,MATCH($A38,[3]SATS!$C$10:$F$10,0)+1,FALSE)</f>
        <v>0</v>
      </c>
      <c r="Q38">
        <f>VLOOKUP($F38&amp;$G38,Composite!$A$5:$Q$841,Q$3,FALSE)</f>
        <v>0</v>
      </c>
      <c r="R38" s="31">
        <f>VLOOKUP($F38&amp;$G38,Composite!$A$5:$Q$841,R$3,FALSE)*VLOOKUP($C38,[3]!ExistingSat,MATCH($A38,[3]SATS!$C$10:$F$10,0)+1,FALSE)</f>
        <v>0</v>
      </c>
      <c r="S38">
        <f>VLOOKUP($F38&amp;$G38,Composite!$A$5:$Q$841,S$3,FALSE)</f>
        <v>0</v>
      </c>
      <c r="T38" s="31">
        <f>VLOOKUP($F38&amp;$G38,Composite!$A$5:$Q$841,T$3,FALSE)*VLOOKUP($C38,[3]!ExistingSat,MATCH($A38,[3]SATS!$C$10:$F$10,0)+1,FALSE)</f>
        <v>0</v>
      </c>
    </row>
    <row r="39" spans="1:20">
      <c r="A39" t="s">
        <v>87</v>
      </c>
      <c r="B39" t="s">
        <v>77</v>
      </c>
      <c r="C39" t="s">
        <v>28</v>
      </c>
      <c r="D39" t="s">
        <v>61</v>
      </c>
      <c r="E39" t="str">
        <f t="shared" si="1"/>
        <v>Electric ZonalHZ3ATTIC R19 - R38</v>
      </c>
      <c r="F39" s="31" t="str">
        <f>Composite!B38</f>
        <v>Multi Family Weatherization - Insulate Attic - R-19 to R-38 - Heating Zone 3 (Zonal Heating System)</v>
      </c>
      <c r="G39" s="31" t="str">
        <f>Composite!C38</f>
        <v>ATTIC R19 - R38</v>
      </c>
      <c r="H39" s="31">
        <f>VLOOKUP($F39&amp;$G39,Composite!$A$5:$Q$841,H$3,FALSE)*VLOOKUP($C39,[3]!ExistingSat,MATCH($A39,[3]SATS!$C$10:$F$10,0)+1,FALSE)</f>
        <v>63.467826505099737</v>
      </c>
      <c r="I39">
        <f>VLOOKUP($F39&amp;$G39,Composite!$A$5:$Q$841,I$3,FALSE)</f>
        <v>45</v>
      </c>
      <c r="J39" s="31">
        <f>VLOOKUP($F39&amp;$G39,Composite!$A$5:$Q$841,J$3,FALSE)*VLOOKUP($C39,[3]!ExistingSat,MATCH($A39,[3]SATS!$C$10:$F$10,0)+1,FALSE)</f>
        <v>239.1087012654321</v>
      </c>
      <c r="K39" s="31">
        <f>VLOOKUP($F39&amp;$G39,Composite!$A$5:$Q$841,K$3,FALSE)*VLOOKUP($C39,[3]!ExistingSat,MATCH($A39,[3]SATS!$C$10:$F$10,0)+1,FALSE)</f>
        <v>0</v>
      </c>
      <c r="L39" t="str">
        <f>VLOOKUP($F39&amp;$G39,Composite!$A$5:$Q$841,L$3,FALSE)</f>
        <v>ResSHWX</v>
      </c>
      <c r="M39" s="31">
        <f>VLOOKUP($F39&amp;$G39,Composite!$A$5:$Q$841,M$3,FALSE)*VLOOKUP($C39,[3]!ExistingSat,MATCH($A39,[3]SATS!$C$10:$F$10,0)+1,FALSE)</f>
        <v>0</v>
      </c>
      <c r="N39" s="31">
        <f>VLOOKUP($F39&amp;$G39,Composite!$A$5:$Q$841,N$3,FALSE)*VLOOKUP($C39,[3]!ExistingSat,MATCH($A39,[3]SATS!$C$10:$F$10,0)+1,FALSE)</f>
        <v>0</v>
      </c>
      <c r="O39">
        <f>VLOOKUP($F39&amp;$G39,Composite!$A$5:$Q$841,O$3,FALSE)</f>
        <v>0</v>
      </c>
      <c r="P39" s="31">
        <f>VLOOKUP($F39&amp;$G39,Composite!$A$5:$Q$841,P$3,FALSE)*VLOOKUP($C39,[3]!ExistingSat,MATCH($A39,[3]SATS!$C$10:$F$10,0)+1,FALSE)</f>
        <v>0</v>
      </c>
      <c r="Q39">
        <f>VLOOKUP($F39&amp;$G39,Composite!$A$5:$Q$841,Q$3,FALSE)</f>
        <v>0</v>
      </c>
      <c r="R39" s="31">
        <f>VLOOKUP($F39&amp;$G39,Composite!$A$5:$Q$841,R$3,FALSE)*VLOOKUP($C39,[3]!ExistingSat,MATCH($A39,[3]SATS!$C$10:$F$10,0)+1,FALSE)</f>
        <v>0</v>
      </c>
      <c r="S39">
        <f>VLOOKUP($F39&amp;$G39,Composite!$A$5:$Q$841,S$3,FALSE)</f>
        <v>0</v>
      </c>
      <c r="T39" s="31">
        <f>VLOOKUP($F39&amp;$G39,Composite!$A$5:$Q$841,T$3,FALSE)*VLOOKUP($C39,[3]!ExistingSat,MATCH($A39,[3]SATS!$C$10:$F$10,0)+1,FALSE)</f>
        <v>0</v>
      </c>
    </row>
    <row r="40" spans="1:20">
      <c r="A40" t="s">
        <v>87</v>
      </c>
      <c r="B40" t="s">
        <v>77</v>
      </c>
      <c r="C40" t="s">
        <v>28</v>
      </c>
      <c r="D40" t="s">
        <v>61</v>
      </c>
      <c r="E40" t="str">
        <f t="shared" si="1"/>
        <v>Electric ZonalHZ3ATTIC R19 - R49</v>
      </c>
      <c r="F40" s="31" t="str">
        <f>Composite!B39</f>
        <v>Multi Family Weatherization - Insulate Attic - R-19 to R-49 - Heating Zone 3 (Zonal Heating System)</v>
      </c>
      <c r="G40" s="31" t="str">
        <f>Composite!C39</f>
        <v>ATTIC R19 - R49</v>
      </c>
      <c r="H40" s="31">
        <f>VLOOKUP($F40&amp;$G40,Composite!$A$5:$Q$841,H$3,FALSE)*VLOOKUP($C40,[3]!ExistingSat,MATCH($A40,[3]SATS!$C$10:$F$10,0)+1,FALSE)</f>
        <v>78.221082813174931</v>
      </c>
      <c r="I40">
        <f>VLOOKUP($F40&amp;$G40,Composite!$A$5:$Q$841,I$3,FALSE)</f>
        <v>45</v>
      </c>
      <c r="J40" s="31">
        <f>VLOOKUP($F40&amp;$G40,Composite!$A$5:$Q$841,J$3,FALSE)*VLOOKUP($C40,[3]!ExistingSat,MATCH($A40,[3]SATS!$C$10:$F$10,0)+1,FALSE)</f>
        <v>377.54005462962965</v>
      </c>
      <c r="K40" s="31">
        <f>VLOOKUP($F40&amp;$G40,Composite!$A$5:$Q$841,K$3,FALSE)*VLOOKUP($C40,[3]!ExistingSat,MATCH($A40,[3]SATS!$C$10:$F$10,0)+1,FALSE)</f>
        <v>0</v>
      </c>
      <c r="L40" t="str">
        <f>VLOOKUP($F40&amp;$G40,Composite!$A$5:$Q$841,L$3,FALSE)</f>
        <v>ResSHWX</v>
      </c>
      <c r="M40" s="31">
        <f>VLOOKUP($F40&amp;$G40,Composite!$A$5:$Q$841,M$3,FALSE)*VLOOKUP($C40,[3]!ExistingSat,MATCH($A40,[3]SATS!$C$10:$F$10,0)+1,FALSE)</f>
        <v>0</v>
      </c>
      <c r="N40" s="31">
        <f>VLOOKUP($F40&amp;$G40,Composite!$A$5:$Q$841,N$3,FALSE)*VLOOKUP($C40,[3]!ExistingSat,MATCH($A40,[3]SATS!$C$10:$F$10,0)+1,FALSE)</f>
        <v>0</v>
      </c>
      <c r="O40">
        <f>VLOOKUP($F40&amp;$G40,Composite!$A$5:$Q$841,O$3,FALSE)</f>
        <v>0</v>
      </c>
      <c r="P40" s="31">
        <f>VLOOKUP($F40&amp;$G40,Composite!$A$5:$Q$841,P$3,FALSE)*VLOOKUP($C40,[3]!ExistingSat,MATCH($A40,[3]SATS!$C$10:$F$10,0)+1,FALSE)</f>
        <v>0</v>
      </c>
      <c r="Q40">
        <f>VLOOKUP($F40&amp;$G40,Composite!$A$5:$Q$841,Q$3,FALSE)</f>
        <v>0</v>
      </c>
      <c r="R40" s="31">
        <f>VLOOKUP($F40&amp;$G40,Composite!$A$5:$Q$841,R$3,FALSE)*VLOOKUP($C40,[3]!ExistingSat,MATCH($A40,[3]SATS!$C$10:$F$10,0)+1,FALSE)</f>
        <v>0</v>
      </c>
      <c r="S40">
        <f>VLOOKUP($F40&amp;$G40,Composite!$A$5:$Q$841,S$3,FALSE)</f>
        <v>0</v>
      </c>
      <c r="T40" s="31">
        <f>VLOOKUP($F40&amp;$G40,Composite!$A$5:$Q$841,T$3,FALSE)*VLOOKUP($C40,[3]!ExistingSat,MATCH($A40,[3]SATS!$C$10:$F$10,0)+1,FALSE)</f>
        <v>0</v>
      </c>
    </row>
    <row r="41" spans="1:20">
      <c r="A41" t="s">
        <v>87</v>
      </c>
      <c r="B41" t="s">
        <v>77</v>
      </c>
      <c r="C41" t="s">
        <v>27</v>
      </c>
      <c r="D41" t="s">
        <v>61</v>
      </c>
      <c r="E41" t="str">
        <f t="shared" si="1"/>
        <v>Electric ZonalHZ3WINDOW CL22 Prime Window Replacement of Single Pane Base</v>
      </c>
      <c r="F41" s="31" t="str">
        <f>Composite!B40</f>
        <v>Windows - Single Pane to Class 22 - Heating Zone 3 (Zonal Heating System)</v>
      </c>
      <c r="G41" s="31" t="str">
        <f>Composite!C40</f>
        <v>WINDOW CL22 Prime Window Replacement of Single Pane Base</v>
      </c>
      <c r="H41" s="31">
        <f>VLOOKUP($F41&amp;$G41,Composite!$A$5:$Q$841,H$3,FALSE)*VLOOKUP($C41,[3]!ExistingSat,MATCH($A41,[3]SATS!$C$10:$F$10,0)+1,FALSE)</f>
        <v>6737.711209117635</v>
      </c>
      <c r="I41">
        <f>VLOOKUP($F41&amp;$G41,Composite!$A$5:$Q$841,I$3,FALSE)</f>
        <v>45</v>
      </c>
      <c r="J41" s="31">
        <f>VLOOKUP($F41&amp;$G41,Composite!$A$5:$Q$841,J$3,FALSE)*VLOOKUP($C41,[3]!ExistingSat,MATCH($A41,[3]SATS!$C$10:$F$10,0)+1,FALSE)</f>
        <v>4101.7368570659019</v>
      </c>
      <c r="K41" s="31">
        <f>VLOOKUP($F41&amp;$G41,Composite!$A$5:$Q$841,K$3,FALSE)*VLOOKUP($C41,[3]!ExistingSat,MATCH($A41,[3]SATS!$C$10:$F$10,0)+1,FALSE)</f>
        <v>0</v>
      </c>
      <c r="L41" t="str">
        <f>VLOOKUP($F41&amp;$G41,Composite!$A$5:$Q$841,L$3,FALSE)</f>
        <v>ResSHWX</v>
      </c>
      <c r="M41" s="31">
        <f>VLOOKUP($F41&amp;$G41,Composite!$A$5:$Q$841,M$3,FALSE)*VLOOKUP($C41,[3]!ExistingSat,MATCH($A41,[3]SATS!$C$10:$F$10,0)+1,FALSE)</f>
        <v>0</v>
      </c>
      <c r="N41" s="31">
        <f>VLOOKUP($F41&amp;$G41,Composite!$A$5:$Q$841,N$3,FALSE)*VLOOKUP($C41,[3]!ExistingSat,MATCH($A41,[3]SATS!$C$10:$F$10,0)+1,FALSE)</f>
        <v>0</v>
      </c>
      <c r="O41">
        <f>VLOOKUP($F41&amp;$G41,Composite!$A$5:$Q$841,O$3,FALSE)</f>
        <v>0</v>
      </c>
      <c r="P41" s="31">
        <f>VLOOKUP($F41&amp;$G41,Composite!$A$5:$Q$841,P$3,FALSE)*VLOOKUP($C41,[3]!ExistingSat,MATCH($A41,[3]SATS!$C$10:$F$10,0)+1,FALSE)</f>
        <v>0</v>
      </c>
      <c r="Q41">
        <f>VLOOKUP($F41&amp;$G41,Composite!$A$5:$Q$841,Q$3,FALSE)</f>
        <v>0</v>
      </c>
      <c r="R41" s="31">
        <f>VLOOKUP($F41&amp;$G41,Composite!$A$5:$Q$841,R$3,FALSE)*VLOOKUP($C41,[3]!ExistingSat,MATCH($A41,[3]SATS!$C$10:$F$10,0)+1,FALSE)</f>
        <v>0</v>
      </c>
      <c r="S41">
        <f>VLOOKUP($F41&amp;$G41,Composite!$A$5:$Q$841,S$3,FALSE)</f>
        <v>0</v>
      </c>
      <c r="T41" s="31">
        <f>VLOOKUP($F41&amp;$G41,Composite!$A$5:$Q$841,T$3,FALSE)*VLOOKUP($C41,[3]!ExistingSat,MATCH($A41,[3]SATS!$C$10:$F$10,0)+1,FALSE)</f>
        <v>0</v>
      </c>
    </row>
    <row r="42" spans="1:20">
      <c r="A42" t="s">
        <v>87</v>
      </c>
      <c r="B42" t="s">
        <v>77</v>
      </c>
      <c r="C42" t="s">
        <v>27</v>
      </c>
      <c r="D42" t="s">
        <v>61</v>
      </c>
      <c r="E42" t="str">
        <f t="shared" si="1"/>
        <v>Electric ZonalHZ3WINDOW CL22 Prime Window Replacement of Double Pane Base</v>
      </c>
      <c r="F42" s="31" t="str">
        <f>Composite!B41</f>
        <v>Windows - Double Pane to Class 22 - Heating Zone 3 (Zonal Heating System)</v>
      </c>
      <c r="G42" s="31" t="str">
        <f>Composite!C41</f>
        <v>WINDOW CL22 Prime Window Replacement of Double Pane Base</v>
      </c>
      <c r="H42" s="31">
        <f>VLOOKUP($F42&amp;$G42,Composite!$A$5:$Q$841,H$3,FALSE)*VLOOKUP($C42,[3]!ExistingSat,MATCH($A42,[3]SATS!$C$10:$F$10,0)+1,FALSE)</f>
        <v>4067.5988629014214</v>
      </c>
      <c r="I42">
        <f>VLOOKUP($F42&amp;$G42,Composite!$A$5:$Q$841,I$3,FALSE)</f>
        <v>45</v>
      </c>
      <c r="J42" s="31">
        <f>VLOOKUP($F42&amp;$G42,Composite!$A$5:$Q$841,J$3,FALSE)*VLOOKUP($C42,[3]!ExistingSat,MATCH($A42,[3]SATS!$C$10:$F$10,0)+1,FALSE)</f>
        <v>4101.7368570659019</v>
      </c>
      <c r="K42" s="31">
        <f>VLOOKUP($F42&amp;$G42,Composite!$A$5:$Q$841,K$3,FALSE)*VLOOKUP($C42,[3]!ExistingSat,MATCH($A42,[3]SATS!$C$10:$F$10,0)+1,FALSE)</f>
        <v>0</v>
      </c>
      <c r="L42" t="str">
        <f>VLOOKUP($F42&amp;$G42,Composite!$A$5:$Q$841,L$3,FALSE)</f>
        <v>ResSHWX</v>
      </c>
      <c r="M42" s="31">
        <f>VLOOKUP($F42&amp;$G42,Composite!$A$5:$Q$841,M$3,FALSE)*VLOOKUP($C42,[3]!ExistingSat,MATCH($A42,[3]SATS!$C$10:$F$10,0)+1,FALSE)</f>
        <v>0</v>
      </c>
      <c r="N42" s="31">
        <f>VLOOKUP($F42&amp;$G42,Composite!$A$5:$Q$841,N$3,FALSE)*VLOOKUP($C42,[3]!ExistingSat,MATCH($A42,[3]SATS!$C$10:$F$10,0)+1,FALSE)</f>
        <v>0</v>
      </c>
      <c r="O42">
        <f>VLOOKUP($F42&amp;$G42,Composite!$A$5:$Q$841,O$3,FALSE)</f>
        <v>0</v>
      </c>
      <c r="P42" s="31">
        <f>VLOOKUP($F42&amp;$G42,Composite!$A$5:$Q$841,P$3,FALSE)*VLOOKUP($C42,[3]!ExistingSat,MATCH($A42,[3]SATS!$C$10:$F$10,0)+1,FALSE)</f>
        <v>0</v>
      </c>
      <c r="Q42">
        <f>VLOOKUP($F42&amp;$G42,Composite!$A$5:$Q$841,Q$3,FALSE)</f>
        <v>0</v>
      </c>
      <c r="R42" s="31">
        <f>VLOOKUP($F42&amp;$G42,Composite!$A$5:$Q$841,R$3,FALSE)*VLOOKUP($C42,[3]!ExistingSat,MATCH($A42,[3]SATS!$C$10:$F$10,0)+1,FALSE)</f>
        <v>0</v>
      </c>
      <c r="S42">
        <f>VLOOKUP($F42&amp;$G42,Composite!$A$5:$Q$841,S$3,FALSE)</f>
        <v>0</v>
      </c>
      <c r="T42" s="31">
        <f>VLOOKUP($F42&amp;$G42,Composite!$A$5:$Q$841,T$3,FALSE)*VLOOKUP($C42,[3]!ExistingSat,MATCH($A42,[3]SATS!$C$10:$F$10,0)+1,FALSE)</f>
        <v>0</v>
      </c>
    </row>
    <row r="43" spans="1:20">
      <c r="A43" t="s">
        <v>87</v>
      </c>
      <c r="B43" t="s">
        <v>77</v>
      </c>
      <c r="C43" t="s">
        <v>27</v>
      </c>
      <c r="D43" t="s">
        <v>61</v>
      </c>
      <c r="E43" t="str">
        <f t="shared" si="1"/>
        <v>Electric ZonalHZ3WINDOW CL30 Prime Window Replacement of Single Pane Base</v>
      </c>
      <c r="F43" s="31" t="str">
        <f>Composite!B42</f>
        <v>Windows - Single Pane to Class 30 - Heating Zone 3 (Zonal Heating System)</v>
      </c>
      <c r="G43" s="31" t="str">
        <f>Composite!C42</f>
        <v>WINDOW CL30 Prime Window Replacement of Single Pane Base</v>
      </c>
      <c r="H43" s="31">
        <f>VLOOKUP($F43&amp;$G43,Composite!$A$5:$Q$841,H$3,FALSE)*VLOOKUP($C43,[3]!ExistingSat,MATCH($A43,[3]SATS!$C$10:$F$10,0)+1,FALSE)</f>
        <v>6178.206711105443</v>
      </c>
      <c r="I43">
        <f>VLOOKUP($F43&amp;$G43,Composite!$A$5:$Q$841,I$3,FALSE)</f>
        <v>45</v>
      </c>
      <c r="J43" s="31">
        <f>VLOOKUP($F43&amp;$G43,Composite!$A$5:$Q$841,J$3,FALSE)*VLOOKUP($C43,[3]!ExistingSat,MATCH($A43,[3]SATS!$C$10:$F$10,0)+1,FALSE)</f>
        <v>3865.0968570659024</v>
      </c>
      <c r="K43" s="31">
        <f>VLOOKUP($F43&amp;$G43,Composite!$A$5:$Q$841,K$3,FALSE)*VLOOKUP($C43,[3]!ExistingSat,MATCH($A43,[3]SATS!$C$10:$F$10,0)+1,FALSE)</f>
        <v>0</v>
      </c>
      <c r="L43" t="str">
        <f>VLOOKUP($F43&amp;$G43,Composite!$A$5:$Q$841,L$3,FALSE)</f>
        <v>ResSHWX</v>
      </c>
      <c r="M43" s="31">
        <f>VLOOKUP($F43&amp;$G43,Composite!$A$5:$Q$841,M$3,FALSE)*VLOOKUP($C43,[3]!ExistingSat,MATCH($A43,[3]SATS!$C$10:$F$10,0)+1,FALSE)</f>
        <v>0</v>
      </c>
      <c r="N43" s="31">
        <f>VLOOKUP($F43&amp;$G43,Composite!$A$5:$Q$841,N$3,FALSE)*VLOOKUP($C43,[3]!ExistingSat,MATCH($A43,[3]SATS!$C$10:$F$10,0)+1,FALSE)</f>
        <v>0</v>
      </c>
      <c r="O43">
        <f>VLOOKUP($F43&amp;$G43,Composite!$A$5:$Q$841,O$3,FALSE)</f>
        <v>0</v>
      </c>
      <c r="P43" s="31">
        <f>VLOOKUP($F43&amp;$G43,Composite!$A$5:$Q$841,P$3,FALSE)*VLOOKUP($C43,[3]!ExistingSat,MATCH($A43,[3]SATS!$C$10:$F$10,0)+1,FALSE)</f>
        <v>0</v>
      </c>
      <c r="Q43">
        <f>VLOOKUP($F43&amp;$G43,Composite!$A$5:$Q$841,Q$3,FALSE)</f>
        <v>0</v>
      </c>
      <c r="R43" s="31">
        <f>VLOOKUP($F43&amp;$G43,Composite!$A$5:$Q$841,R$3,FALSE)*VLOOKUP($C43,[3]!ExistingSat,MATCH($A43,[3]SATS!$C$10:$F$10,0)+1,FALSE)</f>
        <v>0</v>
      </c>
      <c r="S43">
        <f>VLOOKUP($F43&amp;$G43,Composite!$A$5:$Q$841,S$3,FALSE)</f>
        <v>0</v>
      </c>
      <c r="T43" s="31">
        <f>VLOOKUP($F43&amp;$G43,Composite!$A$5:$Q$841,T$3,FALSE)*VLOOKUP($C43,[3]!ExistingSat,MATCH($A43,[3]SATS!$C$10:$F$10,0)+1,FALSE)</f>
        <v>0</v>
      </c>
    </row>
    <row r="44" spans="1:20">
      <c r="A44" t="s">
        <v>87</v>
      </c>
      <c r="B44" t="s">
        <v>77</v>
      </c>
      <c r="C44" t="s">
        <v>27</v>
      </c>
      <c r="D44" t="s">
        <v>61</v>
      </c>
      <c r="E44" t="str">
        <f t="shared" si="1"/>
        <v>Electric ZonalHZ3WINDOW CL30 Prime Window Replacement of Double Pane Base</v>
      </c>
      <c r="F44" s="31" t="str">
        <f>Composite!B43</f>
        <v>Windows - Double Pane to Class 30 - Heating Zone 3 (Zonal Heating System)</v>
      </c>
      <c r="G44" s="31" t="str">
        <f>Composite!C43</f>
        <v>WINDOW CL30 Prime Window Replacement of Double Pane Base</v>
      </c>
      <c r="H44" s="31">
        <f>VLOOKUP($F44&amp;$G44,Composite!$A$5:$Q$841,H$3,FALSE)*VLOOKUP($C44,[3]!ExistingSat,MATCH($A44,[3]SATS!$C$10:$F$10,0)+1,FALSE)</f>
        <v>3508.0943648892307</v>
      </c>
      <c r="I44">
        <f>VLOOKUP($F44&amp;$G44,Composite!$A$5:$Q$841,I$3,FALSE)</f>
        <v>45</v>
      </c>
      <c r="J44" s="31">
        <f>VLOOKUP($F44&amp;$G44,Composite!$A$5:$Q$841,J$3,FALSE)*VLOOKUP($C44,[3]!ExistingSat,MATCH($A44,[3]SATS!$C$10:$F$10,0)+1,FALSE)</f>
        <v>3865.0968570659024</v>
      </c>
      <c r="K44" s="31">
        <f>VLOOKUP($F44&amp;$G44,Composite!$A$5:$Q$841,K$3,FALSE)*VLOOKUP($C44,[3]!ExistingSat,MATCH($A44,[3]SATS!$C$10:$F$10,0)+1,FALSE)</f>
        <v>0</v>
      </c>
      <c r="L44" t="str">
        <f>VLOOKUP($F44&amp;$G44,Composite!$A$5:$Q$841,L$3,FALSE)</f>
        <v>ResSHWX</v>
      </c>
      <c r="M44" s="31">
        <f>VLOOKUP($F44&amp;$G44,Composite!$A$5:$Q$841,M$3,FALSE)*VLOOKUP($C44,[3]!ExistingSat,MATCH($A44,[3]SATS!$C$10:$F$10,0)+1,FALSE)</f>
        <v>0</v>
      </c>
      <c r="N44" s="31">
        <f>VLOOKUP($F44&amp;$G44,Composite!$A$5:$Q$841,N$3,FALSE)*VLOOKUP($C44,[3]!ExistingSat,MATCH($A44,[3]SATS!$C$10:$F$10,0)+1,FALSE)</f>
        <v>0</v>
      </c>
      <c r="O44">
        <f>VLOOKUP($F44&amp;$G44,Composite!$A$5:$Q$841,O$3,FALSE)</f>
        <v>0</v>
      </c>
      <c r="P44" s="31">
        <f>VLOOKUP($F44&amp;$G44,Composite!$A$5:$Q$841,P$3,FALSE)*VLOOKUP($C44,[3]!ExistingSat,MATCH($A44,[3]SATS!$C$10:$F$10,0)+1,FALSE)</f>
        <v>0</v>
      </c>
      <c r="Q44">
        <f>VLOOKUP($F44&amp;$G44,Composite!$A$5:$Q$841,Q$3,FALSE)</f>
        <v>0</v>
      </c>
      <c r="R44" s="31">
        <f>VLOOKUP($F44&amp;$G44,Composite!$A$5:$Q$841,R$3,FALSE)*VLOOKUP($C44,[3]!ExistingSat,MATCH($A44,[3]SATS!$C$10:$F$10,0)+1,FALSE)</f>
        <v>0</v>
      </c>
      <c r="S44">
        <f>VLOOKUP($F44&amp;$G44,Composite!$A$5:$Q$841,S$3,FALSE)</f>
        <v>0</v>
      </c>
      <c r="T44" s="31">
        <f>VLOOKUP($F44&amp;$G44,Composite!$A$5:$Q$841,T$3,FALSE)*VLOOKUP($C44,[3]!ExistingSat,MATCH($A44,[3]SATS!$C$10:$F$10,0)+1,FALSE)</f>
        <v>0</v>
      </c>
    </row>
    <row r="45" spans="1:20">
      <c r="A45" t="s">
        <v>87</v>
      </c>
      <c r="B45" t="s">
        <v>76</v>
      </c>
      <c r="C45" t="s">
        <v>63</v>
      </c>
      <c r="D45" t="s">
        <v>59</v>
      </c>
      <c r="E45" t="str">
        <f t="shared" si="1"/>
        <v>Electric FAFHZ1WALL R0 - R11</v>
      </c>
      <c r="F45" s="31" t="str">
        <f>Composite!B44</f>
        <v>Multi Family Weatherization - Insulate Walls - R-0 to R-11 - Heating Zone 1 (Electric FAF Heating System)</v>
      </c>
      <c r="G45" s="31" t="str">
        <f>Composite!C44</f>
        <v>WALL R0 - R11</v>
      </c>
      <c r="H45" s="31">
        <f>VLOOKUP($F45&amp;$G45,Composite!$A$5:$Q$841,H$3,FALSE)*VLOOKUP($C45,[3]!ExistingSat,MATCH($A45,[3]SATS!$C$10:$F$10,0)+1,FALSE)</f>
        <v>623.13432819793707</v>
      </c>
      <c r="I45">
        <f>VLOOKUP($F45&amp;$G45,Composite!$A$5:$Q$841,I$3,FALSE)</f>
        <v>45</v>
      </c>
      <c r="J45" s="31">
        <f>VLOOKUP($F45&amp;$G45,Composite!$A$5:$Q$841,J$3,FALSE)*VLOOKUP($C45,[3]!ExistingSat,MATCH($A45,[3]SATS!$C$10:$F$10,0)+1,FALSE)</f>
        <v>414.11354893012168</v>
      </c>
      <c r="K45" s="31">
        <f>VLOOKUP($F45&amp;$G45,Composite!$A$5:$Q$841,K$3,FALSE)*VLOOKUP($C45,[3]!ExistingSat,MATCH($A45,[3]SATS!$C$10:$F$10,0)+1,FALSE)</f>
        <v>0</v>
      </c>
      <c r="L45" t="str">
        <f>VLOOKUP($F45&amp;$G45,Composite!$A$5:$Q$841,L$3,FALSE)</f>
        <v>ResSHWX</v>
      </c>
      <c r="M45" s="31">
        <f>VLOOKUP($F45&amp;$G45,Composite!$A$5:$Q$841,M$3,FALSE)*VLOOKUP($C45,[3]!ExistingSat,MATCH($A45,[3]SATS!$C$10:$F$10,0)+1,FALSE)</f>
        <v>0</v>
      </c>
      <c r="N45" s="31">
        <f>VLOOKUP($F45&amp;$G45,Composite!$A$5:$Q$841,N$3,FALSE)*VLOOKUP($C45,[3]!ExistingSat,MATCH($A45,[3]SATS!$C$10:$F$10,0)+1,FALSE)</f>
        <v>0</v>
      </c>
      <c r="O45">
        <f>VLOOKUP($F45&amp;$G45,Composite!$A$5:$Q$841,O$3,FALSE)</f>
        <v>0</v>
      </c>
      <c r="P45" s="31">
        <f>VLOOKUP($F45&amp;$G45,Composite!$A$5:$Q$841,P$3,FALSE)*VLOOKUP($C45,[3]!ExistingSat,MATCH($A45,[3]SATS!$C$10:$F$10,0)+1,FALSE)</f>
        <v>0</v>
      </c>
      <c r="Q45">
        <f>VLOOKUP($F45&amp;$G45,Composite!$A$5:$Q$841,Q$3,FALSE)</f>
        <v>0</v>
      </c>
      <c r="R45" s="31">
        <f>VLOOKUP($F45&amp;$G45,Composite!$A$5:$Q$841,R$3,FALSE)*VLOOKUP($C45,[3]!ExistingSat,MATCH($A45,[3]SATS!$C$10:$F$10,0)+1,FALSE)</f>
        <v>0</v>
      </c>
      <c r="S45">
        <f>VLOOKUP($F45&amp;$G45,Composite!$A$5:$Q$841,S$3,FALSE)</f>
        <v>0</v>
      </c>
      <c r="T45" s="31">
        <f>VLOOKUP($F45&amp;$G45,Composite!$A$5:$Q$841,T$3,FALSE)*VLOOKUP($C45,[3]!ExistingSat,MATCH($A45,[3]SATS!$C$10:$F$10,0)+1,FALSE)</f>
        <v>0</v>
      </c>
    </row>
    <row r="46" spans="1:20">
      <c r="A46" t="s">
        <v>87</v>
      </c>
      <c r="B46" t="s">
        <v>76</v>
      </c>
      <c r="C46" t="s">
        <v>26</v>
      </c>
      <c r="D46" t="s">
        <v>59</v>
      </c>
      <c r="E46" t="str">
        <f t="shared" si="1"/>
        <v>Electric FAFHZ1FLOOR R0 - R19</v>
      </c>
      <c r="F46" s="31" t="str">
        <f>Composite!B45</f>
        <v>Multi Family Weatherization - Insulate Floors - R-0 to R-19 - Heating Zone 1 (Electric FAF Heating System)</v>
      </c>
      <c r="G46" s="31" t="str">
        <f>Composite!C45</f>
        <v>FLOOR R0 - R19</v>
      </c>
      <c r="H46" s="31">
        <f>VLOOKUP($F46&amp;$G46,Composite!$A$5:$Q$841,H$3,FALSE)*VLOOKUP($C46,[3]!ExistingSat,MATCH($A46,[3]SATS!$C$10:$F$10,0)+1,FALSE)</f>
        <v>214.47042744325265</v>
      </c>
      <c r="I46">
        <f>VLOOKUP($F46&amp;$G46,Composite!$A$5:$Q$841,I$3,FALSE)</f>
        <v>45</v>
      </c>
      <c r="J46" s="31">
        <f>VLOOKUP($F46&amp;$G46,Composite!$A$5:$Q$841,J$3,FALSE)*VLOOKUP($C46,[3]!ExistingSat,MATCH($A46,[3]SATS!$C$10:$F$10,0)+1,FALSE)</f>
        <v>436.41697398915824</v>
      </c>
      <c r="K46" s="31">
        <f>VLOOKUP($F46&amp;$G46,Composite!$A$5:$Q$841,K$3,FALSE)*VLOOKUP($C46,[3]!ExistingSat,MATCH($A46,[3]SATS!$C$10:$F$10,0)+1,FALSE)</f>
        <v>0</v>
      </c>
      <c r="L46" t="str">
        <f>VLOOKUP($F46&amp;$G46,Composite!$A$5:$Q$841,L$3,FALSE)</f>
        <v>ResSHWX</v>
      </c>
      <c r="M46" s="31">
        <f>VLOOKUP($F46&amp;$G46,Composite!$A$5:$Q$841,M$3,FALSE)*VLOOKUP($C46,[3]!ExistingSat,MATCH($A46,[3]SATS!$C$10:$F$10,0)+1,FALSE)</f>
        <v>0</v>
      </c>
      <c r="N46" s="31">
        <f>VLOOKUP($F46&amp;$G46,Composite!$A$5:$Q$841,N$3,FALSE)*VLOOKUP($C46,[3]!ExistingSat,MATCH($A46,[3]SATS!$C$10:$F$10,0)+1,FALSE)</f>
        <v>0</v>
      </c>
      <c r="O46">
        <f>VLOOKUP($F46&amp;$G46,Composite!$A$5:$Q$841,O$3,FALSE)</f>
        <v>0</v>
      </c>
      <c r="P46" s="31">
        <f>VLOOKUP($F46&amp;$G46,Composite!$A$5:$Q$841,P$3,FALSE)*VLOOKUP($C46,[3]!ExistingSat,MATCH($A46,[3]SATS!$C$10:$F$10,0)+1,FALSE)</f>
        <v>0</v>
      </c>
      <c r="Q46">
        <f>VLOOKUP($F46&amp;$G46,Composite!$A$5:$Q$841,Q$3,FALSE)</f>
        <v>0</v>
      </c>
      <c r="R46" s="31">
        <f>VLOOKUP($F46&amp;$G46,Composite!$A$5:$Q$841,R$3,FALSE)*VLOOKUP($C46,[3]!ExistingSat,MATCH($A46,[3]SATS!$C$10:$F$10,0)+1,FALSE)</f>
        <v>0</v>
      </c>
      <c r="S46">
        <f>VLOOKUP($F46&amp;$G46,Composite!$A$5:$Q$841,S$3,FALSE)</f>
        <v>0</v>
      </c>
      <c r="T46" s="31">
        <f>VLOOKUP($F46&amp;$G46,Composite!$A$5:$Q$841,T$3,FALSE)*VLOOKUP($C46,[3]!ExistingSat,MATCH($A46,[3]SATS!$C$10:$F$10,0)+1,FALSE)</f>
        <v>0</v>
      </c>
    </row>
    <row r="47" spans="1:20">
      <c r="A47" t="s">
        <v>87</v>
      </c>
      <c r="B47" t="s">
        <v>76</v>
      </c>
      <c r="C47" t="s">
        <v>26</v>
      </c>
      <c r="D47" t="s">
        <v>59</v>
      </c>
      <c r="E47" t="str">
        <f t="shared" si="1"/>
        <v>Electric FAFHZ1FLOOR R0 - R30</v>
      </c>
      <c r="F47" s="31" t="str">
        <f>Composite!B46</f>
        <v>Multi Family Weatherization - Insulate Floors - R-0 to R-30 - Heating Zone 1 (Electric FAF Heating System)</v>
      </c>
      <c r="G47" s="31" t="str">
        <f>Composite!C46</f>
        <v>FLOOR R0 - R30</v>
      </c>
      <c r="H47" s="31">
        <f>VLOOKUP($F47&amp;$G47,Composite!$A$5:$Q$841,H$3,FALSE)*VLOOKUP($C47,[3]!ExistingSat,MATCH($A47,[3]SATS!$C$10:$F$10,0)+1,FALSE)</f>
        <v>278.87595778559358</v>
      </c>
      <c r="I47">
        <f>VLOOKUP($F47&amp;$G47,Composite!$A$5:$Q$841,I$3,FALSE)</f>
        <v>45</v>
      </c>
      <c r="J47" s="31">
        <f>VLOOKUP($F47&amp;$G47,Composite!$A$5:$Q$841,J$3,FALSE)*VLOOKUP($C47,[3]!ExistingSat,MATCH($A47,[3]SATS!$C$10:$F$10,0)+1,FALSE)</f>
        <v>689.07943261446042</v>
      </c>
      <c r="K47" s="31">
        <f>VLOOKUP($F47&amp;$G47,Composite!$A$5:$Q$841,K$3,FALSE)*VLOOKUP($C47,[3]!ExistingSat,MATCH($A47,[3]SATS!$C$10:$F$10,0)+1,FALSE)</f>
        <v>0</v>
      </c>
      <c r="L47" t="str">
        <f>VLOOKUP($F47&amp;$G47,Composite!$A$5:$Q$841,L$3,FALSE)</f>
        <v>ResSHWX</v>
      </c>
      <c r="M47" s="31">
        <f>VLOOKUP($F47&amp;$G47,Composite!$A$5:$Q$841,M$3,FALSE)*VLOOKUP($C47,[3]!ExistingSat,MATCH($A47,[3]SATS!$C$10:$F$10,0)+1,FALSE)</f>
        <v>0</v>
      </c>
      <c r="N47" s="31">
        <f>VLOOKUP($F47&amp;$G47,Composite!$A$5:$Q$841,N$3,FALSE)*VLOOKUP($C47,[3]!ExistingSat,MATCH($A47,[3]SATS!$C$10:$F$10,0)+1,FALSE)</f>
        <v>0</v>
      </c>
      <c r="O47">
        <f>VLOOKUP($F47&amp;$G47,Composite!$A$5:$Q$841,O$3,FALSE)</f>
        <v>0</v>
      </c>
      <c r="P47" s="31">
        <f>VLOOKUP($F47&amp;$G47,Composite!$A$5:$Q$841,P$3,FALSE)*VLOOKUP($C47,[3]!ExistingSat,MATCH($A47,[3]SATS!$C$10:$F$10,0)+1,FALSE)</f>
        <v>0</v>
      </c>
      <c r="Q47">
        <f>VLOOKUP($F47&amp;$G47,Composite!$A$5:$Q$841,Q$3,FALSE)</f>
        <v>0</v>
      </c>
      <c r="R47" s="31">
        <f>VLOOKUP($F47&amp;$G47,Composite!$A$5:$Q$841,R$3,FALSE)*VLOOKUP($C47,[3]!ExistingSat,MATCH($A47,[3]SATS!$C$10:$F$10,0)+1,FALSE)</f>
        <v>0</v>
      </c>
      <c r="S47">
        <f>VLOOKUP($F47&amp;$G47,Composite!$A$5:$Q$841,S$3,FALSE)</f>
        <v>0</v>
      </c>
      <c r="T47" s="31">
        <f>VLOOKUP($F47&amp;$G47,Composite!$A$5:$Q$841,T$3,FALSE)*VLOOKUP($C47,[3]!ExistingSat,MATCH($A47,[3]SATS!$C$10:$F$10,0)+1,FALSE)</f>
        <v>0</v>
      </c>
    </row>
    <row r="48" spans="1:20">
      <c r="A48" t="s">
        <v>87</v>
      </c>
      <c r="B48" t="s">
        <v>76</v>
      </c>
      <c r="C48" t="s">
        <v>28</v>
      </c>
      <c r="D48" t="s">
        <v>59</v>
      </c>
      <c r="E48" t="str">
        <f t="shared" si="1"/>
        <v>Electric FAFHZ1ATTIC R0 - R19</v>
      </c>
      <c r="F48" s="31" t="str">
        <f>Composite!B47</f>
        <v>Multi Family Weatherization - Insulate Attic - R-0 to R-19 - Heating Zone 1 (Electric FAF Heating System)</v>
      </c>
      <c r="G48" s="31" t="str">
        <f>Composite!C47</f>
        <v>ATTIC R0 - R19</v>
      </c>
      <c r="H48" s="31">
        <f>VLOOKUP($F48&amp;$G48,Composite!$A$5:$Q$841,H$3,FALSE)*VLOOKUP($C48,[3]!ExistingSat,MATCH($A48,[3]SATS!$C$10:$F$10,0)+1,FALSE)</f>
        <v>189.74921960577254</v>
      </c>
      <c r="I48">
        <f>VLOOKUP($F48&amp;$G48,Composite!$A$5:$Q$841,I$3,FALSE)</f>
        <v>45</v>
      </c>
      <c r="J48" s="31">
        <f>VLOOKUP($F48&amp;$G48,Composite!$A$5:$Q$841,J$3,FALSE)*VLOOKUP($C48,[3]!ExistingSat,MATCH($A48,[3]SATS!$C$10:$F$10,0)+1,FALSE)</f>
        <v>239.1087012654321</v>
      </c>
      <c r="K48" s="31">
        <f>VLOOKUP($F48&amp;$G48,Composite!$A$5:$Q$841,K$3,FALSE)*VLOOKUP($C48,[3]!ExistingSat,MATCH($A48,[3]SATS!$C$10:$F$10,0)+1,FALSE)</f>
        <v>0</v>
      </c>
      <c r="L48" t="str">
        <f>VLOOKUP($F48&amp;$G48,Composite!$A$5:$Q$841,L$3,FALSE)</f>
        <v>ResSHWX</v>
      </c>
      <c r="M48" s="31">
        <f>VLOOKUP($F48&amp;$G48,Composite!$A$5:$Q$841,M$3,FALSE)*VLOOKUP($C48,[3]!ExistingSat,MATCH($A48,[3]SATS!$C$10:$F$10,0)+1,FALSE)</f>
        <v>0</v>
      </c>
      <c r="N48" s="31">
        <f>VLOOKUP($F48&amp;$G48,Composite!$A$5:$Q$841,N$3,FALSE)*VLOOKUP($C48,[3]!ExistingSat,MATCH($A48,[3]SATS!$C$10:$F$10,0)+1,FALSE)</f>
        <v>0</v>
      </c>
      <c r="O48">
        <f>VLOOKUP($F48&amp;$G48,Composite!$A$5:$Q$841,O$3,FALSE)</f>
        <v>0</v>
      </c>
      <c r="P48" s="31">
        <f>VLOOKUP($F48&amp;$G48,Composite!$A$5:$Q$841,P$3,FALSE)*VLOOKUP($C48,[3]!ExistingSat,MATCH($A48,[3]SATS!$C$10:$F$10,0)+1,FALSE)</f>
        <v>0</v>
      </c>
      <c r="Q48">
        <f>VLOOKUP($F48&amp;$G48,Composite!$A$5:$Q$841,Q$3,FALSE)</f>
        <v>0</v>
      </c>
      <c r="R48" s="31">
        <f>VLOOKUP($F48&amp;$G48,Composite!$A$5:$Q$841,R$3,FALSE)*VLOOKUP($C48,[3]!ExistingSat,MATCH($A48,[3]SATS!$C$10:$F$10,0)+1,FALSE)</f>
        <v>0</v>
      </c>
      <c r="S48">
        <f>VLOOKUP($F48&amp;$G48,Composite!$A$5:$Q$841,S$3,FALSE)</f>
        <v>0</v>
      </c>
      <c r="T48" s="31">
        <f>VLOOKUP($F48&amp;$G48,Composite!$A$5:$Q$841,T$3,FALSE)*VLOOKUP($C48,[3]!ExistingSat,MATCH($A48,[3]SATS!$C$10:$F$10,0)+1,FALSE)</f>
        <v>0</v>
      </c>
    </row>
    <row r="49" spans="1:20">
      <c r="A49" t="s">
        <v>87</v>
      </c>
      <c r="B49" t="s">
        <v>76</v>
      </c>
      <c r="C49" t="s">
        <v>28</v>
      </c>
      <c r="D49" t="s">
        <v>59</v>
      </c>
      <c r="E49" t="str">
        <f t="shared" si="1"/>
        <v>Electric FAFHZ1ATTIC R0 - R38</v>
      </c>
      <c r="F49" s="31" t="str">
        <f>Composite!B48</f>
        <v>Multi Family Weatherization - Insulate Attic - R-0 to R-38 - Heating Zone 1 (Electric FAF Heating System)</v>
      </c>
      <c r="G49" s="31" t="str">
        <f>Composite!C48</f>
        <v>ATTIC R0 - R38</v>
      </c>
      <c r="H49" s="31">
        <f>VLOOKUP($F49&amp;$G49,Composite!$A$5:$Q$841,H$3,FALSE)*VLOOKUP($C49,[3]!ExistingSat,MATCH($A49,[3]SATS!$C$10:$F$10,0)+1,FALSE)</f>
        <v>258.13863950285889</v>
      </c>
      <c r="I49">
        <f>VLOOKUP($F49&amp;$G49,Composite!$A$5:$Q$841,I$3,FALSE)</f>
        <v>45</v>
      </c>
      <c r="J49" s="31">
        <f>VLOOKUP($F49&amp;$G49,Composite!$A$5:$Q$841,J$3,FALSE)*VLOOKUP($C49,[3]!ExistingSat,MATCH($A49,[3]SATS!$C$10:$F$10,0)+1,FALSE)</f>
        <v>478.21740253086421</v>
      </c>
      <c r="K49" s="31">
        <f>VLOOKUP($F49&amp;$G49,Composite!$A$5:$Q$841,K$3,FALSE)*VLOOKUP($C49,[3]!ExistingSat,MATCH($A49,[3]SATS!$C$10:$F$10,0)+1,FALSE)</f>
        <v>0</v>
      </c>
      <c r="L49" t="str">
        <f>VLOOKUP($F49&amp;$G49,Composite!$A$5:$Q$841,L$3,FALSE)</f>
        <v>ResSHWX</v>
      </c>
      <c r="M49" s="31">
        <f>VLOOKUP($F49&amp;$G49,Composite!$A$5:$Q$841,M$3,FALSE)*VLOOKUP($C49,[3]!ExistingSat,MATCH($A49,[3]SATS!$C$10:$F$10,0)+1,FALSE)</f>
        <v>0</v>
      </c>
      <c r="N49" s="31">
        <f>VLOOKUP($F49&amp;$G49,Composite!$A$5:$Q$841,N$3,FALSE)*VLOOKUP($C49,[3]!ExistingSat,MATCH($A49,[3]SATS!$C$10:$F$10,0)+1,FALSE)</f>
        <v>0</v>
      </c>
      <c r="O49">
        <f>VLOOKUP($F49&amp;$G49,Composite!$A$5:$Q$841,O$3,FALSE)</f>
        <v>0</v>
      </c>
      <c r="P49" s="31">
        <f>VLOOKUP($F49&amp;$G49,Composite!$A$5:$Q$841,P$3,FALSE)*VLOOKUP($C49,[3]!ExistingSat,MATCH($A49,[3]SATS!$C$10:$F$10,0)+1,FALSE)</f>
        <v>0</v>
      </c>
      <c r="Q49">
        <f>VLOOKUP($F49&amp;$G49,Composite!$A$5:$Q$841,Q$3,FALSE)</f>
        <v>0</v>
      </c>
      <c r="R49" s="31">
        <f>VLOOKUP($F49&amp;$G49,Composite!$A$5:$Q$841,R$3,FALSE)*VLOOKUP($C49,[3]!ExistingSat,MATCH($A49,[3]SATS!$C$10:$F$10,0)+1,FALSE)</f>
        <v>0</v>
      </c>
      <c r="S49">
        <f>VLOOKUP($F49&amp;$G49,Composite!$A$5:$Q$841,S$3,FALSE)</f>
        <v>0</v>
      </c>
      <c r="T49" s="31">
        <f>VLOOKUP($F49&amp;$G49,Composite!$A$5:$Q$841,T$3,FALSE)*VLOOKUP($C49,[3]!ExistingSat,MATCH($A49,[3]SATS!$C$10:$F$10,0)+1,FALSE)</f>
        <v>0</v>
      </c>
    </row>
    <row r="50" spans="1:20">
      <c r="A50" t="s">
        <v>87</v>
      </c>
      <c r="B50" t="s">
        <v>76</v>
      </c>
      <c r="C50" t="s">
        <v>28</v>
      </c>
      <c r="D50" t="s">
        <v>59</v>
      </c>
      <c r="E50" t="str">
        <f t="shared" si="1"/>
        <v>Electric FAFHZ1ATTIC R0 - R49</v>
      </c>
      <c r="F50" s="31" t="str">
        <f>Composite!B49</f>
        <v>Multi Family Weatherization - Insulate Attic - R-0 to R-49 - Heating Zone 1 (Electric FAF Heating System)</v>
      </c>
      <c r="G50" s="31" t="str">
        <f>Composite!C49</f>
        <v>ATTIC R0 - R49</v>
      </c>
      <c r="H50" s="31">
        <f>VLOOKUP($F50&amp;$G50,Composite!$A$5:$Q$841,H$3,FALSE)*VLOOKUP($C50,[3]!ExistingSat,MATCH($A50,[3]SATS!$C$10:$F$10,0)+1,FALSE)</f>
        <v>273.95772266662885</v>
      </c>
      <c r="I50">
        <f>VLOOKUP($F50&amp;$G50,Composite!$A$5:$Q$841,I$3,FALSE)</f>
        <v>45</v>
      </c>
      <c r="J50" s="31">
        <f>VLOOKUP($F50&amp;$G50,Composite!$A$5:$Q$841,J$3,FALSE)*VLOOKUP($C50,[3]!ExistingSat,MATCH($A50,[3]SATS!$C$10:$F$10,0)+1,FALSE)</f>
        <v>616.64875589506175</v>
      </c>
      <c r="K50" s="31">
        <f>VLOOKUP($F50&amp;$G50,Composite!$A$5:$Q$841,K$3,FALSE)*VLOOKUP($C50,[3]!ExistingSat,MATCH($A50,[3]SATS!$C$10:$F$10,0)+1,FALSE)</f>
        <v>0</v>
      </c>
      <c r="L50" t="str">
        <f>VLOOKUP($F50&amp;$G50,Composite!$A$5:$Q$841,L$3,FALSE)</f>
        <v>ResSHWX</v>
      </c>
      <c r="M50" s="31">
        <f>VLOOKUP($F50&amp;$G50,Composite!$A$5:$Q$841,M$3,FALSE)*VLOOKUP($C50,[3]!ExistingSat,MATCH($A50,[3]SATS!$C$10:$F$10,0)+1,FALSE)</f>
        <v>0</v>
      </c>
      <c r="N50" s="31">
        <f>VLOOKUP($F50&amp;$G50,Composite!$A$5:$Q$841,N$3,FALSE)*VLOOKUP($C50,[3]!ExistingSat,MATCH($A50,[3]SATS!$C$10:$F$10,0)+1,FALSE)</f>
        <v>0</v>
      </c>
      <c r="O50">
        <f>VLOOKUP($F50&amp;$G50,Composite!$A$5:$Q$841,O$3,FALSE)</f>
        <v>0</v>
      </c>
      <c r="P50" s="31">
        <f>VLOOKUP($F50&amp;$G50,Composite!$A$5:$Q$841,P$3,FALSE)*VLOOKUP($C50,[3]!ExistingSat,MATCH($A50,[3]SATS!$C$10:$F$10,0)+1,FALSE)</f>
        <v>0</v>
      </c>
      <c r="Q50">
        <f>VLOOKUP($F50&amp;$G50,Composite!$A$5:$Q$841,Q$3,FALSE)</f>
        <v>0</v>
      </c>
      <c r="R50" s="31">
        <f>VLOOKUP($F50&amp;$G50,Composite!$A$5:$Q$841,R$3,FALSE)*VLOOKUP($C50,[3]!ExistingSat,MATCH($A50,[3]SATS!$C$10:$F$10,0)+1,FALSE)</f>
        <v>0</v>
      </c>
      <c r="S50">
        <f>VLOOKUP($F50&amp;$G50,Composite!$A$5:$Q$841,S$3,FALSE)</f>
        <v>0</v>
      </c>
      <c r="T50" s="31">
        <f>VLOOKUP($F50&amp;$G50,Composite!$A$5:$Q$841,T$3,FALSE)*VLOOKUP($C50,[3]!ExistingSat,MATCH($A50,[3]SATS!$C$10:$F$10,0)+1,FALSE)</f>
        <v>0</v>
      </c>
    </row>
    <row r="51" spans="1:20">
      <c r="A51" t="s">
        <v>87</v>
      </c>
      <c r="B51" t="s">
        <v>76</v>
      </c>
      <c r="C51" t="s">
        <v>28</v>
      </c>
      <c r="D51" t="s">
        <v>59</v>
      </c>
      <c r="E51" t="str">
        <f t="shared" si="1"/>
        <v>Electric FAFHZ1ATTIC R19 - R30</v>
      </c>
      <c r="F51" s="31" t="str">
        <f>Composite!B50</f>
        <v>Multi Family Weatherization - Insulate Attic - R-19 to R-30 - Heating Zone 1 (Electric FAF Heating System)</v>
      </c>
      <c r="G51" s="31" t="str">
        <f>Composite!C50</f>
        <v>ATTIC R19 - R30</v>
      </c>
      <c r="H51" s="31">
        <f>VLOOKUP($F51&amp;$G51,Composite!$A$5:$Q$841,H$3,FALSE)*VLOOKUP($C51,[3]!ExistingSat,MATCH($A51,[3]SATS!$C$10:$F$10,0)+1,FALSE)</f>
        <v>49.583799360863814</v>
      </c>
      <c r="I51">
        <f>VLOOKUP($F51&amp;$G51,Composite!$A$5:$Q$841,I$3,FALSE)</f>
        <v>45</v>
      </c>
      <c r="J51" s="31">
        <f>VLOOKUP($F51&amp;$G51,Composite!$A$5:$Q$841,J$3,FALSE)*VLOOKUP($C51,[3]!ExistingSat,MATCH($A51,[3]SATS!$C$10:$F$10,0)+1,FALSE)</f>
        <v>138.43135336419752</v>
      </c>
      <c r="K51" s="31">
        <f>VLOOKUP($F51&amp;$G51,Composite!$A$5:$Q$841,K$3,FALSE)*VLOOKUP($C51,[3]!ExistingSat,MATCH($A51,[3]SATS!$C$10:$F$10,0)+1,FALSE)</f>
        <v>0</v>
      </c>
      <c r="L51" t="str">
        <f>VLOOKUP($F51&amp;$G51,Composite!$A$5:$Q$841,L$3,FALSE)</f>
        <v>ResSHWX</v>
      </c>
      <c r="M51" s="31">
        <f>VLOOKUP($F51&amp;$G51,Composite!$A$5:$Q$841,M$3,FALSE)*VLOOKUP($C51,[3]!ExistingSat,MATCH($A51,[3]SATS!$C$10:$F$10,0)+1,FALSE)</f>
        <v>0</v>
      </c>
      <c r="N51" s="31">
        <f>VLOOKUP($F51&amp;$G51,Composite!$A$5:$Q$841,N$3,FALSE)*VLOOKUP($C51,[3]!ExistingSat,MATCH($A51,[3]SATS!$C$10:$F$10,0)+1,FALSE)</f>
        <v>0</v>
      </c>
      <c r="O51">
        <f>VLOOKUP($F51&amp;$G51,Composite!$A$5:$Q$841,O$3,FALSE)</f>
        <v>0</v>
      </c>
      <c r="P51" s="31">
        <f>VLOOKUP($F51&amp;$G51,Composite!$A$5:$Q$841,P$3,FALSE)*VLOOKUP($C51,[3]!ExistingSat,MATCH($A51,[3]SATS!$C$10:$F$10,0)+1,FALSE)</f>
        <v>0</v>
      </c>
      <c r="Q51">
        <f>VLOOKUP($F51&amp;$G51,Composite!$A$5:$Q$841,Q$3,FALSE)</f>
        <v>0</v>
      </c>
      <c r="R51" s="31">
        <f>VLOOKUP($F51&amp;$G51,Composite!$A$5:$Q$841,R$3,FALSE)*VLOOKUP($C51,[3]!ExistingSat,MATCH($A51,[3]SATS!$C$10:$F$10,0)+1,FALSE)</f>
        <v>0</v>
      </c>
      <c r="S51">
        <f>VLOOKUP($F51&amp;$G51,Composite!$A$5:$Q$841,S$3,FALSE)</f>
        <v>0</v>
      </c>
      <c r="T51" s="31">
        <f>VLOOKUP($F51&amp;$G51,Composite!$A$5:$Q$841,T$3,FALSE)*VLOOKUP($C51,[3]!ExistingSat,MATCH($A51,[3]SATS!$C$10:$F$10,0)+1,FALSE)</f>
        <v>0</v>
      </c>
    </row>
    <row r="52" spans="1:20">
      <c r="A52" t="s">
        <v>87</v>
      </c>
      <c r="B52" t="s">
        <v>76</v>
      </c>
      <c r="C52" t="s">
        <v>28</v>
      </c>
      <c r="D52" t="s">
        <v>59</v>
      </c>
      <c r="E52" t="str">
        <f t="shared" si="1"/>
        <v>Electric FAFHZ1ATTIC R19 - R38</v>
      </c>
      <c r="F52" s="31" t="str">
        <f>Composite!B51</f>
        <v>Multi Family Weatherization - Insulate Attic - R-19 to R-38 - Heating Zone 1 (Electric FAF Heating System)</v>
      </c>
      <c r="G52" s="31" t="str">
        <f>Composite!C51</f>
        <v>ATTIC R19 - R38</v>
      </c>
      <c r="H52" s="31">
        <f>VLOOKUP($F52&amp;$G52,Composite!$A$5:$Q$841,H$3,FALSE)*VLOOKUP($C52,[3]!ExistingSat,MATCH($A52,[3]SATS!$C$10:$F$10,0)+1,FALSE)</f>
        <v>68.389419897086313</v>
      </c>
      <c r="I52">
        <f>VLOOKUP($F52&amp;$G52,Composite!$A$5:$Q$841,I$3,FALSE)</f>
        <v>45</v>
      </c>
      <c r="J52" s="31">
        <f>VLOOKUP($F52&amp;$G52,Composite!$A$5:$Q$841,J$3,FALSE)*VLOOKUP($C52,[3]!ExistingSat,MATCH($A52,[3]SATS!$C$10:$F$10,0)+1,FALSE)</f>
        <v>239.1087012654321</v>
      </c>
      <c r="K52" s="31">
        <f>VLOOKUP($F52&amp;$G52,Composite!$A$5:$Q$841,K$3,FALSE)*VLOOKUP($C52,[3]!ExistingSat,MATCH($A52,[3]SATS!$C$10:$F$10,0)+1,FALSE)</f>
        <v>0</v>
      </c>
      <c r="L52" t="str">
        <f>VLOOKUP($F52&amp;$G52,Composite!$A$5:$Q$841,L$3,FALSE)</f>
        <v>ResSHWX</v>
      </c>
      <c r="M52" s="31">
        <f>VLOOKUP($F52&amp;$G52,Composite!$A$5:$Q$841,M$3,FALSE)*VLOOKUP($C52,[3]!ExistingSat,MATCH($A52,[3]SATS!$C$10:$F$10,0)+1,FALSE)</f>
        <v>0</v>
      </c>
      <c r="N52" s="31">
        <f>VLOOKUP($F52&amp;$G52,Composite!$A$5:$Q$841,N$3,FALSE)*VLOOKUP($C52,[3]!ExistingSat,MATCH($A52,[3]SATS!$C$10:$F$10,0)+1,FALSE)</f>
        <v>0</v>
      </c>
      <c r="O52">
        <f>VLOOKUP($F52&amp;$G52,Composite!$A$5:$Q$841,O$3,FALSE)</f>
        <v>0</v>
      </c>
      <c r="P52" s="31">
        <f>VLOOKUP($F52&amp;$G52,Composite!$A$5:$Q$841,P$3,FALSE)*VLOOKUP($C52,[3]!ExistingSat,MATCH($A52,[3]SATS!$C$10:$F$10,0)+1,FALSE)</f>
        <v>0</v>
      </c>
      <c r="Q52">
        <f>VLOOKUP($F52&amp;$G52,Composite!$A$5:$Q$841,Q$3,FALSE)</f>
        <v>0</v>
      </c>
      <c r="R52" s="31">
        <f>VLOOKUP($F52&amp;$G52,Composite!$A$5:$Q$841,R$3,FALSE)*VLOOKUP($C52,[3]!ExistingSat,MATCH($A52,[3]SATS!$C$10:$F$10,0)+1,FALSE)</f>
        <v>0</v>
      </c>
      <c r="S52">
        <f>VLOOKUP($F52&amp;$G52,Composite!$A$5:$Q$841,S$3,FALSE)</f>
        <v>0</v>
      </c>
      <c r="T52" s="31">
        <f>VLOOKUP($F52&amp;$G52,Composite!$A$5:$Q$841,T$3,FALSE)*VLOOKUP($C52,[3]!ExistingSat,MATCH($A52,[3]SATS!$C$10:$F$10,0)+1,FALSE)</f>
        <v>0</v>
      </c>
    </row>
    <row r="53" spans="1:20">
      <c r="A53" t="s">
        <v>87</v>
      </c>
      <c r="B53" t="s">
        <v>76</v>
      </c>
      <c r="C53" t="s">
        <v>28</v>
      </c>
      <c r="D53" t="s">
        <v>59</v>
      </c>
      <c r="E53" t="str">
        <f t="shared" si="1"/>
        <v>Electric FAFHZ1ATTIC R19 - R49</v>
      </c>
      <c r="F53" s="31" t="str">
        <f>Composite!B52</f>
        <v>Multi Family Weatherization - Insulate Attic - R-19 to R-49 - Heating Zone 1 (Electric FAF Heating System)</v>
      </c>
      <c r="G53" s="31" t="str">
        <f>Composite!C52</f>
        <v>ATTIC R19 - R49</v>
      </c>
      <c r="H53" s="31">
        <f>VLOOKUP($F53&amp;$G53,Composite!$A$5:$Q$841,H$3,FALSE)*VLOOKUP($C53,[3]!ExistingSat,MATCH($A53,[3]SATS!$C$10:$F$10,0)+1,FALSE)</f>
        <v>84.208503060856287</v>
      </c>
      <c r="I53">
        <f>VLOOKUP($F53&amp;$G53,Composite!$A$5:$Q$841,I$3,FALSE)</f>
        <v>45</v>
      </c>
      <c r="J53" s="31">
        <f>VLOOKUP($F53&amp;$G53,Composite!$A$5:$Q$841,J$3,FALSE)*VLOOKUP($C53,[3]!ExistingSat,MATCH($A53,[3]SATS!$C$10:$F$10,0)+1,FALSE)</f>
        <v>377.54005462962965</v>
      </c>
      <c r="K53" s="31">
        <f>VLOOKUP($F53&amp;$G53,Composite!$A$5:$Q$841,K$3,FALSE)*VLOOKUP($C53,[3]!ExistingSat,MATCH($A53,[3]SATS!$C$10:$F$10,0)+1,FALSE)</f>
        <v>0</v>
      </c>
      <c r="L53" t="str">
        <f>VLOOKUP($F53&amp;$G53,Composite!$A$5:$Q$841,L$3,FALSE)</f>
        <v>ResSHWX</v>
      </c>
      <c r="M53" s="31">
        <f>VLOOKUP($F53&amp;$G53,Composite!$A$5:$Q$841,M$3,FALSE)*VLOOKUP($C53,[3]!ExistingSat,MATCH($A53,[3]SATS!$C$10:$F$10,0)+1,FALSE)</f>
        <v>0</v>
      </c>
      <c r="N53" s="31">
        <f>VLOOKUP($F53&amp;$G53,Composite!$A$5:$Q$841,N$3,FALSE)*VLOOKUP($C53,[3]!ExistingSat,MATCH($A53,[3]SATS!$C$10:$F$10,0)+1,FALSE)</f>
        <v>0</v>
      </c>
      <c r="O53">
        <f>VLOOKUP($F53&amp;$G53,Composite!$A$5:$Q$841,O$3,FALSE)</f>
        <v>0</v>
      </c>
      <c r="P53" s="31">
        <f>VLOOKUP($F53&amp;$G53,Composite!$A$5:$Q$841,P$3,FALSE)*VLOOKUP($C53,[3]!ExistingSat,MATCH($A53,[3]SATS!$C$10:$F$10,0)+1,FALSE)</f>
        <v>0</v>
      </c>
      <c r="Q53">
        <f>VLOOKUP($F53&amp;$G53,Composite!$A$5:$Q$841,Q$3,FALSE)</f>
        <v>0</v>
      </c>
      <c r="R53" s="31">
        <f>VLOOKUP($F53&amp;$G53,Composite!$A$5:$Q$841,R$3,FALSE)*VLOOKUP($C53,[3]!ExistingSat,MATCH($A53,[3]SATS!$C$10:$F$10,0)+1,FALSE)</f>
        <v>0</v>
      </c>
      <c r="S53">
        <f>VLOOKUP($F53&amp;$G53,Composite!$A$5:$Q$841,S$3,FALSE)</f>
        <v>0</v>
      </c>
      <c r="T53" s="31">
        <f>VLOOKUP($F53&amp;$G53,Composite!$A$5:$Q$841,T$3,FALSE)*VLOOKUP($C53,[3]!ExistingSat,MATCH($A53,[3]SATS!$C$10:$F$10,0)+1,FALSE)</f>
        <v>0</v>
      </c>
    </row>
    <row r="54" spans="1:20">
      <c r="A54" t="s">
        <v>87</v>
      </c>
      <c r="B54" t="s">
        <v>76</v>
      </c>
      <c r="C54" t="s">
        <v>27</v>
      </c>
      <c r="D54" t="s">
        <v>59</v>
      </c>
      <c r="E54" t="str">
        <f t="shared" si="1"/>
        <v>Electric FAFHZ1WINDOW CL22 Prime Window Replacement of Single Pane Base</v>
      </c>
      <c r="F54" s="31" t="str">
        <f>Composite!B53</f>
        <v>Windows - Single Pane to Class 22 - Heating Zone 1 (Electric FAF Heating System)</v>
      </c>
      <c r="G54" s="31" t="str">
        <f>Composite!C53</f>
        <v>WINDOW CL22 Prime Window Replacement of Single Pane Base</v>
      </c>
      <c r="H54" s="31">
        <f>VLOOKUP($F54&amp;$G54,Composite!$A$5:$Q$841,H$3,FALSE)*VLOOKUP($C54,[3]!ExistingSat,MATCH($A54,[3]SATS!$C$10:$F$10,0)+1,FALSE)</f>
        <v>4065.806191421078</v>
      </c>
      <c r="I54">
        <f>VLOOKUP($F54&amp;$G54,Composite!$A$5:$Q$841,I$3,FALSE)</f>
        <v>45</v>
      </c>
      <c r="J54" s="31">
        <f>VLOOKUP($F54&amp;$G54,Composite!$A$5:$Q$841,J$3,FALSE)*VLOOKUP($C54,[3]!ExistingSat,MATCH($A54,[3]SATS!$C$10:$F$10,0)+1,FALSE)</f>
        <v>4101.7368570659019</v>
      </c>
      <c r="K54" s="31">
        <f>VLOOKUP($F54&amp;$G54,Composite!$A$5:$Q$841,K$3,FALSE)*VLOOKUP($C54,[3]!ExistingSat,MATCH($A54,[3]SATS!$C$10:$F$10,0)+1,FALSE)</f>
        <v>0</v>
      </c>
      <c r="L54" t="str">
        <f>VLOOKUP($F54&amp;$G54,Composite!$A$5:$Q$841,L$3,FALSE)</f>
        <v>ResSHWX</v>
      </c>
      <c r="M54" s="31">
        <f>VLOOKUP($F54&amp;$G54,Composite!$A$5:$Q$841,M$3,FALSE)*VLOOKUP($C54,[3]!ExistingSat,MATCH($A54,[3]SATS!$C$10:$F$10,0)+1,FALSE)</f>
        <v>0</v>
      </c>
      <c r="N54" s="31">
        <f>VLOOKUP($F54&amp;$G54,Composite!$A$5:$Q$841,N$3,FALSE)*VLOOKUP($C54,[3]!ExistingSat,MATCH($A54,[3]SATS!$C$10:$F$10,0)+1,FALSE)</f>
        <v>0</v>
      </c>
      <c r="O54">
        <f>VLOOKUP($F54&amp;$G54,Composite!$A$5:$Q$841,O$3,FALSE)</f>
        <v>0</v>
      </c>
      <c r="P54" s="31">
        <f>VLOOKUP($F54&amp;$G54,Composite!$A$5:$Q$841,P$3,FALSE)*VLOOKUP($C54,[3]!ExistingSat,MATCH($A54,[3]SATS!$C$10:$F$10,0)+1,FALSE)</f>
        <v>0</v>
      </c>
      <c r="Q54">
        <f>VLOOKUP($F54&amp;$G54,Composite!$A$5:$Q$841,Q$3,FALSE)</f>
        <v>0</v>
      </c>
      <c r="R54" s="31">
        <f>VLOOKUP($F54&amp;$G54,Composite!$A$5:$Q$841,R$3,FALSE)*VLOOKUP($C54,[3]!ExistingSat,MATCH($A54,[3]SATS!$C$10:$F$10,0)+1,FALSE)</f>
        <v>0</v>
      </c>
      <c r="S54">
        <f>VLOOKUP($F54&amp;$G54,Composite!$A$5:$Q$841,S$3,FALSE)</f>
        <v>0</v>
      </c>
      <c r="T54" s="31">
        <f>VLOOKUP($F54&amp;$G54,Composite!$A$5:$Q$841,T$3,FALSE)*VLOOKUP($C54,[3]!ExistingSat,MATCH($A54,[3]SATS!$C$10:$F$10,0)+1,FALSE)</f>
        <v>0</v>
      </c>
    </row>
    <row r="55" spans="1:20">
      <c r="A55" t="s">
        <v>87</v>
      </c>
      <c r="B55" t="s">
        <v>76</v>
      </c>
      <c r="C55" t="s">
        <v>27</v>
      </c>
      <c r="D55" t="s">
        <v>59</v>
      </c>
      <c r="E55" t="str">
        <f t="shared" si="1"/>
        <v>Electric FAFHZ1WINDOW CL22 Prime Window Replacement of Double Pane Base</v>
      </c>
      <c r="F55" s="31" t="str">
        <f>Composite!B54</f>
        <v>Windows - Double Pane to Class 22 - Heating Zone 1 (Electric FAF Heating System)</v>
      </c>
      <c r="G55" s="31" t="str">
        <f>Composite!C54</f>
        <v>WINDOW CL22 Prime Window Replacement of Double Pane Base</v>
      </c>
      <c r="H55" s="31">
        <f>VLOOKUP($F55&amp;$G55,Composite!$A$5:$Q$841,H$3,FALSE)*VLOOKUP($C55,[3]!ExistingSat,MATCH($A55,[3]SATS!$C$10:$F$10,0)+1,FALSE)</f>
        <v>2379.0578507099417</v>
      </c>
      <c r="I55">
        <f>VLOOKUP($F55&amp;$G55,Composite!$A$5:$Q$841,I$3,FALSE)</f>
        <v>45</v>
      </c>
      <c r="J55" s="31">
        <f>VLOOKUP($F55&amp;$G55,Composite!$A$5:$Q$841,J$3,FALSE)*VLOOKUP($C55,[3]!ExistingSat,MATCH($A55,[3]SATS!$C$10:$F$10,0)+1,FALSE)</f>
        <v>4101.7368570659019</v>
      </c>
      <c r="K55" s="31">
        <f>VLOOKUP($F55&amp;$G55,Composite!$A$5:$Q$841,K$3,FALSE)*VLOOKUP($C55,[3]!ExistingSat,MATCH($A55,[3]SATS!$C$10:$F$10,0)+1,FALSE)</f>
        <v>0</v>
      </c>
      <c r="L55" t="str">
        <f>VLOOKUP($F55&amp;$G55,Composite!$A$5:$Q$841,L$3,FALSE)</f>
        <v>ResSHWX</v>
      </c>
      <c r="M55" s="31">
        <f>VLOOKUP($F55&amp;$G55,Composite!$A$5:$Q$841,M$3,FALSE)*VLOOKUP($C55,[3]!ExistingSat,MATCH($A55,[3]SATS!$C$10:$F$10,0)+1,FALSE)</f>
        <v>0</v>
      </c>
      <c r="N55" s="31">
        <f>VLOOKUP($F55&amp;$G55,Composite!$A$5:$Q$841,N$3,FALSE)*VLOOKUP($C55,[3]!ExistingSat,MATCH($A55,[3]SATS!$C$10:$F$10,0)+1,FALSE)</f>
        <v>0</v>
      </c>
      <c r="O55">
        <f>VLOOKUP($F55&amp;$G55,Composite!$A$5:$Q$841,O$3,FALSE)</f>
        <v>0</v>
      </c>
      <c r="P55" s="31">
        <f>VLOOKUP($F55&amp;$G55,Composite!$A$5:$Q$841,P$3,FALSE)*VLOOKUP($C55,[3]!ExistingSat,MATCH($A55,[3]SATS!$C$10:$F$10,0)+1,FALSE)</f>
        <v>0</v>
      </c>
      <c r="Q55">
        <f>VLOOKUP($F55&amp;$G55,Composite!$A$5:$Q$841,Q$3,FALSE)</f>
        <v>0</v>
      </c>
      <c r="R55" s="31">
        <f>VLOOKUP($F55&amp;$G55,Composite!$A$5:$Q$841,R$3,FALSE)*VLOOKUP($C55,[3]!ExistingSat,MATCH($A55,[3]SATS!$C$10:$F$10,0)+1,FALSE)</f>
        <v>0</v>
      </c>
      <c r="S55">
        <f>VLOOKUP($F55&amp;$G55,Composite!$A$5:$Q$841,S$3,FALSE)</f>
        <v>0</v>
      </c>
      <c r="T55" s="31">
        <f>VLOOKUP($F55&amp;$G55,Composite!$A$5:$Q$841,T$3,FALSE)*VLOOKUP($C55,[3]!ExistingSat,MATCH($A55,[3]SATS!$C$10:$F$10,0)+1,FALSE)</f>
        <v>0</v>
      </c>
    </row>
    <row r="56" spans="1:20">
      <c r="A56" t="s">
        <v>87</v>
      </c>
      <c r="B56" t="s">
        <v>76</v>
      </c>
      <c r="C56" t="s">
        <v>27</v>
      </c>
      <c r="D56" t="s">
        <v>59</v>
      </c>
      <c r="E56" t="str">
        <f t="shared" si="1"/>
        <v>Electric FAFHZ1WINDOW CL30 Prime Window Replacement of Single Pane Base</v>
      </c>
      <c r="F56" s="31" t="str">
        <f>Composite!B55</f>
        <v>Windows - Single Pane to Class 30 - Heating Zone 1 (Electric FAF Heating System)</v>
      </c>
      <c r="G56" s="31" t="str">
        <f>Composite!C55</f>
        <v>WINDOW CL30 Prime Window Replacement of Single Pane Base</v>
      </c>
      <c r="H56" s="31">
        <f>VLOOKUP($F56&amp;$G56,Composite!$A$5:$Q$841,H$3,FALSE)*VLOOKUP($C56,[3]!ExistingSat,MATCH($A56,[3]SATS!$C$10:$F$10,0)+1,FALSE)</f>
        <v>3743.6189487666979</v>
      </c>
      <c r="I56">
        <f>VLOOKUP($F56&amp;$G56,Composite!$A$5:$Q$841,I$3,FALSE)</f>
        <v>45</v>
      </c>
      <c r="J56" s="31">
        <f>VLOOKUP($F56&amp;$G56,Composite!$A$5:$Q$841,J$3,FALSE)*VLOOKUP($C56,[3]!ExistingSat,MATCH($A56,[3]SATS!$C$10:$F$10,0)+1,FALSE)</f>
        <v>3865.0968570659024</v>
      </c>
      <c r="K56" s="31">
        <f>VLOOKUP($F56&amp;$G56,Composite!$A$5:$Q$841,K$3,FALSE)*VLOOKUP($C56,[3]!ExistingSat,MATCH($A56,[3]SATS!$C$10:$F$10,0)+1,FALSE)</f>
        <v>0</v>
      </c>
      <c r="L56" t="str">
        <f>VLOOKUP($F56&amp;$G56,Composite!$A$5:$Q$841,L$3,FALSE)</f>
        <v>ResSHWX</v>
      </c>
      <c r="M56" s="31">
        <f>VLOOKUP($F56&amp;$G56,Composite!$A$5:$Q$841,M$3,FALSE)*VLOOKUP($C56,[3]!ExistingSat,MATCH($A56,[3]SATS!$C$10:$F$10,0)+1,FALSE)</f>
        <v>0</v>
      </c>
      <c r="N56" s="31">
        <f>VLOOKUP($F56&amp;$G56,Composite!$A$5:$Q$841,N$3,FALSE)*VLOOKUP($C56,[3]!ExistingSat,MATCH($A56,[3]SATS!$C$10:$F$10,0)+1,FALSE)</f>
        <v>0</v>
      </c>
      <c r="O56">
        <f>VLOOKUP($F56&amp;$G56,Composite!$A$5:$Q$841,O$3,FALSE)</f>
        <v>0</v>
      </c>
      <c r="P56" s="31">
        <f>VLOOKUP($F56&amp;$G56,Composite!$A$5:$Q$841,P$3,FALSE)*VLOOKUP($C56,[3]!ExistingSat,MATCH($A56,[3]SATS!$C$10:$F$10,0)+1,FALSE)</f>
        <v>0</v>
      </c>
      <c r="Q56">
        <f>VLOOKUP($F56&amp;$G56,Composite!$A$5:$Q$841,Q$3,FALSE)</f>
        <v>0</v>
      </c>
      <c r="R56" s="31">
        <f>VLOOKUP($F56&amp;$G56,Composite!$A$5:$Q$841,R$3,FALSE)*VLOOKUP($C56,[3]!ExistingSat,MATCH($A56,[3]SATS!$C$10:$F$10,0)+1,FALSE)</f>
        <v>0</v>
      </c>
      <c r="S56">
        <f>VLOOKUP($F56&amp;$G56,Composite!$A$5:$Q$841,S$3,FALSE)</f>
        <v>0</v>
      </c>
      <c r="T56" s="31">
        <f>VLOOKUP($F56&amp;$G56,Composite!$A$5:$Q$841,T$3,FALSE)*VLOOKUP($C56,[3]!ExistingSat,MATCH($A56,[3]SATS!$C$10:$F$10,0)+1,FALSE)</f>
        <v>0</v>
      </c>
    </row>
    <row r="57" spans="1:20">
      <c r="A57" t="s">
        <v>87</v>
      </c>
      <c r="B57" t="s">
        <v>76</v>
      </c>
      <c r="C57" t="s">
        <v>27</v>
      </c>
      <c r="D57" t="s">
        <v>59</v>
      </c>
      <c r="E57" t="str">
        <f t="shared" si="1"/>
        <v>Electric FAFHZ1WINDOW CL30 Prime Window Replacement of Double Pane Base</v>
      </c>
      <c r="F57" s="31" t="str">
        <f>Composite!B56</f>
        <v>Windows - Double Pane to Class 30 - Heating Zone 1 (Electric FAF Heating System)</v>
      </c>
      <c r="G57" s="31" t="str">
        <f>Composite!C56</f>
        <v>WINDOW CL30 Prime Window Replacement of Double Pane Base</v>
      </c>
      <c r="H57" s="31">
        <f>VLOOKUP($F57&amp;$G57,Composite!$A$5:$Q$841,H$3,FALSE)*VLOOKUP($C57,[3]!ExistingSat,MATCH($A57,[3]SATS!$C$10:$F$10,0)+1,FALSE)</f>
        <v>2056.8706080555621</v>
      </c>
      <c r="I57">
        <f>VLOOKUP($F57&amp;$G57,Composite!$A$5:$Q$841,I$3,FALSE)</f>
        <v>45</v>
      </c>
      <c r="J57" s="31">
        <f>VLOOKUP($F57&amp;$G57,Composite!$A$5:$Q$841,J$3,FALSE)*VLOOKUP($C57,[3]!ExistingSat,MATCH($A57,[3]SATS!$C$10:$F$10,0)+1,FALSE)</f>
        <v>3865.0968570659024</v>
      </c>
      <c r="K57" s="31">
        <f>VLOOKUP($F57&amp;$G57,Composite!$A$5:$Q$841,K$3,FALSE)*VLOOKUP($C57,[3]!ExistingSat,MATCH($A57,[3]SATS!$C$10:$F$10,0)+1,FALSE)</f>
        <v>0</v>
      </c>
      <c r="L57" t="str">
        <f>VLOOKUP($F57&amp;$G57,Composite!$A$5:$Q$841,L$3,FALSE)</f>
        <v>ResSHWX</v>
      </c>
      <c r="M57" s="31">
        <f>VLOOKUP($F57&amp;$G57,Composite!$A$5:$Q$841,M$3,FALSE)*VLOOKUP($C57,[3]!ExistingSat,MATCH($A57,[3]SATS!$C$10:$F$10,0)+1,FALSE)</f>
        <v>0</v>
      </c>
      <c r="N57" s="31">
        <f>VLOOKUP($F57&amp;$G57,Composite!$A$5:$Q$841,N$3,FALSE)*VLOOKUP($C57,[3]!ExistingSat,MATCH($A57,[3]SATS!$C$10:$F$10,0)+1,FALSE)</f>
        <v>0</v>
      </c>
      <c r="O57">
        <f>VLOOKUP($F57&amp;$G57,Composite!$A$5:$Q$841,O$3,FALSE)</f>
        <v>0</v>
      </c>
      <c r="P57" s="31">
        <f>VLOOKUP($F57&amp;$G57,Composite!$A$5:$Q$841,P$3,FALSE)*VLOOKUP($C57,[3]!ExistingSat,MATCH($A57,[3]SATS!$C$10:$F$10,0)+1,FALSE)</f>
        <v>0</v>
      </c>
      <c r="Q57">
        <f>VLOOKUP($F57&amp;$G57,Composite!$A$5:$Q$841,Q$3,FALSE)</f>
        <v>0</v>
      </c>
      <c r="R57" s="31">
        <f>VLOOKUP($F57&amp;$G57,Composite!$A$5:$Q$841,R$3,FALSE)*VLOOKUP($C57,[3]!ExistingSat,MATCH($A57,[3]SATS!$C$10:$F$10,0)+1,FALSE)</f>
        <v>0</v>
      </c>
      <c r="S57">
        <f>VLOOKUP($F57&amp;$G57,Composite!$A$5:$Q$841,S$3,FALSE)</f>
        <v>0</v>
      </c>
      <c r="T57" s="31">
        <f>VLOOKUP($F57&amp;$G57,Composite!$A$5:$Q$841,T$3,FALSE)*VLOOKUP($C57,[3]!ExistingSat,MATCH($A57,[3]SATS!$C$10:$F$10,0)+1,FALSE)</f>
        <v>0</v>
      </c>
    </row>
    <row r="58" spans="1:20">
      <c r="A58" t="s">
        <v>87</v>
      </c>
      <c r="B58" t="s">
        <v>76</v>
      </c>
      <c r="C58" t="s">
        <v>63</v>
      </c>
      <c r="D58" t="s">
        <v>60</v>
      </c>
      <c r="E58" t="str">
        <f t="shared" si="1"/>
        <v>Electric FAFHZ2WALL R0 - R11</v>
      </c>
      <c r="F58" s="31" t="str">
        <f>Composite!B57</f>
        <v>Multi Family Weatherization - Insulate Walls - R-0 to R-11 - Heating Zone 2 (Electric FAF Heating System)</v>
      </c>
      <c r="G58" s="31" t="str">
        <f>Composite!C57</f>
        <v>WALL R0 - R11</v>
      </c>
      <c r="H58" s="31">
        <f>VLOOKUP($F58&amp;$G58,Composite!$A$5:$Q$841,H$3,FALSE)*VLOOKUP($C58,[3]!ExistingSat,MATCH($A58,[3]SATS!$C$10:$F$10,0)+1,FALSE)</f>
        <v>869.01301765065284</v>
      </c>
      <c r="I58">
        <f>VLOOKUP($F58&amp;$G58,Composite!$A$5:$Q$841,I$3,FALSE)</f>
        <v>45</v>
      </c>
      <c r="J58" s="31">
        <f>VLOOKUP($F58&amp;$G58,Composite!$A$5:$Q$841,J$3,FALSE)*VLOOKUP($C58,[3]!ExistingSat,MATCH($A58,[3]SATS!$C$10:$F$10,0)+1,FALSE)</f>
        <v>414.11354893012168</v>
      </c>
      <c r="K58" s="31">
        <f>VLOOKUP($F58&amp;$G58,Composite!$A$5:$Q$841,K$3,FALSE)*VLOOKUP($C58,[3]!ExistingSat,MATCH($A58,[3]SATS!$C$10:$F$10,0)+1,FALSE)</f>
        <v>0</v>
      </c>
      <c r="L58" t="str">
        <f>VLOOKUP($F58&amp;$G58,Composite!$A$5:$Q$841,L$3,FALSE)</f>
        <v>ResSHWX</v>
      </c>
      <c r="M58" s="31">
        <f>VLOOKUP($F58&amp;$G58,Composite!$A$5:$Q$841,M$3,FALSE)*VLOOKUP($C58,[3]!ExistingSat,MATCH($A58,[3]SATS!$C$10:$F$10,0)+1,FALSE)</f>
        <v>0</v>
      </c>
      <c r="N58" s="31">
        <f>VLOOKUP($F58&amp;$G58,Composite!$A$5:$Q$841,N$3,FALSE)*VLOOKUP($C58,[3]!ExistingSat,MATCH($A58,[3]SATS!$C$10:$F$10,0)+1,FALSE)</f>
        <v>0</v>
      </c>
      <c r="O58">
        <f>VLOOKUP($F58&amp;$G58,Composite!$A$5:$Q$841,O$3,FALSE)</f>
        <v>0</v>
      </c>
      <c r="P58" s="31">
        <f>VLOOKUP($F58&amp;$G58,Composite!$A$5:$Q$841,P$3,FALSE)*VLOOKUP($C58,[3]!ExistingSat,MATCH($A58,[3]SATS!$C$10:$F$10,0)+1,FALSE)</f>
        <v>0</v>
      </c>
      <c r="Q58">
        <f>VLOOKUP($F58&amp;$G58,Composite!$A$5:$Q$841,Q$3,FALSE)</f>
        <v>0</v>
      </c>
      <c r="R58" s="31">
        <f>VLOOKUP($F58&amp;$G58,Composite!$A$5:$Q$841,R$3,FALSE)*VLOOKUP($C58,[3]!ExistingSat,MATCH($A58,[3]SATS!$C$10:$F$10,0)+1,FALSE)</f>
        <v>0</v>
      </c>
      <c r="S58">
        <f>VLOOKUP($F58&amp;$G58,Composite!$A$5:$Q$841,S$3,FALSE)</f>
        <v>0</v>
      </c>
      <c r="T58" s="31">
        <f>VLOOKUP($F58&amp;$G58,Composite!$A$5:$Q$841,T$3,FALSE)*VLOOKUP($C58,[3]!ExistingSat,MATCH($A58,[3]SATS!$C$10:$F$10,0)+1,FALSE)</f>
        <v>0</v>
      </c>
    </row>
    <row r="59" spans="1:20">
      <c r="A59" t="s">
        <v>87</v>
      </c>
      <c r="B59" t="s">
        <v>76</v>
      </c>
      <c r="C59" t="s">
        <v>26</v>
      </c>
      <c r="D59" t="s">
        <v>60</v>
      </c>
      <c r="E59" t="str">
        <f t="shared" si="1"/>
        <v>Electric FAFHZ2FLOOR R0 - R19</v>
      </c>
      <c r="F59" s="31" t="str">
        <f>Composite!B58</f>
        <v>Multi Family Weatherization - Insulate Floors - R-0 to R-19 - Heating Zone 2 (Electric FAF Heating System)</v>
      </c>
      <c r="G59" s="31" t="str">
        <f>Composite!C58</f>
        <v>FLOOR R0 - R19</v>
      </c>
      <c r="H59" s="31">
        <f>VLOOKUP($F59&amp;$G59,Composite!$A$5:$Q$841,H$3,FALSE)*VLOOKUP($C59,[3]!ExistingSat,MATCH($A59,[3]SATS!$C$10:$F$10,0)+1,FALSE)</f>
        <v>272.18333111071092</v>
      </c>
      <c r="I59">
        <f>VLOOKUP($F59&amp;$G59,Composite!$A$5:$Q$841,I$3,FALSE)</f>
        <v>45</v>
      </c>
      <c r="J59" s="31">
        <f>VLOOKUP($F59&amp;$G59,Composite!$A$5:$Q$841,J$3,FALSE)*VLOOKUP($C59,[3]!ExistingSat,MATCH($A59,[3]SATS!$C$10:$F$10,0)+1,FALSE)</f>
        <v>436.41697398915824</v>
      </c>
      <c r="K59" s="31">
        <f>VLOOKUP($F59&amp;$G59,Composite!$A$5:$Q$841,K$3,FALSE)*VLOOKUP($C59,[3]!ExistingSat,MATCH($A59,[3]SATS!$C$10:$F$10,0)+1,FALSE)</f>
        <v>0</v>
      </c>
      <c r="L59" t="str">
        <f>VLOOKUP($F59&amp;$G59,Composite!$A$5:$Q$841,L$3,FALSE)</f>
        <v>ResSHWX</v>
      </c>
      <c r="M59" s="31">
        <f>VLOOKUP($F59&amp;$G59,Composite!$A$5:$Q$841,M$3,FALSE)*VLOOKUP($C59,[3]!ExistingSat,MATCH($A59,[3]SATS!$C$10:$F$10,0)+1,FALSE)</f>
        <v>0</v>
      </c>
      <c r="N59" s="31">
        <f>VLOOKUP($F59&amp;$G59,Composite!$A$5:$Q$841,N$3,FALSE)*VLOOKUP($C59,[3]!ExistingSat,MATCH($A59,[3]SATS!$C$10:$F$10,0)+1,FALSE)</f>
        <v>0</v>
      </c>
      <c r="O59">
        <f>VLOOKUP($F59&amp;$G59,Composite!$A$5:$Q$841,O$3,FALSE)</f>
        <v>0</v>
      </c>
      <c r="P59" s="31">
        <f>VLOOKUP($F59&amp;$G59,Composite!$A$5:$Q$841,P$3,FALSE)*VLOOKUP($C59,[3]!ExistingSat,MATCH($A59,[3]SATS!$C$10:$F$10,0)+1,FALSE)</f>
        <v>0</v>
      </c>
      <c r="Q59">
        <f>VLOOKUP($F59&amp;$G59,Composite!$A$5:$Q$841,Q$3,FALSE)</f>
        <v>0</v>
      </c>
      <c r="R59" s="31">
        <f>VLOOKUP($F59&amp;$G59,Composite!$A$5:$Q$841,R$3,FALSE)*VLOOKUP($C59,[3]!ExistingSat,MATCH($A59,[3]SATS!$C$10:$F$10,0)+1,FALSE)</f>
        <v>0</v>
      </c>
      <c r="S59">
        <f>VLOOKUP($F59&amp;$G59,Composite!$A$5:$Q$841,S$3,FALSE)</f>
        <v>0</v>
      </c>
      <c r="T59" s="31">
        <f>VLOOKUP($F59&amp;$G59,Composite!$A$5:$Q$841,T$3,FALSE)*VLOOKUP($C59,[3]!ExistingSat,MATCH($A59,[3]SATS!$C$10:$F$10,0)+1,FALSE)</f>
        <v>0</v>
      </c>
    </row>
    <row r="60" spans="1:20">
      <c r="A60" t="s">
        <v>87</v>
      </c>
      <c r="B60" t="s">
        <v>76</v>
      </c>
      <c r="C60" t="s">
        <v>26</v>
      </c>
      <c r="D60" t="s">
        <v>60</v>
      </c>
      <c r="E60" t="str">
        <f t="shared" si="1"/>
        <v>Electric FAFHZ2FLOOR R0 - R30</v>
      </c>
      <c r="F60" s="31" t="str">
        <f>Composite!B59</f>
        <v>Multi Family Weatherization - Insulate Floors - R-0 to R-30 - Heating Zone 2 (Electric FAF Heating System)</v>
      </c>
      <c r="G60" s="31" t="str">
        <f>Composite!C59</f>
        <v>FLOOR R0 - R30</v>
      </c>
      <c r="H60" s="31">
        <f>VLOOKUP($F60&amp;$G60,Composite!$A$5:$Q$841,H$3,FALSE)*VLOOKUP($C60,[3]!ExistingSat,MATCH($A60,[3]SATS!$C$10:$F$10,0)+1,FALSE)</f>
        <v>355.07690862770454</v>
      </c>
      <c r="I60">
        <f>VLOOKUP($F60&amp;$G60,Composite!$A$5:$Q$841,I$3,FALSE)</f>
        <v>45</v>
      </c>
      <c r="J60" s="31">
        <f>VLOOKUP($F60&amp;$G60,Composite!$A$5:$Q$841,J$3,FALSE)*VLOOKUP($C60,[3]!ExistingSat,MATCH($A60,[3]SATS!$C$10:$F$10,0)+1,FALSE)</f>
        <v>689.07943261446042</v>
      </c>
      <c r="K60" s="31">
        <f>VLOOKUP($F60&amp;$G60,Composite!$A$5:$Q$841,K$3,FALSE)*VLOOKUP($C60,[3]!ExistingSat,MATCH($A60,[3]SATS!$C$10:$F$10,0)+1,FALSE)</f>
        <v>0</v>
      </c>
      <c r="L60" t="str">
        <f>VLOOKUP($F60&amp;$G60,Composite!$A$5:$Q$841,L$3,FALSE)</f>
        <v>ResSHWX</v>
      </c>
      <c r="M60" s="31">
        <f>VLOOKUP($F60&amp;$G60,Composite!$A$5:$Q$841,M$3,FALSE)*VLOOKUP($C60,[3]!ExistingSat,MATCH($A60,[3]SATS!$C$10:$F$10,0)+1,FALSE)</f>
        <v>0</v>
      </c>
      <c r="N60" s="31">
        <f>VLOOKUP($F60&amp;$G60,Composite!$A$5:$Q$841,N$3,FALSE)*VLOOKUP($C60,[3]!ExistingSat,MATCH($A60,[3]SATS!$C$10:$F$10,0)+1,FALSE)</f>
        <v>0</v>
      </c>
      <c r="O60">
        <f>VLOOKUP($F60&amp;$G60,Composite!$A$5:$Q$841,O$3,FALSE)</f>
        <v>0</v>
      </c>
      <c r="P60" s="31">
        <f>VLOOKUP($F60&amp;$G60,Composite!$A$5:$Q$841,P$3,FALSE)*VLOOKUP($C60,[3]!ExistingSat,MATCH($A60,[3]SATS!$C$10:$F$10,0)+1,FALSE)</f>
        <v>0</v>
      </c>
      <c r="Q60">
        <f>VLOOKUP($F60&amp;$G60,Composite!$A$5:$Q$841,Q$3,FALSE)</f>
        <v>0</v>
      </c>
      <c r="R60" s="31">
        <f>VLOOKUP($F60&amp;$G60,Composite!$A$5:$Q$841,R$3,FALSE)*VLOOKUP($C60,[3]!ExistingSat,MATCH($A60,[3]SATS!$C$10:$F$10,0)+1,FALSE)</f>
        <v>0</v>
      </c>
      <c r="S60">
        <f>VLOOKUP($F60&amp;$G60,Composite!$A$5:$Q$841,S$3,FALSE)</f>
        <v>0</v>
      </c>
      <c r="T60" s="31">
        <f>VLOOKUP($F60&amp;$G60,Composite!$A$5:$Q$841,T$3,FALSE)*VLOOKUP($C60,[3]!ExistingSat,MATCH($A60,[3]SATS!$C$10:$F$10,0)+1,FALSE)</f>
        <v>0</v>
      </c>
    </row>
    <row r="61" spans="1:20">
      <c r="A61" t="s">
        <v>87</v>
      </c>
      <c r="B61" t="s">
        <v>76</v>
      </c>
      <c r="C61" t="s">
        <v>28</v>
      </c>
      <c r="D61" t="s">
        <v>60</v>
      </c>
      <c r="E61" t="str">
        <f t="shared" si="1"/>
        <v>Electric FAFHZ2ATTIC R0 - R19</v>
      </c>
      <c r="F61" s="31" t="str">
        <f>Composite!B60</f>
        <v>Multi Family Weatherization - Insulate Attic - R-0 to R-19 - Heating Zone 2 (Electric FAF Heating System)</v>
      </c>
      <c r="G61" s="31" t="str">
        <f>Composite!C60</f>
        <v>ATTIC R0 - R19</v>
      </c>
      <c r="H61" s="31">
        <f>VLOOKUP($F61&amp;$G61,Composite!$A$5:$Q$841,H$3,FALSE)*VLOOKUP($C61,[3]!ExistingSat,MATCH($A61,[3]SATS!$C$10:$F$10,0)+1,FALSE)</f>
        <v>195.2054449213162</v>
      </c>
      <c r="I61">
        <f>VLOOKUP($F61&amp;$G61,Composite!$A$5:$Q$841,I$3,FALSE)</f>
        <v>45</v>
      </c>
      <c r="J61" s="31">
        <f>VLOOKUP($F61&amp;$G61,Composite!$A$5:$Q$841,J$3,FALSE)*VLOOKUP($C61,[3]!ExistingSat,MATCH($A61,[3]SATS!$C$10:$F$10,0)+1,FALSE)</f>
        <v>239.1087012654321</v>
      </c>
      <c r="K61" s="31">
        <f>VLOOKUP($F61&amp;$G61,Composite!$A$5:$Q$841,K$3,FALSE)*VLOOKUP($C61,[3]!ExistingSat,MATCH($A61,[3]SATS!$C$10:$F$10,0)+1,FALSE)</f>
        <v>0</v>
      </c>
      <c r="L61" t="str">
        <f>VLOOKUP($F61&amp;$G61,Composite!$A$5:$Q$841,L$3,FALSE)</f>
        <v>ResSHWX</v>
      </c>
      <c r="M61" s="31">
        <f>VLOOKUP($F61&amp;$G61,Composite!$A$5:$Q$841,M$3,FALSE)*VLOOKUP($C61,[3]!ExistingSat,MATCH($A61,[3]SATS!$C$10:$F$10,0)+1,FALSE)</f>
        <v>0</v>
      </c>
      <c r="N61" s="31">
        <f>VLOOKUP($F61&amp;$G61,Composite!$A$5:$Q$841,N$3,FALSE)*VLOOKUP($C61,[3]!ExistingSat,MATCH($A61,[3]SATS!$C$10:$F$10,0)+1,FALSE)</f>
        <v>0</v>
      </c>
      <c r="O61">
        <f>VLOOKUP($F61&amp;$G61,Composite!$A$5:$Q$841,O$3,FALSE)</f>
        <v>0</v>
      </c>
      <c r="P61" s="31">
        <f>VLOOKUP($F61&amp;$G61,Composite!$A$5:$Q$841,P$3,FALSE)*VLOOKUP($C61,[3]!ExistingSat,MATCH($A61,[3]SATS!$C$10:$F$10,0)+1,FALSE)</f>
        <v>0</v>
      </c>
      <c r="Q61">
        <f>VLOOKUP($F61&amp;$G61,Composite!$A$5:$Q$841,Q$3,FALSE)</f>
        <v>0</v>
      </c>
      <c r="R61" s="31">
        <f>VLOOKUP($F61&amp;$G61,Composite!$A$5:$Q$841,R$3,FALSE)*VLOOKUP($C61,[3]!ExistingSat,MATCH($A61,[3]SATS!$C$10:$F$10,0)+1,FALSE)</f>
        <v>0</v>
      </c>
      <c r="S61">
        <f>VLOOKUP($F61&amp;$G61,Composite!$A$5:$Q$841,S$3,FALSE)</f>
        <v>0</v>
      </c>
      <c r="T61" s="31">
        <f>VLOOKUP($F61&amp;$G61,Composite!$A$5:$Q$841,T$3,FALSE)*VLOOKUP($C61,[3]!ExistingSat,MATCH($A61,[3]SATS!$C$10:$F$10,0)+1,FALSE)</f>
        <v>0</v>
      </c>
    </row>
    <row r="62" spans="1:20">
      <c r="A62" t="s">
        <v>87</v>
      </c>
      <c r="B62" t="s">
        <v>76</v>
      </c>
      <c r="C62" t="s">
        <v>28</v>
      </c>
      <c r="D62" t="s">
        <v>60</v>
      </c>
      <c r="E62" t="str">
        <f t="shared" si="1"/>
        <v>Electric FAFHZ2ATTIC R0 - R38</v>
      </c>
      <c r="F62" s="31" t="str">
        <f>Composite!B61</f>
        <v>Multi Family Weatherization - Insulate Attic - R-0 to R-38 - Heating Zone 2 (Electric FAF Heating System)</v>
      </c>
      <c r="G62" s="31" t="str">
        <f>Composite!C61</f>
        <v>ATTIC R0 - R38</v>
      </c>
      <c r="H62" s="31">
        <f>VLOOKUP($F62&amp;$G62,Composite!$A$5:$Q$841,H$3,FALSE)*VLOOKUP($C62,[3]!ExistingSat,MATCH($A62,[3]SATS!$C$10:$F$10,0)+1,FALSE)</f>
        <v>265.99928051726999</v>
      </c>
      <c r="I62">
        <f>VLOOKUP($F62&amp;$G62,Composite!$A$5:$Q$841,I$3,FALSE)</f>
        <v>45</v>
      </c>
      <c r="J62" s="31">
        <f>VLOOKUP($F62&amp;$G62,Composite!$A$5:$Q$841,J$3,FALSE)*VLOOKUP($C62,[3]!ExistingSat,MATCH($A62,[3]SATS!$C$10:$F$10,0)+1,FALSE)</f>
        <v>478.21740253086421</v>
      </c>
      <c r="K62" s="31">
        <f>VLOOKUP($F62&amp;$G62,Composite!$A$5:$Q$841,K$3,FALSE)*VLOOKUP($C62,[3]!ExistingSat,MATCH($A62,[3]SATS!$C$10:$F$10,0)+1,FALSE)</f>
        <v>0</v>
      </c>
      <c r="L62" t="str">
        <f>VLOOKUP($F62&amp;$G62,Composite!$A$5:$Q$841,L$3,FALSE)</f>
        <v>ResSHWX</v>
      </c>
      <c r="M62" s="31">
        <f>VLOOKUP($F62&amp;$G62,Composite!$A$5:$Q$841,M$3,FALSE)*VLOOKUP($C62,[3]!ExistingSat,MATCH($A62,[3]SATS!$C$10:$F$10,0)+1,FALSE)</f>
        <v>0</v>
      </c>
      <c r="N62" s="31">
        <f>VLOOKUP($F62&amp;$G62,Composite!$A$5:$Q$841,N$3,FALSE)*VLOOKUP($C62,[3]!ExistingSat,MATCH($A62,[3]SATS!$C$10:$F$10,0)+1,FALSE)</f>
        <v>0</v>
      </c>
      <c r="O62">
        <f>VLOOKUP($F62&amp;$G62,Composite!$A$5:$Q$841,O$3,FALSE)</f>
        <v>0</v>
      </c>
      <c r="P62" s="31">
        <f>VLOOKUP($F62&amp;$G62,Composite!$A$5:$Q$841,P$3,FALSE)*VLOOKUP($C62,[3]!ExistingSat,MATCH($A62,[3]SATS!$C$10:$F$10,0)+1,FALSE)</f>
        <v>0</v>
      </c>
      <c r="Q62">
        <f>VLOOKUP($F62&amp;$G62,Composite!$A$5:$Q$841,Q$3,FALSE)</f>
        <v>0</v>
      </c>
      <c r="R62" s="31">
        <f>VLOOKUP($F62&amp;$G62,Composite!$A$5:$Q$841,R$3,FALSE)*VLOOKUP($C62,[3]!ExistingSat,MATCH($A62,[3]SATS!$C$10:$F$10,0)+1,FALSE)</f>
        <v>0</v>
      </c>
      <c r="S62">
        <f>VLOOKUP($F62&amp;$G62,Composite!$A$5:$Q$841,S$3,FALSE)</f>
        <v>0</v>
      </c>
      <c r="T62" s="31">
        <f>VLOOKUP($F62&amp;$G62,Composite!$A$5:$Q$841,T$3,FALSE)*VLOOKUP($C62,[3]!ExistingSat,MATCH($A62,[3]SATS!$C$10:$F$10,0)+1,FALSE)</f>
        <v>0</v>
      </c>
    </row>
    <row r="63" spans="1:20">
      <c r="A63" t="s">
        <v>87</v>
      </c>
      <c r="B63" t="s">
        <v>76</v>
      </c>
      <c r="C63" t="s">
        <v>28</v>
      </c>
      <c r="D63" t="s">
        <v>60</v>
      </c>
      <c r="E63" t="str">
        <f t="shared" si="1"/>
        <v>Electric FAFHZ2ATTIC R0 - R49</v>
      </c>
      <c r="F63" s="31" t="str">
        <f>Composite!B62</f>
        <v>Multi Family Weatherization - Insulate Attic - R-0 to R-49 - Heating Zone 2 (Electric FAF Heating System)</v>
      </c>
      <c r="G63" s="31" t="str">
        <f>Composite!C62</f>
        <v>ATTIC R0 - R49</v>
      </c>
      <c r="H63" s="31">
        <f>VLOOKUP($F63&amp;$G63,Composite!$A$5:$Q$841,H$3,FALSE)*VLOOKUP($C63,[3]!ExistingSat,MATCH($A63,[3]SATS!$C$10:$F$10,0)+1,FALSE)</f>
        <v>282.4389869308514</v>
      </c>
      <c r="I63">
        <f>VLOOKUP($F63&amp;$G63,Composite!$A$5:$Q$841,I$3,FALSE)</f>
        <v>45</v>
      </c>
      <c r="J63" s="31">
        <f>VLOOKUP($F63&amp;$G63,Composite!$A$5:$Q$841,J$3,FALSE)*VLOOKUP($C63,[3]!ExistingSat,MATCH($A63,[3]SATS!$C$10:$F$10,0)+1,FALSE)</f>
        <v>616.64875589506175</v>
      </c>
      <c r="K63" s="31">
        <f>VLOOKUP($F63&amp;$G63,Composite!$A$5:$Q$841,K$3,FALSE)*VLOOKUP($C63,[3]!ExistingSat,MATCH($A63,[3]SATS!$C$10:$F$10,0)+1,FALSE)</f>
        <v>0</v>
      </c>
      <c r="L63" t="str">
        <f>VLOOKUP($F63&amp;$G63,Composite!$A$5:$Q$841,L$3,FALSE)</f>
        <v>ResSHWX</v>
      </c>
      <c r="M63" s="31">
        <f>VLOOKUP($F63&amp;$G63,Composite!$A$5:$Q$841,M$3,FALSE)*VLOOKUP($C63,[3]!ExistingSat,MATCH($A63,[3]SATS!$C$10:$F$10,0)+1,FALSE)</f>
        <v>0</v>
      </c>
      <c r="N63" s="31">
        <f>VLOOKUP($F63&amp;$G63,Composite!$A$5:$Q$841,N$3,FALSE)*VLOOKUP($C63,[3]!ExistingSat,MATCH($A63,[3]SATS!$C$10:$F$10,0)+1,FALSE)</f>
        <v>0</v>
      </c>
      <c r="O63">
        <f>VLOOKUP($F63&amp;$G63,Composite!$A$5:$Q$841,O$3,FALSE)</f>
        <v>0</v>
      </c>
      <c r="P63" s="31">
        <f>VLOOKUP($F63&amp;$G63,Composite!$A$5:$Q$841,P$3,FALSE)*VLOOKUP($C63,[3]!ExistingSat,MATCH($A63,[3]SATS!$C$10:$F$10,0)+1,FALSE)</f>
        <v>0</v>
      </c>
      <c r="Q63">
        <f>VLOOKUP($F63&amp;$G63,Composite!$A$5:$Q$841,Q$3,FALSE)</f>
        <v>0</v>
      </c>
      <c r="R63" s="31">
        <f>VLOOKUP($F63&amp;$G63,Composite!$A$5:$Q$841,R$3,FALSE)*VLOOKUP($C63,[3]!ExistingSat,MATCH($A63,[3]SATS!$C$10:$F$10,0)+1,FALSE)</f>
        <v>0</v>
      </c>
      <c r="S63">
        <f>VLOOKUP($F63&amp;$G63,Composite!$A$5:$Q$841,S$3,FALSE)</f>
        <v>0</v>
      </c>
      <c r="T63" s="31">
        <f>VLOOKUP($F63&amp;$G63,Composite!$A$5:$Q$841,T$3,FALSE)*VLOOKUP($C63,[3]!ExistingSat,MATCH($A63,[3]SATS!$C$10:$F$10,0)+1,FALSE)</f>
        <v>0</v>
      </c>
    </row>
    <row r="64" spans="1:20">
      <c r="A64" t="s">
        <v>87</v>
      </c>
      <c r="B64" t="s">
        <v>76</v>
      </c>
      <c r="C64" t="s">
        <v>28</v>
      </c>
      <c r="D64" t="s">
        <v>60</v>
      </c>
      <c r="E64" t="str">
        <f t="shared" si="1"/>
        <v>Electric FAFHZ2ATTIC R19 - R30</v>
      </c>
      <c r="F64" s="31" t="str">
        <f>Composite!B63</f>
        <v>Multi Family Weatherization - Insulate Attic - R-19 to R-30 - Heating Zone 2 (Electric FAF Heating System)</v>
      </c>
      <c r="G64" s="31" t="str">
        <f>Composite!C63</f>
        <v>ATTIC R19 - R30</v>
      </c>
      <c r="H64" s="31">
        <f>VLOOKUP($F64&amp;$G64,Composite!$A$5:$Q$841,H$3,FALSE)*VLOOKUP($C64,[3]!ExistingSat,MATCH($A64,[3]SATS!$C$10:$F$10,0)+1,FALSE)</f>
        <v>51.286674127536486</v>
      </c>
      <c r="I64">
        <f>VLOOKUP($F64&amp;$G64,Composite!$A$5:$Q$841,I$3,FALSE)</f>
        <v>45</v>
      </c>
      <c r="J64" s="31">
        <f>VLOOKUP($F64&amp;$G64,Composite!$A$5:$Q$841,J$3,FALSE)*VLOOKUP($C64,[3]!ExistingSat,MATCH($A64,[3]SATS!$C$10:$F$10,0)+1,FALSE)</f>
        <v>138.43135336419752</v>
      </c>
      <c r="K64" s="31">
        <f>VLOOKUP($F64&amp;$G64,Composite!$A$5:$Q$841,K$3,FALSE)*VLOOKUP($C64,[3]!ExistingSat,MATCH($A64,[3]SATS!$C$10:$F$10,0)+1,FALSE)</f>
        <v>0</v>
      </c>
      <c r="L64" t="str">
        <f>VLOOKUP($F64&amp;$G64,Composite!$A$5:$Q$841,L$3,FALSE)</f>
        <v>ResSHWX</v>
      </c>
      <c r="M64" s="31">
        <f>VLOOKUP($F64&amp;$G64,Composite!$A$5:$Q$841,M$3,FALSE)*VLOOKUP($C64,[3]!ExistingSat,MATCH($A64,[3]SATS!$C$10:$F$10,0)+1,FALSE)</f>
        <v>0</v>
      </c>
      <c r="N64" s="31">
        <f>VLOOKUP($F64&amp;$G64,Composite!$A$5:$Q$841,N$3,FALSE)*VLOOKUP($C64,[3]!ExistingSat,MATCH($A64,[3]SATS!$C$10:$F$10,0)+1,FALSE)</f>
        <v>0</v>
      </c>
      <c r="O64">
        <f>VLOOKUP($F64&amp;$G64,Composite!$A$5:$Q$841,O$3,FALSE)</f>
        <v>0</v>
      </c>
      <c r="P64" s="31">
        <f>VLOOKUP($F64&amp;$G64,Composite!$A$5:$Q$841,P$3,FALSE)*VLOOKUP($C64,[3]!ExistingSat,MATCH($A64,[3]SATS!$C$10:$F$10,0)+1,FALSE)</f>
        <v>0</v>
      </c>
      <c r="Q64">
        <f>VLOOKUP($F64&amp;$G64,Composite!$A$5:$Q$841,Q$3,FALSE)</f>
        <v>0</v>
      </c>
      <c r="R64" s="31">
        <f>VLOOKUP($F64&amp;$G64,Composite!$A$5:$Q$841,R$3,FALSE)*VLOOKUP($C64,[3]!ExistingSat,MATCH($A64,[3]SATS!$C$10:$F$10,0)+1,FALSE)</f>
        <v>0</v>
      </c>
      <c r="S64">
        <f>VLOOKUP($F64&amp;$G64,Composite!$A$5:$Q$841,S$3,FALSE)</f>
        <v>0</v>
      </c>
      <c r="T64" s="31">
        <f>VLOOKUP($F64&amp;$G64,Composite!$A$5:$Q$841,T$3,FALSE)*VLOOKUP($C64,[3]!ExistingSat,MATCH($A64,[3]SATS!$C$10:$F$10,0)+1,FALSE)</f>
        <v>0</v>
      </c>
    </row>
    <row r="65" spans="1:20">
      <c r="A65" t="s">
        <v>87</v>
      </c>
      <c r="B65" t="s">
        <v>76</v>
      </c>
      <c r="C65" t="s">
        <v>28</v>
      </c>
      <c r="D65" t="s">
        <v>60</v>
      </c>
      <c r="E65" t="str">
        <f t="shared" si="1"/>
        <v>Electric FAFHZ2ATTIC R19 - R38</v>
      </c>
      <c r="F65" s="31" t="str">
        <f>Composite!B64</f>
        <v>Multi Family Weatherization - Insulate Attic - R-19 to R-38 - Heating Zone 2 (Electric FAF Heating System)</v>
      </c>
      <c r="G65" s="31" t="str">
        <f>Composite!C64</f>
        <v>ATTIC R19 - R38</v>
      </c>
      <c r="H65" s="31">
        <f>VLOOKUP($F65&amp;$G65,Composite!$A$5:$Q$841,H$3,FALSE)*VLOOKUP($C65,[3]!ExistingSat,MATCH($A65,[3]SATS!$C$10:$F$10,0)+1,FALSE)</f>
        <v>70.793835595953794</v>
      </c>
      <c r="I65">
        <f>VLOOKUP($F65&amp;$G65,Composite!$A$5:$Q$841,I$3,FALSE)</f>
        <v>45</v>
      </c>
      <c r="J65" s="31">
        <f>VLOOKUP($F65&amp;$G65,Composite!$A$5:$Q$841,J$3,FALSE)*VLOOKUP($C65,[3]!ExistingSat,MATCH($A65,[3]SATS!$C$10:$F$10,0)+1,FALSE)</f>
        <v>239.1087012654321</v>
      </c>
      <c r="K65" s="31">
        <f>VLOOKUP($F65&amp;$G65,Composite!$A$5:$Q$841,K$3,FALSE)*VLOOKUP($C65,[3]!ExistingSat,MATCH($A65,[3]SATS!$C$10:$F$10,0)+1,FALSE)</f>
        <v>0</v>
      </c>
      <c r="L65" t="str">
        <f>VLOOKUP($F65&amp;$G65,Composite!$A$5:$Q$841,L$3,FALSE)</f>
        <v>ResSHWX</v>
      </c>
      <c r="M65" s="31">
        <f>VLOOKUP($F65&amp;$G65,Composite!$A$5:$Q$841,M$3,FALSE)*VLOOKUP($C65,[3]!ExistingSat,MATCH($A65,[3]SATS!$C$10:$F$10,0)+1,FALSE)</f>
        <v>0</v>
      </c>
      <c r="N65" s="31">
        <f>VLOOKUP($F65&amp;$G65,Composite!$A$5:$Q$841,N$3,FALSE)*VLOOKUP($C65,[3]!ExistingSat,MATCH($A65,[3]SATS!$C$10:$F$10,0)+1,FALSE)</f>
        <v>0</v>
      </c>
      <c r="O65">
        <f>VLOOKUP($F65&amp;$G65,Composite!$A$5:$Q$841,O$3,FALSE)</f>
        <v>0</v>
      </c>
      <c r="P65" s="31">
        <f>VLOOKUP($F65&amp;$G65,Composite!$A$5:$Q$841,P$3,FALSE)*VLOOKUP($C65,[3]!ExistingSat,MATCH($A65,[3]SATS!$C$10:$F$10,0)+1,FALSE)</f>
        <v>0</v>
      </c>
      <c r="Q65">
        <f>VLOOKUP($F65&amp;$G65,Composite!$A$5:$Q$841,Q$3,FALSE)</f>
        <v>0</v>
      </c>
      <c r="R65" s="31">
        <f>VLOOKUP($F65&amp;$G65,Composite!$A$5:$Q$841,R$3,FALSE)*VLOOKUP($C65,[3]!ExistingSat,MATCH($A65,[3]SATS!$C$10:$F$10,0)+1,FALSE)</f>
        <v>0</v>
      </c>
      <c r="S65">
        <f>VLOOKUP($F65&amp;$G65,Composite!$A$5:$Q$841,S$3,FALSE)</f>
        <v>0</v>
      </c>
      <c r="T65" s="31">
        <f>VLOOKUP($F65&amp;$G65,Composite!$A$5:$Q$841,T$3,FALSE)*VLOOKUP($C65,[3]!ExistingSat,MATCH($A65,[3]SATS!$C$10:$F$10,0)+1,FALSE)</f>
        <v>0</v>
      </c>
    </row>
    <row r="66" spans="1:20">
      <c r="A66" t="s">
        <v>87</v>
      </c>
      <c r="B66" t="s">
        <v>76</v>
      </c>
      <c r="C66" t="s">
        <v>28</v>
      </c>
      <c r="D66" t="s">
        <v>60</v>
      </c>
      <c r="E66" t="str">
        <f t="shared" si="1"/>
        <v>Electric FAFHZ2ATTIC R19 - R49</v>
      </c>
      <c r="F66" s="31" t="str">
        <f>Composite!B65</f>
        <v>Multi Family Weatherization - Insulate Attic - R-19 to R-49 - Heating Zone 2 (Electric FAF Heating System)</v>
      </c>
      <c r="G66" s="31" t="str">
        <f>Composite!C65</f>
        <v>ATTIC R19 - R49</v>
      </c>
      <c r="H66" s="31">
        <f>VLOOKUP($F66&amp;$G66,Composite!$A$5:$Q$841,H$3,FALSE)*VLOOKUP($C66,[3]!ExistingSat,MATCH($A66,[3]SATS!$C$10:$F$10,0)+1,FALSE)</f>
        <v>87.233542009535185</v>
      </c>
      <c r="I66">
        <f>VLOOKUP($F66&amp;$G66,Composite!$A$5:$Q$841,I$3,FALSE)</f>
        <v>45</v>
      </c>
      <c r="J66" s="31">
        <f>VLOOKUP($F66&amp;$G66,Composite!$A$5:$Q$841,J$3,FALSE)*VLOOKUP($C66,[3]!ExistingSat,MATCH($A66,[3]SATS!$C$10:$F$10,0)+1,FALSE)</f>
        <v>377.54005462962965</v>
      </c>
      <c r="K66" s="31">
        <f>VLOOKUP($F66&amp;$G66,Composite!$A$5:$Q$841,K$3,FALSE)*VLOOKUP($C66,[3]!ExistingSat,MATCH($A66,[3]SATS!$C$10:$F$10,0)+1,FALSE)</f>
        <v>0</v>
      </c>
      <c r="L66" t="str">
        <f>VLOOKUP($F66&amp;$G66,Composite!$A$5:$Q$841,L$3,FALSE)</f>
        <v>ResSHWX</v>
      </c>
      <c r="M66" s="31">
        <f>VLOOKUP($F66&amp;$G66,Composite!$A$5:$Q$841,M$3,FALSE)*VLOOKUP($C66,[3]!ExistingSat,MATCH($A66,[3]SATS!$C$10:$F$10,0)+1,FALSE)</f>
        <v>0</v>
      </c>
      <c r="N66" s="31">
        <f>VLOOKUP($F66&amp;$G66,Composite!$A$5:$Q$841,N$3,FALSE)*VLOOKUP($C66,[3]!ExistingSat,MATCH($A66,[3]SATS!$C$10:$F$10,0)+1,FALSE)</f>
        <v>0</v>
      </c>
      <c r="O66">
        <f>VLOOKUP($F66&amp;$G66,Composite!$A$5:$Q$841,O$3,FALSE)</f>
        <v>0</v>
      </c>
      <c r="P66" s="31">
        <f>VLOOKUP($F66&amp;$G66,Composite!$A$5:$Q$841,P$3,FALSE)*VLOOKUP($C66,[3]!ExistingSat,MATCH($A66,[3]SATS!$C$10:$F$10,0)+1,FALSE)</f>
        <v>0</v>
      </c>
      <c r="Q66">
        <f>VLOOKUP($F66&amp;$G66,Composite!$A$5:$Q$841,Q$3,FALSE)</f>
        <v>0</v>
      </c>
      <c r="R66" s="31">
        <f>VLOOKUP($F66&amp;$G66,Composite!$A$5:$Q$841,R$3,FALSE)*VLOOKUP($C66,[3]!ExistingSat,MATCH($A66,[3]SATS!$C$10:$F$10,0)+1,FALSE)</f>
        <v>0</v>
      </c>
      <c r="S66">
        <f>VLOOKUP($F66&amp;$G66,Composite!$A$5:$Q$841,S$3,FALSE)</f>
        <v>0</v>
      </c>
      <c r="T66" s="31">
        <f>VLOOKUP($F66&amp;$G66,Composite!$A$5:$Q$841,T$3,FALSE)*VLOOKUP($C66,[3]!ExistingSat,MATCH($A66,[3]SATS!$C$10:$F$10,0)+1,FALSE)</f>
        <v>0</v>
      </c>
    </row>
    <row r="67" spans="1:20">
      <c r="A67" t="s">
        <v>87</v>
      </c>
      <c r="B67" t="s">
        <v>76</v>
      </c>
      <c r="C67" t="s">
        <v>27</v>
      </c>
      <c r="D67" t="s">
        <v>60</v>
      </c>
      <c r="E67" t="str">
        <f t="shared" si="1"/>
        <v>Electric FAFHZ2WINDOW CL22 Prime Window Replacement of Single Pane Base</v>
      </c>
      <c r="F67" s="31" t="str">
        <f>Composite!B66</f>
        <v>Windows - Single Pane to Class 22 - Heating Zone 2 (Electric FAF Heating System)</v>
      </c>
      <c r="G67" s="31" t="str">
        <f>Composite!C66</f>
        <v>WINDOW CL22 Prime Window Replacement of Single Pane Base</v>
      </c>
      <c r="H67" s="31">
        <f>VLOOKUP($F67&amp;$G67,Composite!$A$5:$Q$841,H$3,FALSE)*VLOOKUP($C67,[3]!ExistingSat,MATCH($A67,[3]SATS!$C$10:$F$10,0)+1,FALSE)</f>
        <v>5620.8115782446939</v>
      </c>
      <c r="I67">
        <f>VLOOKUP($F67&amp;$G67,Composite!$A$5:$Q$841,I$3,FALSE)</f>
        <v>45</v>
      </c>
      <c r="J67" s="31">
        <f>VLOOKUP($F67&amp;$G67,Composite!$A$5:$Q$841,J$3,FALSE)*VLOOKUP($C67,[3]!ExistingSat,MATCH($A67,[3]SATS!$C$10:$F$10,0)+1,FALSE)</f>
        <v>4101.7368570659019</v>
      </c>
      <c r="K67" s="31">
        <f>VLOOKUP($F67&amp;$G67,Composite!$A$5:$Q$841,K$3,FALSE)*VLOOKUP($C67,[3]!ExistingSat,MATCH($A67,[3]SATS!$C$10:$F$10,0)+1,FALSE)</f>
        <v>0</v>
      </c>
      <c r="L67" t="str">
        <f>VLOOKUP($F67&amp;$G67,Composite!$A$5:$Q$841,L$3,FALSE)</f>
        <v>ResSHWX</v>
      </c>
      <c r="M67" s="31">
        <f>VLOOKUP($F67&amp;$G67,Composite!$A$5:$Q$841,M$3,FALSE)*VLOOKUP($C67,[3]!ExistingSat,MATCH($A67,[3]SATS!$C$10:$F$10,0)+1,FALSE)</f>
        <v>0</v>
      </c>
      <c r="N67" s="31">
        <f>VLOOKUP($F67&amp;$G67,Composite!$A$5:$Q$841,N$3,FALSE)*VLOOKUP($C67,[3]!ExistingSat,MATCH($A67,[3]SATS!$C$10:$F$10,0)+1,FALSE)</f>
        <v>0</v>
      </c>
      <c r="O67">
        <f>VLOOKUP($F67&amp;$G67,Composite!$A$5:$Q$841,O$3,FALSE)</f>
        <v>0</v>
      </c>
      <c r="P67" s="31">
        <f>VLOOKUP($F67&amp;$G67,Composite!$A$5:$Q$841,P$3,FALSE)*VLOOKUP($C67,[3]!ExistingSat,MATCH($A67,[3]SATS!$C$10:$F$10,0)+1,FALSE)</f>
        <v>0</v>
      </c>
      <c r="Q67">
        <f>VLOOKUP($F67&amp;$G67,Composite!$A$5:$Q$841,Q$3,FALSE)</f>
        <v>0</v>
      </c>
      <c r="R67" s="31">
        <f>VLOOKUP($F67&amp;$G67,Composite!$A$5:$Q$841,R$3,FALSE)*VLOOKUP($C67,[3]!ExistingSat,MATCH($A67,[3]SATS!$C$10:$F$10,0)+1,FALSE)</f>
        <v>0</v>
      </c>
      <c r="S67">
        <f>VLOOKUP($F67&amp;$G67,Composite!$A$5:$Q$841,S$3,FALSE)</f>
        <v>0</v>
      </c>
      <c r="T67" s="31">
        <f>VLOOKUP($F67&amp;$G67,Composite!$A$5:$Q$841,T$3,FALSE)*VLOOKUP($C67,[3]!ExistingSat,MATCH($A67,[3]SATS!$C$10:$F$10,0)+1,FALSE)</f>
        <v>0</v>
      </c>
    </row>
    <row r="68" spans="1:20">
      <c r="A68" t="s">
        <v>87</v>
      </c>
      <c r="B68" t="s">
        <v>76</v>
      </c>
      <c r="C68" t="s">
        <v>27</v>
      </c>
      <c r="D68" t="s">
        <v>60</v>
      </c>
      <c r="E68" t="str">
        <f t="shared" si="1"/>
        <v>Electric FAFHZ2WINDOW CL22 Prime Window Replacement of Double Pane Base</v>
      </c>
      <c r="F68" s="31" t="str">
        <f>Composite!B67</f>
        <v>Windows - Double Pane to Class 22 - Heating Zone 2 (Electric FAF Heating System)</v>
      </c>
      <c r="G68" s="31" t="str">
        <f>Composite!C67</f>
        <v>WINDOW CL22 Prime Window Replacement of Double Pane Base</v>
      </c>
      <c r="H68" s="31">
        <f>VLOOKUP($F68&amp;$G68,Composite!$A$5:$Q$841,H$3,FALSE)*VLOOKUP($C68,[3]!ExistingSat,MATCH($A68,[3]SATS!$C$10:$F$10,0)+1,FALSE)</f>
        <v>3346.4451281508123</v>
      </c>
      <c r="I68">
        <f>VLOOKUP($F68&amp;$G68,Composite!$A$5:$Q$841,I$3,FALSE)</f>
        <v>45</v>
      </c>
      <c r="J68" s="31">
        <f>VLOOKUP($F68&amp;$G68,Composite!$A$5:$Q$841,J$3,FALSE)*VLOOKUP($C68,[3]!ExistingSat,MATCH($A68,[3]SATS!$C$10:$F$10,0)+1,FALSE)</f>
        <v>4101.7368570659019</v>
      </c>
      <c r="K68" s="31">
        <f>VLOOKUP($F68&amp;$G68,Composite!$A$5:$Q$841,K$3,FALSE)*VLOOKUP($C68,[3]!ExistingSat,MATCH($A68,[3]SATS!$C$10:$F$10,0)+1,FALSE)</f>
        <v>0</v>
      </c>
      <c r="L68" t="str">
        <f>VLOOKUP($F68&amp;$G68,Composite!$A$5:$Q$841,L$3,FALSE)</f>
        <v>ResSHWX</v>
      </c>
      <c r="M68" s="31">
        <f>VLOOKUP($F68&amp;$G68,Composite!$A$5:$Q$841,M$3,FALSE)*VLOOKUP($C68,[3]!ExistingSat,MATCH($A68,[3]SATS!$C$10:$F$10,0)+1,FALSE)</f>
        <v>0</v>
      </c>
      <c r="N68" s="31">
        <f>VLOOKUP($F68&amp;$G68,Composite!$A$5:$Q$841,N$3,FALSE)*VLOOKUP($C68,[3]!ExistingSat,MATCH($A68,[3]SATS!$C$10:$F$10,0)+1,FALSE)</f>
        <v>0</v>
      </c>
      <c r="O68">
        <f>VLOOKUP($F68&amp;$G68,Composite!$A$5:$Q$841,O$3,FALSE)</f>
        <v>0</v>
      </c>
      <c r="P68" s="31">
        <f>VLOOKUP($F68&amp;$G68,Composite!$A$5:$Q$841,P$3,FALSE)*VLOOKUP($C68,[3]!ExistingSat,MATCH($A68,[3]SATS!$C$10:$F$10,0)+1,FALSE)</f>
        <v>0</v>
      </c>
      <c r="Q68">
        <f>VLOOKUP($F68&amp;$G68,Composite!$A$5:$Q$841,Q$3,FALSE)</f>
        <v>0</v>
      </c>
      <c r="R68" s="31">
        <f>VLOOKUP($F68&amp;$G68,Composite!$A$5:$Q$841,R$3,FALSE)*VLOOKUP($C68,[3]!ExistingSat,MATCH($A68,[3]SATS!$C$10:$F$10,0)+1,FALSE)</f>
        <v>0</v>
      </c>
      <c r="S68">
        <f>VLOOKUP($F68&amp;$G68,Composite!$A$5:$Q$841,S$3,FALSE)</f>
        <v>0</v>
      </c>
      <c r="T68" s="31">
        <f>VLOOKUP($F68&amp;$G68,Composite!$A$5:$Q$841,T$3,FALSE)*VLOOKUP($C68,[3]!ExistingSat,MATCH($A68,[3]SATS!$C$10:$F$10,0)+1,FALSE)</f>
        <v>0</v>
      </c>
    </row>
    <row r="69" spans="1:20">
      <c r="A69" t="s">
        <v>87</v>
      </c>
      <c r="B69" t="s">
        <v>76</v>
      </c>
      <c r="C69" t="s">
        <v>27</v>
      </c>
      <c r="D69" t="s">
        <v>60</v>
      </c>
      <c r="E69" t="str">
        <f t="shared" si="1"/>
        <v>Electric FAFHZ2WINDOW CL30 Prime Window Replacement of Single Pane Base</v>
      </c>
      <c r="F69" s="31" t="str">
        <f>Composite!B68</f>
        <v>Windows - Single Pane to Class 30 - Heating Zone 2 (Electric FAF Heating System)</v>
      </c>
      <c r="G69" s="31" t="str">
        <f>Composite!C68</f>
        <v>WINDOW CL30 Prime Window Replacement of Single Pane Base</v>
      </c>
      <c r="H69" s="31">
        <f>VLOOKUP($F69&amp;$G69,Composite!$A$5:$Q$841,H$3,FALSE)*VLOOKUP($C69,[3]!ExistingSat,MATCH($A69,[3]SATS!$C$10:$F$10,0)+1,FALSE)</f>
        <v>5160.5527511832215</v>
      </c>
      <c r="I69">
        <f>VLOOKUP($F69&amp;$G69,Composite!$A$5:$Q$841,I$3,FALSE)</f>
        <v>45</v>
      </c>
      <c r="J69" s="31">
        <f>VLOOKUP($F69&amp;$G69,Composite!$A$5:$Q$841,J$3,FALSE)*VLOOKUP($C69,[3]!ExistingSat,MATCH($A69,[3]SATS!$C$10:$F$10,0)+1,FALSE)</f>
        <v>3865.0968570659024</v>
      </c>
      <c r="K69" s="31">
        <f>VLOOKUP($F69&amp;$G69,Composite!$A$5:$Q$841,K$3,FALSE)*VLOOKUP($C69,[3]!ExistingSat,MATCH($A69,[3]SATS!$C$10:$F$10,0)+1,FALSE)</f>
        <v>0</v>
      </c>
      <c r="L69" t="str">
        <f>VLOOKUP($F69&amp;$G69,Composite!$A$5:$Q$841,L$3,FALSE)</f>
        <v>ResSHWX</v>
      </c>
      <c r="M69" s="31">
        <f>VLOOKUP($F69&amp;$G69,Composite!$A$5:$Q$841,M$3,FALSE)*VLOOKUP($C69,[3]!ExistingSat,MATCH($A69,[3]SATS!$C$10:$F$10,0)+1,FALSE)</f>
        <v>0</v>
      </c>
      <c r="N69" s="31">
        <f>VLOOKUP($F69&amp;$G69,Composite!$A$5:$Q$841,N$3,FALSE)*VLOOKUP($C69,[3]!ExistingSat,MATCH($A69,[3]SATS!$C$10:$F$10,0)+1,FALSE)</f>
        <v>0</v>
      </c>
      <c r="O69">
        <f>VLOOKUP($F69&amp;$G69,Composite!$A$5:$Q$841,O$3,FALSE)</f>
        <v>0</v>
      </c>
      <c r="P69" s="31">
        <f>VLOOKUP($F69&amp;$G69,Composite!$A$5:$Q$841,P$3,FALSE)*VLOOKUP($C69,[3]!ExistingSat,MATCH($A69,[3]SATS!$C$10:$F$10,0)+1,FALSE)</f>
        <v>0</v>
      </c>
      <c r="Q69">
        <f>VLOOKUP($F69&amp;$G69,Composite!$A$5:$Q$841,Q$3,FALSE)</f>
        <v>0</v>
      </c>
      <c r="R69" s="31">
        <f>VLOOKUP($F69&amp;$G69,Composite!$A$5:$Q$841,R$3,FALSE)*VLOOKUP($C69,[3]!ExistingSat,MATCH($A69,[3]SATS!$C$10:$F$10,0)+1,FALSE)</f>
        <v>0</v>
      </c>
      <c r="S69">
        <f>VLOOKUP($F69&amp;$G69,Composite!$A$5:$Q$841,S$3,FALSE)</f>
        <v>0</v>
      </c>
      <c r="T69" s="31">
        <f>VLOOKUP($F69&amp;$G69,Composite!$A$5:$Q$841,T$3,FALSE)*VLOOKUP($C69,[3]!ExistingSat,MATCH($A69,[3]SATS!$C$10:$F$10,0)+1,FALSE)</f>
        <v>0</v>
      </c>
    </row>
    <row r="70" spans="1:20">
      <c r="A70" t="s">
        <v>87</v>
      </c>
      <c r="B70" t="s">
        <v>76</v>
      </c>
      <c r="C70" t="s">
        <v>27</v>
      </c>
      <c r="D70" t="s">
        <v>60</v>
      </c>
      <c r="E70" t="str">
        <f t="shared" si="1"/>
        <v>Electric FAFHZ2WINDOW CL30 Prime Window Replacement of Double Pane Base</v>
      </c>
      <c r="F70" s="31" t="str">
        <f>Composite!B69</f>
        <v>Windows - Double Pane to Class 30 - Heating Zone 2 (Electric FAF Heating System)</v>
      </c>
      <c r="G70" s="31" t="str">
        <f>Composite!C69</f>
        <v>WINDOW CL30 Prime Window Replacement of Double Pane Base</v>
      </c>
      <c r="H70" s="31">
        <f>VLOOKUP($F70&amp;$G70,Composite!$A$5:$Q$841,H$3,FALSE)*VLOOKUP($C70,[3]!ExistingSat,MATCH($A70,[3]SATS!$C$10:$F$10,0)+1,FALSE)</f>
        <v>2886.1863010893385</v>
      </c>
      <c r="I70">
        <f>VLOOKUP($F70&amp;$G70,Composite!$A$5:$Q$841,I$3,FALSE)</f>
        <v>45</v>
      </c>
      <c r="J70" s="31">
        <f>VLOOKUP($F70&amp;$G70,Composite!$A$5:$Q$841,J$3,FALSE)*VLOOKUP($C70,[3]!ExistingSat,MATCH($A70,[3]SATS!$C$10:$F$10,0)+1,FALSE)</f>
        <v>3865.0968570659024</v>
      </c>
      <c r="K70" s="31">
        <f>VLOOKUP($F70&amp;$G70,Composite!$A$5:$Q$841,K$3,FALSE)*VLOOKUP($C70,[3]!ExistingSat,MATCH($A70,[3]SATS!$C$10:$F$10,0)+1,FALSE)</f>
        <v>0</v>
      </c>
      <c r="L70" t="str">
        <f>VLOOKUP($F70&amp;$G70,Composite!$A$5:$Q$841,L$3,FALSE)</f>
        <v>ResSHWX</v>
      </c>
      <c r="M70" s="31">
        <f>VLOOKUP($F70&amp;$G70,Composite!$A$5:$Q$841,M$3,FALSE)*VLOOKUP($C70,[3]!ExistingSat,MATCH($A70,[3]SATS!$C$10:$F$10,0)+1,FALSE)</f>
        <v>0</v>
      </c>
      <c r="N70" s="31">
        <f>VLOOKUP($F70&amp;$G70,Composite!$A$5:$Q$841,N$3,FALSE)*VLOOKUP($C70,[3]!ExistingSat,MATCH($A70,[3]SATS!$C$10:$F$10,0)+1,FALSE)</f>
        <v>0</v>
      </c>
      <c r="O70">
        <f>VLOOKUP($F70&amp;$G70,Composite!$A$5:$Q$841,O$3,FALSE)</f>
        <v>0</v>
      </c>
      <c r="P70" s="31">
        <f>VLOOKUP($F70&amp;$G70,Composite!$A$5:$Q$841,P$3,FALSE)*VLOOKUP($C70,[3]!ExistingSat,MATCH($A70,[3]SATS!$C$10:$F$10,0)+1,FALSE)</f>
        <v>0</v>
      </c>
      <c r="Q70">
        <f>VLOOKUP($F70&amp;$G70,Composite!$A$5:$Q$841,Q$3,FALSE)</f>
        <v>0</v>
      </c>
      <c r="R70" s="31">
        <f>VLOOKUP($F70&amp;$G70,Composite!$A$5:$Q$841,R$3,FALSE)*VLOOKUP($C70,[3]!ExistingSat,MATCH($A70,[3]SATS!$C$10:$F$10,0)+1,FALSE)</f>
        <v>0</v>
      </c>
      <c r="S70">
        <f>VLOOKUP($F70&amp;$G70,Composite!$A$5:$Q$841,S$3,FALSE)</f>
        <v>0</v>
      </c>
      <c r="T70" s="31">
        <f>VLOOKUP($F70&amp;$G70,Composite!$A$5:$Q$841,T$3,FALSE)*VLOOKUP($C70,[3]!ExistingSat,MATCH($A70,[3]SATS!$C$10:$F$10,0)+1,FALSE)</f>
        <v>0</v>
      </c>
    </row>
    <row r="71" spans="1:20">
      <c r="A71" t="s">
        <v>87</v>
      </c>
      <c r="B71" t="s">
        <v>76</v>
      </c>
      <c r="C71" t="s">
        <v>63</v>
      </c>
      <c r="D71" t="s">
        <v>61</v>
      </c>
      <c r="E71" t="str">
        <f t="shared" si="1"/>
        <v>Electric FAFHZ3WALL R0 - R11</v>
      </c>
      <c r="F71" s="31" t="str">
        <f>Composite!B70</f>
        <v>Multi Family Weatherization - Insulate Walls - R-0 to R-11 - Heating Zone 3 (Electric FAF Heating System)</v>
      </c>
      <c r="G71" s="31" t="str">
        <f>Composite!C70</f>
        <v>WALL R0 - R11</v>
      </c>
      <c r="H71" s="31">
        <f>VLOOKUP($F71&amp;$G71,Composite!$A$5:$Q$841,H$3,FALSE)*VLOOKUP($C71,[3]!ExistingSat,MATCH($A71,[3]SATS!$C$10:$F$10,0)+1,FALSE)</f>
        <v>1053.4777791309045</v>
      </c>
      <c r="I71">
        <f>VLOOKUP($F71&amp;$G71,Composite!$A$5:$Q$841,I$3,FALSE)</f>
        <v>45</v>
      </c>
      <c r="J71" s="31">
        <f>VLOOKUP($F71&amp;$G71,Composite!$A$5:$Q$841,J$3,FALSE)*VLOOKUP($C71,[3]!ExistingSat,MATCH($A71,[3]SATS!$C$10:$F$10,0)+1,FALSE)</f>
        <v>414.11354893012168</v>
      </c>
      <c r="K71" s="31">
        <f>VLOOKUP($F71&amp;$G71,Composite!$A$5:$Q$841,K$3,FALSE)*VLOOKUP($C71,[3]!ExistingSat,MATCH($A71,[3]SATS!$C$10:$F$10,0)+1,FALSE)</f>
        <v>0</v>
      </c>
      <c r="L71" t="str">
        <f>VLOOKUP($F71&amp;$G71,Composite!$A$5:$Q$841,L$3,FALSE)</f>
        <v>ResSHWX</v>
      </c>
      <c r="M71" s="31">
        <f>VLOOKUP($F71&amp;$G71,Composite!$A$5:$Q$841,M$3,FALSE)*VLOOKUP($C71,[3]!ExistingSat,MATCH($A71,[3]SATS!$C$10:$F$10,0)+1,FALSE)</f>
        <v>0</v>
      </c>
      <c r="N71" s="31">
        <f>VLOOKUP($F71&amp;$G71,Composite!$A$5:$Q$841,N$3,FALSE)*VLOOKUP($C71,[3]!ExistingSat,MATCH($A71,[3]SATS!$C$10:$F$10,0)+1,FALSE)</f>
        <v>0</v>
      </c>
      <c r="O71">
        <f>VLOOKUP($F71&amp;$G71,Composite!$A$5:$Q$841,O$3,FALSE)</f>
        <v>0</v>
      </c>
      <c r="P71" s="31">
        <f>VLOOKUP($F71&amp;$G71,Composite!$A$5:$Q$841,P$3,FALSE)*VLOOKUP($C71,[3]!ExistingSat,MATCH($A71,[3]SATS!$C$10:$F$10,0)+1,FALSE)</f>
        <v>0</v>
      </c>
      <c r="Q71">
        <f>VLOOKUP($F71&amp;$G71,Composite!$A$5:$Q$841,Q$3,FALSE)</f>
        <v>0</v>
      </c>
      <c r="R71" s="31">
        <f>VLOOKUP($F71&amp;$G71,Composite!$A$5:$Q$841,R$3,FALSE)*VLOOKUP($C71,[3]!ExistingSat,MATCH($A71,[3]SATS!$C$10:$F$10,0)+1,FALSE)</f>
        <v>0</v>
      </c>
      <c r="S71">
        <f>VLOOKUP($F71&amp;$G71,Composite!$A$5:$Q$841,S$3,FALSE)</f>
        <v>0</v>
      </c>
      <c r="T71" s="31">
        <f>VLOOKUP($F71&amp;$G71,Composite!$A$5:$Q$841,T$3,FALSE)*VLOOKUP($C71,[3]!ExistingSat,MATCH($A71,[3]SATS!$C$10:$F$10,0)+1,FALSE)</f>
        <v>0</v>
      </c>
    </row>
    <row r="72" spans="1:20">
      <c r="A72" t="s">
        <v>87</v>
      </c>
      <c r="B72" t="s">
        <v>76</v>
      </c>
      <c r="C72" t="s">
        <v>26</v>
      </c>
      <c r="D72" t="s">
        <v>61</v>
      </c>
      <c r="E72" t="str">
        <f t="shared" ref="E72:E122" si="2">B72&amp;D72&amp;G72</f>
        <v>Electric FAFHZ3FLOOR R0 - R19</v>
      </c>
      <c r="F72" s="31" t="str">
        <f>Composite!B71</f>
        <v>Multi Family Weatherization - Insulate Floors - R-0 to R-19 - Heating Zone 3 (Electric FAF Heating System)</v>
      </c>
      <c r="G72" s="31" t="str">
        <f>Composite!C71</f>
        <v>FLOOR R0 - R19</v>
      </c>
      <c r="H72" s="31">
        <f>VLOOKUP($F72&amp;$G72,Composite!$A$5:$Q$841,H$3,FALSE)*VLOOKUP($C72,[3]!ExistingSat,MATCH($A72,[3]SATS!$C$10:$F$10,0)+1,FALSE)</f>
        <v>321.50644571326217</v>
      </c>
      <c r="I72">
        <f>VLOOKUP($F72&amp;$G72,Composite!$A$5:$Q$841,I$3,FALSE)</f>
        <v>45</v>
      </c>
      <c r="J72" s="31">
        <f>VLOOKUP($F72&amp;$G72,Composite!$A$5:$Q$841,J$3,FALSE)*VLOOKUP($C72,[3]!ExistingSat,MATCH($A72,[3]SATS!$C$10:$F$10,0)+1,FALSE)</f>
        <v>436.41697398915824</v>
      </c>
      <c r="K72" s="31">
        <f>VLOOKUP($F72&amp;$G72,Composite!$A$5:$Q$841,K$3,FALSE)*VLOOKUP($C72,[3]!ExistingSat,MATCH($A72,[3]SATS!$C$10:$F$10,0)+1,FALSE)</f>
        <v>0</v>
      </c>
      <c r="L72" t="str">
        <f>VLOOKUP($F72&amp;$G72,Composite!$A$5:$Q$841,L$3,FALSE)</f>
        <v>ResSHWX</v>
      </c>
      <c r="M72" s="31">
        <f>VLOOKUP($F72&amp;$G72,Composite!$A$5:$Q$841,M$3,FALSE)*VLOOKUP($C72,[3]!ExistingSat,MATCH($A72,[3]SATS!$C$10:$F$10,0)+1,FALSE)</f>
        <v>0</v>
      </c>
      <c r="N72" s="31">
        <f>VLOOKUP($F72&amp;$G72,Composite!$A$5:$Q$841,N$3,FALSE)*VLOOKUP($C72,[3]!ExistingSat,MATCH($A72,[3]SATS!$C$10:$F$10,0)+1,FALSE)</f>
        <v>0</v>
      </c>
      <c r="O72">
        <f>VLOOKUP($F72&amp;$G72,Composite!$A$5:$Q$841,O$3,FALSE)</f>
        <v>0</v>
      </c>
      <c r="P72" s="31">
        <f>VLOOKUP($F72&amp;$G72,Composite!$A$5:$Q$841,P$3,FALSE)*VLOOKUP($C72,[3]!ExistingSat,MATCH($A72,[3]SATS!$C$10:$F$10,0)+1,FALSE)</f>
        <v>0</v>
      </c>
      <c r="Q72">
        <f>VLOOKUP($F72&amp;$G72,Composite!$A$5:$Q$841,Q$3,FALSE)</f>
        <v>0</v>
      </c>
      <c r="R72" s="31">
        <f>VLOOKUP($F72&amp;$G72,Composite!$A$5:$Q$841,R$3,FALSE)*VLOOKUP($C72,[3]!ExistingSat,MATCH($A72,[3]SATS!$C$10:$F$10,0)+1,FALSE)</f>
        <v>0</v>
      </c>
      <c r="S72">
        <f>VLOOKUP($F72&amp;$G72,Composite!$A$5:$Q$841,S$3,FALSE)</f>
        <v>0</v>
      </c>
      <c r="T72" s="31">
        <f>VLOOKUP($F72&amp;$G72,Composite!$A$5:$Q$841,T$3,FALSE)*VLOOKUP($C72,[3]!ExistingSat,MATCH($A72,[3]SATS!$C$10:$F$10,0)+1,FALSE)</f>
        <v>0</v>
      </c>
    </row>
    <row r="73" spans="1:20">
      <c r="A73" t="s">
        <v>87</v>
      </c>
      <c r="B73" t="s">
        <v>76</v>
      </c>
      <c r="C73" t="s">
        <v>26</v>
      </c>
      <c r="D73" t="s">
        <v>61</v>
      </c>
      <c r="E73" t="str">
        <f t="shared" si="2"/>
        <v>Electric FAFHZ3FLOOR R0 - R30</v>
      </c>
      <c r="F73" s="31" t="str">
        <f>Composite!B72</f>
        <v>Multi Family Weatherization - Insulate Floors - R-0 to R-30 - Heating Zone 3 (Electric FAF Heating System)</v>
      </c>
      <c r="G73" s="31" t="str">
        <f>Composite!C72</f>
        <v>FLOOR R0 - R30</v>
      </c>
      <c r="H73" s="31">
        <f>VLOOKUP($F73&amp;$G73,Composite!$A$5:$Q$841,H$3,FALSE)*VLOOKUP($C73,[3]!ExistingSat,MATCH($A73,[3]SATS!$C$10:$F$10,0)+1,FALSE)</f>
        <v>419.84709424828918</v>
      </c>
      <c r="I73">
        <f>VLOOKUP($F73&amp;$G73,Composite!$A$5:$Q$841,I$3,FALSE)</f>
        <v>45</v>
      </c>
      <c r="J73" s="31">
        <f>VLOOKUP($F73&amp;$G73,Composite!$A$5:$Q$841,J$3,FALSE)*VLOOKUP($C73,[3]!ExistingSat,MATCH($A73,[3]SATS!$C$10:$F$10,0)+1,FALSE)</f>
        <v>689.07943261446042</v>
      </c>
      <c r="K73" s="31">
        <f>VLOOKUP($F73&amp;$G73,Composite!$A$5:$Q$841,K$3,FALSE)*VLOOKUP($C73,[3]!ExistingSat,MATCH($A73,[3]SATS!$C$10:$F$10,0)+1,FALSE)</f>
        <v>0</v>
      </c>
      <c r="L73" t="str">
        <f>VLOOKUP($F73&amp;$G73,Composite!$A$5:$Q$841,L$3,FALSE)</f>
        <v>ResSHWX</v>
      </c>
      <c r="M73" s="31">
        <f>VLOOKUP($F73&amp;$G73,Composite!$A$5:$Q$841,M$3,FALSE)*VLOOKUP($C73,[3]!ExistingSat,MATCH($A73,[3]SATS!$C$10:$F$10,0)+1,FALSE)</f>
        <v>0</v>
      </c>
      <c r="N73" s="31">
        <f>VLOOKUP($F73&amp;$G73,Composite!$A$5:$Q$841,N$3,FALSE)*VLOOKUP($C73,[3]!ExistingSat,MATCH($A73,[3]SATS!$C$10:$F$10,0)+1,FALSE)</f>
        <v>0</v>
      </c>
      <c r="O73">
        <f>VLOOKUP($F73&amp;$G73,Composite!$A$5:$Q$841,O$3,FALSE)</f>
        <v>0</v>
      </c>
      <c r="P73" s="31">
        <f>VLOOKUP($F73&amp;$G73,Composite!$A$5:$Q$841,P$3,FALSE)*VLOOKUP($C73,[3]!ExistingSat,MATCH($A73,[3]SATS!$C$10:$F$10,0)+1,FALSE)</f>
        <v>0</v>
      </c>
      <c r="Q73">
        <f>VLOOKUP($F73&amp;$G73,Composite!$A$5:$Q$841,Q$3,FALSE)</f>
        <v>0</v>
      </c>
      <c r="R73" s="31">
        <f>VLOOKUP($F73&amp;$G73,Composite!$A$5:$Q$841,R$3,FALSE)*VLOOKUP($C73,[3]!ExistingSat,MATCH($A73,[3]SATS!$C$10:$F$10,0)+1,FALSE)</f>
        <v>0</v>
      </c>
      <c r="S73">
        <f>VLOOKUP($F73&amp;$G73,Composite!$A$5:$Q$841,S$3,FALSE)</f>
        <v>0</v>
      </c>
      <c r="T73" s="31">
        <f>VLOOKUP($F73&amp;$G73,Composite!$A$5:$Q$841,T$3,FALSE)*VLOOKUP($C73,[3]!ExistingSat,MATCH($A73,[3]SATS!$C$10:$F$10,0)+1,FALSE)</f>
        <v>0</v>
      </c>
    </row>
    <row r="74" spans="1:20">
      <c r="A74" t="s">
        <v>87</v>
      </c>
      <c r="B74" t="s">
        <v>76</v>
      </c>
      <c r="C74" t="s">
        <v>28</v>
      </c>
      <c r="D74" t="s">
        <v>61</v>
      </c>
      <c r="E74" t="str">
        <f t="shared" si="2"/>
        <v>Electric FAFHZ3ATTIC R0 - R19</v>
      </c>
      <c r="F74" s="31" t="str">
        <f>Composite!B73</f>
        <v>Multi Family Weatherization - Insulate Attic - R-0 to R-19 - Heating Zone 3 (Electric FAF Heating System)</v>
      </c>
      <c r="G74" s="31" t="str">
        <f>Composite!C73</f>
        <v>ATTIC R0 - R19</v>
      </c>
      <c r="H74" s="31">
        <f>VLOOKUP($F74&amp;$G74,Composite!$A$5:$Q$841,H$3,FALSE)*VLOOKUP($C74,[3]!ExistingSat,MATCH($A74,[3]SATS!$C$10:$F$10,0)+1,FALSE)</f>
        <v>178.8419669019251</v>
      </c>
      <c r="I74">
        <f>VLOOKUP($F74&amp;$G74,Composite!$A$5:$Q$841,I$3,FALSE)</f>
        <v>45</v>
      </c>
      <c r="J74" s="31">
        <f>VLOOKUP($F74&amp;$G74,Composite!$A$5:$Q$841,J$3,FALSE)*VLOOKUP($C74,[3]!ExistingSat,MATCH($A74,[3]SATS!$C$10:$F$10,0)+1,FALSE)</f>
        <v>239.1087012654321</v>
      </c>
      <c r="K74" s="31">
        <f>VLOOKUP($F74&amp;$G74,Composite!$A$5:$Q$841,K$3,FALSE)*VLOOKUP($C74,[3]!ExistingSat,MATCH($A74,[3]SATS!$C$10:$F$10,0)+1,FALSE)</f>
        <v>0</v>
      </c>
      <c r="L74" t="str">
        <f>VLOOKUP($F74&amp;$G74,Composite!$A$5:$Q$841,L$3,FALSE)</f>
        <v>ResSHWX</v>
      </c>
      <c r="M74" s="31">
        <f>VLOOKUP($F74&amp;$G74,Composite!$A$5:$Q$841,M$3,FALSE)*VLOOKUP($C74,[3]!ExistingSat,MATCH($A74,[3]SATS!$C$10:$F$10,0)+1,FALSE)</f>
        <v>0</v>
      </c>
      <c r="N74" s="31">
        <f>VLOOKUP($F74&amp;$G74,Composite!$A$5:$Q$841,N$3,FALSE)*VLOOKUP($C74,[3]!ExistingSat,MATCH($A74,[3]SATS!$C$10:$F$10,0)+1,FALSE)</f>
        <v>0</v>
      </c>
      <c r="O74">
        <f>VLOOKUP($F74&amp;$G74,Composite!$A$5:$Q$841,O$3,FALSE)</f>
        <v>0</v>
      </c>
      <c r="P74" s="31">
        <f>VLOOKUP($F74&amp;$G74,Composite!$A$5:$Q$841,P$3,FALSE)*VLOOKUP($C74,[3]!ExistingSat,MATCH($A74,[3]SATS!$C$10:$F$10,0)+1,FALSE)</f>
        <v>0</v>
      </c>
      <c r="Q74">
        <f>VLOOKUP($F74&amp;$G74,Composite!$A$5:$Q$841,Q$3,FALSE)</f>
        <v>0</v>
      </c>
      <c r="R74" s="31">
        <f>VLOOKUP($F74&amp;$G74,Composite!$A$5:$Q$841,R$3,FALSE)*VLOOKUP($C74,[3]!ExistingSat,MATCH($A74,[3]SATS!$C$10:$F$10,0)+1,FALSE)</f>
        <v>0</v>
      </c>
      <c r="S74">
        <f>VLOOKUP($F74&amp;$G74,Composite!$A$5:$Q$841,S$3,FALSE)</f>
        <v>0</v>
      </c>
      <c r="T74" s="31">
        <f>VLOOKUP($F74&amp;$G74,Composite!$A$5:$Q$841,T$3,FALSE)*VLOOKUP($C74,[3]!ExistingSat,MATCH($A74,[3]SATS!$C$10:$F$10,0)+1,FALSE)</f>
        <v>0</v>
      </c>
    </row>
    <row r="75" spans="1:20">
      <c r="A75" t="s">
        <v>87</v>
      </c>
      <c r="B75" t="s">
        <v>76</v>
      </c>
      <c r="C75" t="s">
        <v>28</v>
      </c>
      <c r="D75" t="s">
        <v>61</v>
      </c>
      <c r="E75" t="str">
        <f t="shared" si="2"/>
        <v>Electric FAFHZ3ATTIC R0 - R38</v>
      </c>
      <c r="F75" s="31" t="str">
        <f>Composite!B74</f>
        <v>Multi Family Weatherization - Insulate Attic - R-0 to R-38 - Heating Zone 3 (Electric FAF Heating System)</v>
      </c>
      <c r="G75" s="31" t="str">
        <f>Composite!C74</f>
        <v>ATTIC R0 - R38</v>
      </c>
      <c r="H75" s="31">
        <f>VLOOKUP($F75&amp;$G75,Composite!$A$5:$Q$841,H$3,FALSE)*VLOOKUP($C75,[3]!ExistingSat,MATCH($A75,[3]SATS!$C$10:$F$10,0)+1,FALSE)</f>
        <v>244.16163079002536</v>
      </c>
      <c r="I75">
        <f>VLOOKUP($F75&amp;$G75,Composite!$A$5:$Q$841,I$3,FALSE)</f>
        <v>45</v>
      </c>
      <c r="J75" s="31">
        <f>VLOOKUP($F75&amp;$G75,Composite!$A$5:$Q$841,J$3,FALSE)*VLOOKUP($C75,[3]!ExistingSat,MATCH($A75,[3]SATS!$C$10:$F$10,0)+1,FALSE)</f>
        <v>478.21740253086421</v>
      </c>
      <c r="K75" s="31">
        <f>VLOOKUP($F75&amp;$G75,Composite!$A$5:$Q$841,K$3,FALSE)*VLOOKUP($C75,[3]!ExistingSat,MATCH($A75,[3]SATS!$C$10:$F$10,0)+1,FALSE)</f>
        <v>0</v>
      </c>
      <c r="L75" t="str">
        <f>VLOOKUP($F75&amp;$G75,Composite!$A$5:$Q$841,L$3,FALSE)</f>
        <v>ResSHWX</v>
      </c>
      <c r="M75" s="31">
        <f>VLOOKUP($F75&amp;$G75,Composite!$A$5:$Q$841,M$3,FALSE)*VLOOKUP($C75,[3]!ExistingSat,MATCH($A75,[3]SATS!$C$10:$F$10,0)+1,FALSE)</f>
        <v>0</v>
      </c>
      <c r="N75" s="31">
        <f>VLOOKUP($F75&amp;$G75,Composite!$A$5:$Q$841,N$3,FALSE)*VLOOKUP($C75,[3]!ExistingSat,MATCH($A75,[3]SATS!$C$10:$F$10,0)+1,FALSE)</f>
        <v>0</v>
      </c>
      <c r="O75">
        <f>VLOOKUP($F75&amp;$G75,Composite!$A$5:$Q$841,O$3,FALSE)</f>
        <v>0</v>
      </c>
      <c r="P75" s="31">
        <f>VLOOKUP($F75&amp;$G75,Composite!$A$5:$Q$841,P$3,FALSE)*VLOOKUP($C75,[3]!ExistingSat,MATCH($A75,[3]SATS!$C$10:$F$10,0)+1,FALSE)</f>
        <v>0</v>
      </c>
      <c r="Q75">
        <f>VLOOKUP($F75&amp;$G75,Composite!$A$5:$Q$841,Q$3,FALSE)</f>
        <v>0</v>
      </c>
      <c r="R75" s="31">
        <f>VLOOKUP($F75&amp;$G75,Composite!$A$5:$Q$841,R$3,FALSE)*VLOOKUP($C75,[3]!ExistingSat,MATCH($A75,[3]SATS!$C$10:$F$10,0)+1,FALSE)</f>
        <v>0</v>
      </c>
      <c r="S75">
        <f>VLOOKUP($F75&amp;$G75,Composite!$A$5:$Q$841,S$3,FALSE)</f>
        <v>0</v>
      </c>
      <c r="T75" s="31">
        <f>VLOOKUP($F75&amp;$G75,Composite!$A$5:$Q$841,T$3,FALSE)*VLOOKUP($C75,[3]!ExistingSat,MATCH($A75,[3]SATS!$C$10:$F$10,0)+1,FALSE)</f>
        <v>0</v>
      </c>
    </row>
    <row r="76" spans="1:20">
      <c r="A76" t="s">
        <v>87</v>
      </c>
      <c r="B76" t="s">
        <v>76</v>
      </c>
      <c r="C76" t="s">
        <v>28</v>
      </c>
      <c r="D76" t="s">
        <v>61</v>
      </c>
      <c r="E76" t="str">
        <f t="shared" si="2"/>
        <v>Electric FAFHZ3ATTIC R0 - R49</v>
      </c>
      <c r="F76" s="31" t="str">
        <f>Composite!B75</f>
        <v>Multi Family Weatherization - Insulate Attic - R-0 to R-49 - Heating Zone 3 (Electric FAF Heating System)</v>
      </c>
      <c r="G76" s="31" t="str">
        <f>Composite!C75</f>
        <v>ATTIC R0 - R49</v>
      </c>
      <c r="H76" s="31">
        <f>VLOOKUP($F76&amp;$G76,Composite!$A$5:$Q$841,H$3,FALSE)*VLOOKUP($C76,[3]!ExistingSat,MATCH($A76,[3]SATS!$C$10:$F$10,0)+1,FALSE)</f>
        <v>259.34393510580031</v>
      </c>
      <c r="I76">
        <f>VLOOKUP($F76&amp;$G76,Composite!$A$5:$Q$841,I$3,FALSE)</f>
        <v>45</v>
      </c>
      <c r="J76" s="31">
        <f>VLOOKUP($F76&amp;$G76,Composite!$A$5:$Q$841,J$3,FALSE)*VLOOKUP($C76,[3]!ExistingSat,MATCH($A76,[3]SATS!$C$10:$F$10,0)+1,FALSE)</f>
        <v>616.64875589506175</v>
      </c>
      <c r="K76" s="31">
        <f>VLOOKUP($F76&amp;$G76,Composite!$A$5:$Q$841,K$3,FALSE)*VLOOKUP($C76,[3]!ExistingSat,MATCH($A76,[3]SATS!$C$10:$F$10,0)+1,FALSE)</f>
        <v>0</v>
      </c>
      <c r="L76" t="str">
        <f>VLOOKUP($F76&amp;$G76,Composite!$A$5:$Q$841,L$3,FALSE)</f>
        <v>ResSHWX</v>
      </c>
      <c r="M76" s="31">
        <f>VLOOKUP($F76&amp;$G76,Composite!$A$5:$Q$841,M$3,FALSE)*VLOOKUP($C76,[3]!ExistingSat,MATCH($A76,[3]SATS!$C$10:$F$10,0)+1,FALSE)</f>
        <v>0</v>
      </c>
      <c r="N76" s="31">
        <f>VLOOKUP($F76&amp;$G76,Composite!$A$5:$Q$841,N$3,FALSE)*VLOOKUP($C76,[3]!ExistingSat,MATCH($A76,[3]SATS!$C$10:$F$10,0)+1,FALSE)</f>
        <v>0</v>
      </c>
      <c r="O76">
        <f>VLOOKUP($F76&amp;$G76,Composite!$A$5:$Q$841,O$3,FALSE)</f>
        <v>0</v>
      </c>
      <c r="P76" s="31">
        <f>VLOOKUP($F76&amp;$G76,Composite!$A$5:$Q$841,P$3,FALSE)*VLOOKUP($C76,[3]!ExistingSat,MATCH($A76,[3]SATS!$C$10:$F$10,0)+1,FALSE)</f>
        <v>0</v>
      </c>
      <c r="Q76">
        <f>VLOOKUP($F76&amp;$G76,Composite!$A$5:$Q$841,Q$3,FALSE)</f>
        <v>0</v>
      </c>
      <c r="R76" s="31">
        <f>VLOOKUP($F76&amp;$G76,Composite!$A$5:$Q$841,R$3,FALSE)*VLOOKUP($C76,[3]!ExistingSat,MATCH($A76,[3]SATS!$C$10:$F$10,0)+1,FALSE)</f>
        <v>0</v>
      </c>
      <c r="S76">
        <f>VLOOKUP($F76&amp;$G76,Composite!$A$5:$Q$841,S$3,FALSE)</f>
        <v>0</v>
      </c>
      <c r="T76" s="31">
        <f>VLOOKUP($F76&amp;$G76,Composite!$A$5:$Q$841,T$3,FALSE)*VLOOKUP($C76,[3]!ExistingSat,MATCH($A76,[3]SATS!$C$10:$F$10,0)+1,FALSE)</f>
        <v>0</v>
      </c>
    </row>
    <row r="77" spans="1:20">
      <c r="A77" t="s">
        <v>87</v>
      </c>
      <c r="B77" t="s">
        <v>76</v>
      </c>
      <c r="C77" t="s">
        <v>28</v>
      </c>
      <c r="D77" t="s">
        <v>61</v>
      </c>
      <c r="E77" t="str">
        <f t="shared" si="2"/>
        <v>Electric FAFHZ3ATTIC R19 - R30</v>
      </c>
      <c r="F77" s="31" t="str">
        <f>Composite!B76</f>
        <v>Multi Family Weatherization - Insulate Attic - R-19 to R-30 - Heating Zone 3 (Electric FAF Heating System)</v>
      </c>
      <c r="G77" s="31" t="str">
        <f>Composite!C76</f>
        <v>ATTIC R19 - R30</v>
      </c>
      <c r="H77" s="31">
        <f>VLOOKUP($F77&amp;$G77,Composite!$A$5:$Q$841,H$3,FALSE)*VLOOKUP($C77,[3]!ExistingSat,MATCH($A77,[3]SATS!$C$10:$F$10,0)+1,FALSE)</f>
        <v>47.31081558827502</v>
      </c>
      <c r="I77">
        <f>VLOOKUP($F77&amp;$G77,Composite!$A$5:$Q$841,I$3,FALSE)</f>
        <v>45</v>
      </c>
      <c r="J77" s="31">
        <f>VLOOKUP($F77&amp;$G77,Composite!$A$5:$Q$841,J$3,FALSE)*VLOOKUP($C77,[3]!ExistingSat,MATCH($A77,[3]SATS!$C$10:$F$10,0)+1,FALSE)</f>
        <v>138.43135336419752</v>
      </c>
      <c r="K77" s="31">
        <f>VLOOKUP($F77&amp;$G77,Composite!$A$5:$Q$841,K$3,FALSE)*VLOOKUP($C77,[3]!ExistingSat,MATCH($A77,[3]SATS!$C$10:$F$10,0)+1,FALSE)</f>
        <v>0</v>
      </c>
      <c r="L77" t="str">
        <f>VLOOKUP($F77&amp;$G77,Composite!$A$5:$Q$841,L$3,FALSE)</f>
        <v>ResSHWX</v>
      </c>
      <c r="M77" s="31">
        <f>VLOOKUP($F77&amp;$G77,Composite!$A$5:$Q$841,M$3,FALSE)*VLOOKUP($C77,[3]!ExistingSat,MATCH($A77,[3]SATS!$C$10:$F$10,0)+1,FALSE)</f>
        <v>0</v>
      </c>
      <c r="N77" s="31">
        <f>VLOOKUP($F77&amp;$G77,Composite!$A$5:$Q$841,N$3,FALSE)*VLOOKUP($C77,[3]!ExistingSat,MATCH($A77,[3]SATS!$C$10:$F$10,0)+1,FALSE)</f>
        <v>0</v>
      </c>
      <c r="O77">
        <f>VLOOKUP($F77&amp;$G77,Composite!$A$5:$Q$841,O$3,FALSE)</f>
        <v>0</v>
      </c>
      <c r="P77" s="31">
        <f>VLOOKUP($F77&amp;$G77,Composite!$A$5:$Q$841,P$3,FALSE)*VLOOKUP($C77,[3]!ExistingSat,MATCH($A77,[3]SATS!$C$10:$F$10,0)+1,FALSE)</f>
        <v>0</v>
      </c>
      <c r="Q77">
        <f>VLOOKUP($F77&amp;$G77,Composite!$A$5:$Q$841,Q$3,FALSE)</f>
        <v>0</v>
      </c>
      <c r="R77" s="31">
        <f>VLOOKUP($F77&amp;$G77,Composite!$A$5:$Q$841,R$3,FALSE)*VLOOKUP($C77,[3]!ExistingSat,MATCH($A77,[3]SATS!$C$10:$F$10,0)+1,FALSE)</f>
        <v>0</v>
      </c>
      <c r="S77">
        <f>VLOOKUP($F77&amp;$G77,Composite!$A$5:$Q$841,S$3,FALSE)</f>
        <v>0</v>
      </c>
      <c r="T77" s="31">
        <f>VLOOKUP($F77&amp;$G77,Composite!$A$5:$Q$841,T$3,FALSE)*VLOOKUP($C77,[3]!ExistingSat,MATCH($A77,[3]SATS!$C$10:$F$10,0)+1,FALSE)</f>
        <v>0</v>
      </c>
    </row>
    <row r="78" spans="1:20">
      <c r="A78" t="s">
        <v>87</v>
      </c>
      <c r="B78" t="s">
        <v>76</v>
      </c>
      <c r="C78" t="s">
        <v>28</v>
      </c>
      <c r="D78" t="s">
        <v>61</v>
      </c>
      <c r="E78" t="str">
        <f t="shared" si="2"/>
        <v>Electric FAFHZ3ATTIC R19 - R38</v>
      </c>
      <c r="F78" s="31" t="str">
        <f>Composite!B77</f>
        <v>Multi Family Weatherization - Insulate Attic - R-19 to R-38 - Heating Zone 3 (Electric FAF Heating System)</v>
      </c>
      <c r="G78" s="31" t="str">
        <f>Composite!C77</f>
        <v>ATTIC R19 - R38</v>
      </c>
      <c r="H78" s="31">
        <f>VLOOKUP($F78&amp;$G78,Composite!$A$5:$Q$841,H$3,FALSE)*VLOOKUP($C78,[3]!ExistingSat,MATCH($A78,[3]SATS!$C$10:$F$10,0)+1,FALSE)</f>
        <v>65.319663888100294</v>
      </c>
      <c r="I78">
        <f>VLOOKUP($F78&amp;$G78,Composite!$A$5:$Q$841,I$3,FALSE)</f>
        <v>45</v>
      </c>
      <c r="J78" s="31">
        <f>VLOOKUP($F78&amp;$G78,Composite!$A$5:$Q$841,J$3,FALSE)*VLOOKUP($C78,[3]!ExistingSat,MATCH($A78,[3]SATS!$C$10:$F$10,0)+1,FALSE)</f>
        <v>239.1087012654321</v>
      </c>
      <c r="K78" s="31">
        <f>VLOOKUP($F78&amp;$G78,Composite!$A$5:$Q$841,K$3,FALSE)*VLOOKUP($C78,[3]!ExistingSat,MATCH($A78,[3]SATS!$C$10:$F$10,0)+1,FALSE)</f>
        <v>0</v>
      </c>
      <c r="L78" t="str">
        <f>VLOOKUP($F78&amp;$G78,Composite!$A$5:$Q$841,L$3,FALSE)</f>
        <v>ResSHWX</v>
      </c>
      <c r="M78" s="31">
        <f>VLOOKUP($F78&amp;$G78,Composite!$A$5:$Q$841,M$3,FALSE)*VLOOKUP($C78,[3]!ExistingSat,MATCH($A78,[3]SATS!$C$10:$F$10,0)+1,FALSE)</f>
        <v>0</v>
      </c>
      <c r="N78" s="31">
        <f>VLOOKUP($F78&amp;$G78,Composite!$A$5:$Q$841,N$3,FALSE)*VLOOKUP($C78,[3]!ExistingSat,MATCH($A78,[3]SATS!$C$10:$F$10,0)+1,FALSE)</f>
        <v>0</v>
      </c>
      <c r="O78">
        <f>VLOOKUP($F78&amp;$G78,Composite!$A$5:$Q$841,O$3,FALSE)</f>
        <v>0</v>
      </c>
      <c r="P78" s="31">
        <f>VLOOKUP($F78&amp;$G78,Composite!$A$5:$Q$841,P$3,FALSE)*VLOOKUP($C78,[3]!ExistingSat,MATCH($A78,[3]SATS!$C$10:$F$10,0)+1,FALSE)</f>
        <v>0</v>
      </c>
      <c r="Q78">
        <f>VLOOKUP($F78&amp;$G78,Composite!$A$5:$Q$841,Q$3,FALSE)</f>
        <v>0</v>
      </c>
      <c r="R78" s="31">
        <f>VLOOKUP($F78&amp;$G78,Composite!$A$5:$Q$841,R$3,FALSE)*VLOOKUP($C78,[3]!ExistingSat,MATCH($A78,[3]SATS!$C$10:$F$10,0)+1,FALSE)</f>
        <v>0</v>
      </c>
      <c r="S78">
        <f>VLOOKUP($F78&amp;$G78,Composite!$A$5:$Q$841,S$3,FALSE)</f>
        <v>0</v>
      </c>
      <c r="T78" s="31">
        <f>VLOOKUP($F78&amp;$G78,Composite!$A$5:$Q$841,T$3,FALSE)*VLOOKUP($C78,[3]!ExistingSat,MATCH($A78,[3]SATS!$C$10:$F$10,0)+1,FALSE)</f>
        <v>0</v>
      </c>
    </row>
    <row r="79" spans="1:20">
      <c r="A79" t="s">
        <v>87</v>
      </c>
      <c r="B79" t="s">
        <v>76</v>
      </c>
      <c r="C79" t="s">
        <v>28</v>
      </c>
      <c r="D79" t="s">
        <v>61</v>
      </c>
      <c r="E79" t="str">
        <f t="shared" si="2"/>
        <v>Electric FAFHZ3ATTIC R19 - R49</v>
      </c>
      <c r="F79" s="31" t="str">
        <f>Composite!B78</f>
        <v>Multi Family Weatherization - Insulate Attic - R-19 to R-49 - Heating Zone 3 (Electric FAF Heating System)</v>
      </c>
      <c r="G79" s="31" t="str">
        <f>Composite!C78</f>
        <v>ATTIC R19 - R49</v>
      </c>
      <c r="H79" s="31">
        <f>VLOOKUP($F79&amp;$G79,Composite!$A$5:$Q$841,H$3,FALSE)*VLOOKUP($C79,[3]!ExistingSat,MATCH($A79,[3]SATS!$C$10:$F$10,0)+1,FALSE)</f>
        <v>80.501968203875222</v>
      </c>
      <c r="I79">
        <f>VLOOKUP($F79&amp;$G79,Composite!$A$5:$Q$841,I$3,FALSE)</f>
        <v>45</v>
      </c>
      <c r="J79" s="31">
        <f>VLOOKUP($F79&amp;$G79,Composite!$A$5:$Q$841,J$3,FALSE)*VLOOKUP($C79,[3]!ExistingSat,MATCH($A79,[3]SATS!$C$10:$F$10,0)+1,FALSE)</f>
        <v>377.54005462962965</v>
      </c>
      <c r="K79" s="31">
        <f>VLOOKUP($F79&amp;$G79,Composite!$A$5:$Q$841,K$3,FALSE)*VLOOKUP($C79,[3]!ExistingSat,MATCH($A79,[3]SATS!$C$10:$F$10,0)+1,FALSE)</f>
        <v>0</v>
      </c>
      <c r="L79" t="str">
        <f>VLOOKUP($F79&amp;$G79,Composite!$A$5:$Q$841,L$3,FALSE)</f>
        <v>ResSHWX</v>
      </c>
      <c r="M79" s="31">
        <f>VLOOKUP($F79&amp;$G79,Composite!$A$5:$Q$841,M$3,FALSE)*VLOOKUP($C79,[3]!ExistingSat,MATCH($A79,[3]SATS!$C$10:$F$10,0)+1,FALSE)</f>
        <v>0</v>
      </c>
      <c r="N79" s="31">
        <f>VLOOKUP($F79&amp;$G79,Composite!$A$5:$Q$841,N$3,FALSE)*VLOOKUP($C79,[3]!ExistingSat,MATCH($A79,[3]SATS!$C$10:$F$10,0)+1,FALSE)</f>
        <v>0</v>
      </c>
      <c r="O79">
        <f>VLOOKUP($F79&amp;$G79,Composite!$A$5:$Q$841,O$3,FALSE)</f>
        <v>0</v>
      </c>
      <c r="P79" s="31">
        <f>VLOOKUP($F79&amp;$G79,Composite!$A$5:$Q$841,P$3,FALSE)*VLOOKUP($C79,[3]!ExistingSat,MATCH($A79,[3]SATS!$C$10:$F$10,0)+1,FALSE)</f>
        <v>0</v>
      </c>
      <c r="Q79">
        <f>VLOOKUP($F79&amp;$G79,Composite!$A$5:$Q$841,Q$3,FALSE)</f>
        <v>0</v>
      </c>
      <c r="R79" s="31">
        <f>VLOOKUP($F79&amp;$G79,Composite!$A$5:$Q$841,R$3,FALSE)*VLOOKUP($C79,[3]!ExistingSat,MATCH($A79,[3]SATS!$C$10:$F$10,0)+1,FALSE)</f>
        <v>0</v>
      </c>
      <c r="S79">
        <f>VLOOKUP($F79&amp;$G79,Composite!$A$5:$Q$841,S$3,FALSE)</f>
        <v>0</v>
      </c>
      <c r="T79" s="31">
        <f>VLOOKUP($F79&amp;$G79,Composite!$A$5:$Q$841,T$3,FALSE)*VLOOKUP($C79,[3]!ExistingSat,MATCH($A79,[3]SATS!$C$10:$F$10,0)+1,FALSE)</f>
        <v>0</v>
      </c>
    </row>
    <row r="80" spans="1:20">
      <c r="A80" t="s">
        <v>87</v>
      </c>
      <c r="B80" t="s">
        <v>76</v>
      </c>
      <c r="C80" t="s">
        <v>27</v>
      </c>
      <c r="D80" t="s">
        <v>61</v>
      </c>
      <c r="E80" t="str">
        <f t="shared" si="2"/>
        <v>Electric FAFHZ3WINDOW CL22 Prime Window Replacement of Single Pane Base</v>
      </c>
      <c r="F80" s="31" t="str">
        <f>Composite!B79</f>
        <v>Windows - Single Pane to Class 22 - Heating Zone 3 (Electric FAF Heating System)</v>
      </c>
      <c r="G80" s="31" t="str">
        <f>Composite!C79</f>
        <v>WINDOW CL22 Prime Window Replacement of Single Pane Base</v>
      </c>
      <c r="H80" s="31">
        <f>VLOOKUP($F80&amp;$G80,Composite!$A$5:$Q$841,H$3,FALSE)*VLOOKUP($C80,[3]!ExistingSat,MATCH($A80,[3]SATS!$C$10:$F$10,0)+1,FALSE)</f>
        <v>6851.6170143924819</v>
      </c>
      <c r="I80">
        <f>VLOOKUP($F80&amp;$G80,Composite!$A$5:$Q$841,I$3,FALSE)</f>
        <v>45</v>
      </c>
      <c r="J80" s="31">
        <f>VLOOKUP($F80&amp;$G80,Composite!$A$5:$Q$841,J$3,FALSE)*VLOOKUP($C80,[3]!ExistingSat,MATCH($A80,[3]SATS!$C$10:$F$10,0)+1,FALSE)</f>
        <v>4101.7368570659019</v>
      </c>
      <c r="K80" s="31">
        <f>VLOOKUP($F80&amp;$G80,Composite!$A$5:$Q$841,K$3,FALSE)*VLOOKUP($C80,[3]!ExistingSat,MATCH($A80,[3]SATS!$C$10:$F$10,0)+1,FALSE)</f>
        <v>0</v>
      </c>
      <c r="L80" t="str">
        <f>VLOOKUP($F80&amp;$G80,Composite!$A$5:$Q$841,L$3,FALSE)</f>
        <v>ResSHWX</v>
      </c>
      <c r="M80" s="31">
        <f>VLOOKUP($F80&amp;$G80,Composite!$A$5:$Q$841,M$3,FALSE)*VLOOKUP($C80,[3]!ExistingSat,MATCH($A80,[3]SATS!$C$10:$F$10,0)+1,FALSE)</f>
        <v>0</v>
      </c>
      <c r="N80" s="31">
        <f>VLOOKUP($F80&amp;$G80,Composite!$A$5:$Q$841,N$3,FALSE)*VLOOKUP($C80,[3]!ExistingSat,MATCH($A80,[3]SATS!$C$10:$F$10,0)+1,FALSE)</f>
        <v>0</v>
      </c>
      <c r="O80">
        <f>VLOOKUP($F80&amp;$G80,Composite!$A$5:$Q$841,O$3,FALSE)</f>
        <v>0</v>
      </c>
      <c r="P80" s="31">
        <f>VLOOKUP($F80&amp;$G80,Composite!$A$5:$Q$841,P$3,FALSE)*VLOOKUP($C80,[3]!ExistingSat,MATCH($A80,[3]SATS!$C$10:$F$10,0)+1,FALSE)</f>
        <v>0</v>
      </c>
      <c r="Q80">
        <f>VLOOKUP($F80&amp;$G80,Composite!$A$5:$Q$841,Q$3,FALSE)</f>
        <v>0</v>
      </c>
      <c r="R80" s="31">
        <f>VLOOKUP($F80&amp;$G80,Composite!$A$5:$Q$841,R$3,FALSE)*VLOOKUP($C80,[3]!ExistingSat,MATCH($A80,[3]SATS!$C$10:$F$10,0)+1,FALSE)</f>
        <v>0</v>
      </c>
      <c r="S80">
        <f>VLOOKUP($F80&amp;$G80,Composite!$A$5:$Q$841,S$3,FALSE)</f>
        <v>0</v>
      </c>
      <c r="T80" s="31">
        <f>VLOOKUP($F80&amp;$G80,Composite!$A$5:$Q$841,T$3,FALSE)*VLOOKUP($C80,[3]!ExistingSat,MATCH($A80,[3]SATS!$C$10:$F$10,0)+1,FALSE)</f>
        <v>0</v>
      </c>
    </row>
    <row r="81" spans="1:20">
      <c r="A81" t="s">
        <v>87</v>
      </c>
      <c r="B81" t="s">
        <v>76</v>
      </c>
      <c r="C81" t="s">
        <v>27</v>
      </c>
      <c r="D81" t="s">
        <v>61</v>
      </c>
      <c r="E81" t="str">
        <f t="shared" si="2"/>
        <v>Electric FAFHZ3WINDOW CL22 Prime Window Replacement of Double Pane Base</v>
      </c>
      <c r="F81" s="31" t="str">
        <f>Composite!B80</f>
        <v>Windows - Double Pane to Class 22 - Heating Zone 3 (Electric FAF Heating System)</v>
      </c>
      <c r="G81" s="31" t="str">
        <f>Composite!C80</f>
        <v>WINDOW CL22 Prime Window Replacement of Double Pane Base</v>
      </c>
      <c r="H81" s="31">
        <f>VLOOKUP($F81&amp;$G81,Composite!$A$5:$Q$841,H$3,FALSE)*VLOOKUP($C81,[3]!ExistingSat,MATCH($A81,[3]SATS!$C$10:$F$10,0)+1,FALSE)</f>
        <v>4135.8066036251985</v>
      </c>
      <c r="I81">
        <f>VLOOKUP($F81&amp;$G81,Composite!$A$5:$Q$841,I$3,FALSE)</f>
        <v>45</v>
      </c>
      <c r="J81" s="31">
        <f>VLOOKUP($F81&amp;$G81,Composite!$A$5:$Q$841,J$3,FALSE)*VLOOKUP($C81,[3]!ExistingSat,MATCH($A81,[3]SATS!$C$10:$F$10,0)+1,FALSE)</f>
        <v>4101.7368570659019</v>
      </c>
      <c r="K81" s="31">
        <f>VLOOKUP($F81&amp;$G81,Composite!$A$5:$Q$841,K$3,FALSE)*VLOOKUP($C81,[3]!ExistingSat,MATCH($A81,[3]SATS!$C$10:$F$10,0)+1,FALSE)</f>
        <v>0</v>
      </c>
      <c r="L81" t="str">
        <f>VLOOKUP($F81&amp;$G81,Composite!$A$5:$Q$841,L$3,FALSE)</f>
        <v>ResSHWX</v>
      </c>
      <c r="M81" s="31">
        <f>VLOOKUP($F81&amp;$G81,Composite!$A$5:$Q$841,M$3,FALSE)*VLOOKUP($C81,[3]!ExistingSat,MATCH($A81,[3]SATS!$C$10:$F$10,0)+1,FALSE)</f>
        <v>0</v>
      </c>
      <c r="N81" s="31">
        <f>VLOOKUP($F81&amp;$G81,Composite!$A$5:$Q$841,N$3,FALSE)*VLOOKUP($C81,[3]!ExistingSat,MATCH($A81,[3]SATS!$C$10:$F$10,0)+1,FALSE)</f>
        <v>0</v>
      </c>
      <c r="O81">
        <f>VLOOKUP($F81&amp;$G81,Composite!$A$5:$Q$841,O$3,FALSE)</f>
        <v>0</v>
      </c>
      <c r="P81" s="31">
        <f>VLOOKUP($F81&amp;$G81,Composite!$A$5:$Q$841,P$3,FALSE)*VLOOKUP($C81,[3]!ExistingSat,MATCH($A81,[3]SATS!$C$10:$F$10,0)+1,FALSE)</f>
        <v>0</v>
      </c>
      <c r="Q81">
        <f>VLOOKUP($F81&amp;$G81,Composite!$A$5:$Q$841,Q$3,FALSE)</f>
        <v>0</v>
      </c>
      <c r="R81" s="31">
        <f>VLOOKUP($F81&amp;$G81,Composite!$A$5:$Q$841,R$3,FALSE)*VLOOKUP($C81,[3]!ExistingSat,MATCH($A81,[3]SATS!$C$10:$F$10,0)+1,FALSE)</f>
        <v>0</v>
      </c>
      <c r="S81">
        <f>VLOOKUP($F81&amp;$G81,Composite!$A$5:$Q$841,S$3,FALSE)</f>
        <v>0</v>
      </c>
      <c r="T81" s="31">
        <f>VLOOKUP($F81&amp;$G81,Composite!$A$5:$Q$841,T$3,FALSE)*VLOOKUP($C81,[3]!ExistingSat,MATCH($A81,[3]SATS!$C$10:$F$10,0)+1,FALSE)</f>
        <v>0</v>
      </c>
    </row>
    <row r="82" spans="1:20">
      <c r="A82" t="s">
        <v>87</v>
      </c>
      <c r="B82" t="s">
        <v>76</v>
      </c>
      <c r="C82" t="s">
        <v>27</v>
      </c>
      <c r="D82" t="s">
        <v>61</v>
      </c>
      <c r="E82" t="str">
        <f t="shared" si="2"/>
        <v>Electric FAFHZ3WINDOW CL30 Prime Window Replacement of Single Pane Base</v>
      </c>
      <c r="F82" s="31" t="str">
        <f>Composite!B81</f>
        <v>Windows - Single Pane to Class 30 - Heating Zone 3 (Electric FAF Heating System)</v>
      </c>
      <c r="G82" s="31" t="str">
        <f>Composite!C81</f>
        <v>WINDOW CL30 Prime Window Replacement of Single Pane Base</v>
      </c>
      <c r="H82" s="31">
        <f>VLOOKUP($F82&amp;$G82,Composite!$A$5:$Q$841,H$3,FALSE)*VLOOKUP($C82,[3]!ExistingSat,MATCH($A82,[3]SATS!$C$10:$F$10,0)+1,FALSE)</f>
        <v>6282.0865491801978</v>
      </c>
      <c r="I82">
        <f>VLOOKUP($F82&amp;$G82,Composite!$A$5:$Q$841,I$3,FALSE)</f>
        <v>45</v>
      </c>
      <c r="J82" s="31">
        <f>VLOOKUP($F82&amp;$G82,Composite!$A$5:$Q$841,J$3,FALSE)*VLOOKUP($C82,[3]!ExistingSat,MATCH($A82,[3]SATS!$C$10:$F$10,0)+1,FALSE)</f>
        <v>3865.0968570659024</v>
      </c>
      <c r="K82" s="31">
        <f>VLOOKUP($F82&amp;$G82,Composite!$A$5:$Q$841,K$3,FALSE)*VLOOKUP($C82,[3]!ExistingSat,MATCH($A82,[3]SATS!$C$10:$F$10,0)+1,FALSE)</f>
        <v>0</v>
      </c>
      <c r="L82" t="str">
        <f>VLOOKUP($F82&amp;$G82,Composite!$A$5:$Q$841,L$3,FALSE)</f>
        <v>ResSHWX</v>
      </c>
      <c r="M82" s="31">
        <f>VLOOKUP($F82&amp;$G82,Composite!$A$5:$Q$841,M$3,FALSE)*VLOOKUP($C82,[3]!ExistingSat,MATCH($A82,[3]SATS!$C$10:$F$10,0)+1,FALSE)</f>
        <v>0</v>
      </c>
      <c r="N82" s="31">
        <f>VLOOKUP($F82&amp;$G82,Composite!$A$5:$Q$841,N$3,FALSE)*VLOOKUP($C82,[3]!ExistingSat,MATCH($A82,[3]SATS!$C$10:$F$10,0)+1,FALSE)</f>
        <v>0</v>
      </c>
      <c r="O82">
        <f>VLOOKUP($F82&amp;$G82,Composite!$A$5:$Q$841,O$3,FALSE)</f>
        <v>0</v>
      </c>
      <c r="P82" s="31">
        <f>VLOOKUP($F82&amp;$G82,Composite!$A$5:$Q$841,P$3,FALSE)*VLOOKUP($C82,[3]!ExistingSat,MATCH($A82,[3]SATS!$C$10:$F$10,0)+1,FALSE)</f>
        <v>0</v>
      </c>
      <c r="Q82">
        <f>VLOOKUP($F82&amp;$G82,Composite!$A$5:$Q$841,Q$3,FALSE)</f>
        <v>0</v>
      </c>
      <c r="R82" s="31">
        <f>VLOOKUP($F82&amp;$G82,Composite!$A$5:$Q$841,R$3,FALSE)*VLOOKUP($C82,[3]!ExistingSat,MATCH($A82,[3]SATS!$C$10:$F$10,0)+1,FALSE)</f>
        <v>0</v>
      </c>
      <c r="S82">
        <f>VLOOKUP($F82&amp;$G82,Composite!$A$5:$Q$841,S$3,FALSE)</f>
        <v>0</v>
      </c>
      <c r="T82" s="31">
        <f>VLOOKUP($F82&amp;$G82,Composite!$A$5:$Q$841,T$3,FALSE)*VLOOKUP($C82,[3]!ExistingSat,MATCH($A82,[3]SATS!$C$10:$F$10,0)+1,FALSE)</f>
        <v>0</v>
      </c>
    </row>
    <row r="83" spans="1:20">
      <c r="A83" t="s">
        <v>87</v>
      </c>
      <c r="B83" t="s">
        <v>76</v>
      </c>
      <c r="C83" t="s">
        <v>27</v>
      </c>
      <c r="D83" t="s">
        <v>61</v>
      </c>
      <c r="E83" t="str">
        <f t="shared" si="2"/>
        <v>Electric FAFHZ3WINDOW CL30 Prime Window Replacement of Double Pane Base</v>
      </c>
      <c r="F83" s="31" t="str">
        <f>Composite!B82</f>
        <v>Windows - Double Pane to Class 30 - Heating Zone 3 (Electric FAF Heating System)</v>
      </c>
      <c r="G83" s="31" t="str">
        <f>Composite!C82</f>
        <v>WINDOW CL30 Prime Window Replacement of Double Pane Base</v>
      </c>
      <c r="H83" s="31">
        <f>VLOOKUP($F83&amp;$G83,Composite!$A$5:$Q$841,H$3,FALSE)*VLOOKUP($C83,[3]!ExistingSat,MATCH($A83,[3]SATS!$C$10:$F$10,0)+1,FALSE)</f>
        <v>3566.276138412914</v>
      </c>
      <c r="I83">
        <f>VLOOKUP($F83&amp;$G83,Composite!$A$5:$Q$841,I$3,FALSE)</f>
        <v>45</v>
      </c>
      <c r="J83" s="31">
        <f>VLOOKUP($F83&amp;$G83,Composite!$A$5:$Q$841,J$3,FALSE)*VLOOKUP($C83,[3]!ExistingSat,MATCH($A83,[3]SATS!$C$10:$F$10,0)+1,FALSE)</f>
        <v>3865.0968570659024</v>
      </c>
      <c r="K83" s="31">
        <f>VLOOKUP($F83&amp;$G83,Composite!$A$5:$Q$841,K$3,FALSE)*VLOOKUP($C83,[3]!ExistingSat,MATCH($A83,[3]SATS!$C$10:$F$10,0)+1,FALSE)</f>
        <v>0</v>
      </c>
      <c r="L83" t="str">
        <f>VLOOKUP($F83&amp;$G83,Composite!$A$5:$Q$841,L$3,FALSE)</f>
        <v>ResSHWX</v>
      </c>
      <c r="M83" s="31">
        <f>VLOOKUP($F83&amp;$G83,Composite!$A$5:$Q$841,M$3,FALSE)*VLOOKUP($C83,[3]!ExistingSat,MATCH($A83,[3]SATS!$C$10:$F$10,0)+1,FALSE)</f>
        <v>0</v>
      </c>
      <c r="N83" s="31">
        <f>VLOOKUP($F83&amp;$G83,Composite!$A$5:$Q$841,N$3,FALSE)*VLOOKUP($C83,[3]!ExistingSat,MATCH($A83,[3]SATS!$C$10:$F$10,0)+1,FALSE)</f>
        <v>0</v>
      </c>
      <c r="O83">
        <f>VLOOKUP($F83&amp;$G83,Composite!$A$5:$Q$841,O$3,FALSE)</f>
        <v>0</v>
      </c>
      <c r="P83" s="31">
        <f>VLOOKUP($F83&amp;$G83,Composite!$A$5:$Q$841,P$3,FALSE)*VLOOKUP($C83,[3]!ExistingSat,MATCH($A83,[3]SATS!$C$10:$F$10,0)+1,FALSE)</f>
        <v>0</v>
      </c>
      <c r="Q83">
        <f>VLOOKUP($F83&amp;$G83,Composite!$A$5:$Q$841,Q$3,FALSE)</f>
        <v>0</v>
      </c>
      <c r="R83" s="31">
        <f>VLOOKUP($F83&amp;$G83,Composite!$A$5:$Q$841,R$3,FALSE)*VLOOKUP($C83,[3]!ExistingSat,MATCH($A83,[3]SATS!$C$10:$F$10,0)+1,FALSE)</f>
        <v>0</v>
      </c>
      <c r="S83">
        <f>VLOOKUP($F83&amp;$G83,Composite!$A$5:$Q$841,S$3,FALSE)</f>
        <v>0</v>
      </c>
      <c r="T83" s="31">
        <f>VLOOKUP($F83&amp;$G83,Composite!$A$5:$Q$841,T$3,FALSE)*VLOOKUP($C83,[3]!ExistingSat,MATCH($A83,[3]SATS!$C$10:$F$10,0)+1,FALSE)</f>
        <v>0</v>
      </c>
    </row>
    <row r="84" spans="1:20">
      <c r="A84" t="s">
        <v>87</v>
      </c>
      <c r="B84" t="s">
        <v>78</v>
      </c>
      <c r="C84" t="s">
        <v>63</v>
      </c>
      <c r="D84" t="s">
        <v>59</v>
      </c>
      <c r="E84" t="str">
        <f t="shared" si="2"/>
        <v>Heat PumpHZ1WALL R0 - R11</v>
      </c>
      <c r="F84" s="31" t="str">
        <f>Composite!B83</f>
        <v>Multi Family Weatherization - Insulate Walls - R-0 to R-11 - Heating Zone 1 (Heat Pump Heating System)</v>
      </c>
      <c r="G84" s="31" t="str">
        <f>Composite!C83</f>
        <v>WALL R0 - R11</v>
      </c>
      <c r="H84" s="31">
        <f>VLOOKUP($F84&amp;$G84,Composite!$A$5:$Q$841,H$3,FALSE)*VLOOKUP($C84,[3]!ExistingSat,MATCH($A84,[3]SATS!$C$10:$F$10,0)+1,FALSE)</f>
        <v>276.14896439750515</v>
      </c>
      <c r="I84">
        <f>VLOOKUP($F84&amp;$G84,Composite!$A$5:$Q$841,I$3,FALSE)</f>
        <v>45</v>
      </c>
      <c r="J84" s="31">
        <f>VLOOKUP($F84&amp;$G84,Composite!$A$5:$Q$841,J$3,FALSE)*VLOOKUP($C84,[3]!ExistingSat,MATCH($A84,[3]SATS!$C$10:$F$10,0)+1,FALSE)</f>
        <v>414.11354893012168</v>
      </c>
      <c r="K84" s="31">
        <f>VLOOKUP($F84&amp;$G84,Composite!$A$5:$Q$841,K$3,FALSE)*VLOOKUP($C84,[3]!ExistingSat,MATCH($A84,[3]SATS!$C$10:$F$10,0)+1,FALSE)</f>
        <v>0</v>
      </c>
      <c r="L84" t="str">
        <f>VLOOKUP($F84&amp;$G84,Composite!$A$5:$Q$841,L$3,FALSE)</f>
        <v>ResSHWX</v>
      </c>
      <c r="M84" s="31">
        <f>VLOOKUP($F84&amp;$G84,Composite!$A$5:$Q$841,M$3,FALSE)*VLOOKUP($C84,[3]!ExistingSat,MATCH($A84,[3]SATS!$C$10:$F$10,0)+1,FALSE)</f>
        <v>0</v>
      </c>
      <c r="N84" s="31">
        <f>VLOOKUP($F84&amp;$G84,Composite!$A$5:$Q$841,N$3,FALSE)*VLOOKUP($C84,[3]!ExistingSat,MATCH($A84,[3]SATS!$C$10:$F$10,0)+1,FALSE)</f>
        <v>0</v>
      </c>
      <c r="O84">
        <f>VLOOKUP($F84&amp;$G84,Composite!$A$5:$Q$841,O$3,FALSE)</f>
        <v>0</v>
      </c>
      <c r="P84" s="31">
        <f>VLOOKUP($F84&amp;$G84,Composite!$A$5:$Q$841,P$3,FALSE)*VLOOKUP($C84,[3]!ExistingSat,MATCH($A84,[3]SATS!$C$10:$F$10,0)+1,FALSE)</f>
        <v>0</v>
      </c>
      <c r="Q84">
        <f>VLOOKUP($F84&amp;$G84,Composite!$A$5:$Q$841,Q$3,FALSE)</f>
        <v>0</v>
      </c>
      <c r="R84" s="31">
        <f>VLOOKUP($F84&amp;$G84,Composite!$A$5:$Q$841,R$3,FALSE)*VLOOKUP($C84,[3]!ExistingSat,MATCH($A84,[3]SATS!$C$10:$F$10,0)+1,FALSE)</f>
        <v>0</v>
      </c>
      <c r="S84">
        <f>VLOOKUP($F84&amp;$G84,Composite!$A$5:$Q$841,S$3,FALSE)</f>
        <v>0</v>
      </c>
      <c r="T84" s="31">
        <f>VLOOKUP($F84&amp;$G84,Composite!$A$5:$Q$841,T$3,FALSE)*VLOOKUP($C84,[3]!ExistingSat,MATCH($A84,[3]SATS!$C$10:$F$10,0)+1,FALSE)</f>
        <v>0</v>
      </c>
    </row>
    <row r="85" spans="1:20">
      <c r="A85" t="s">
        <v>87</v>
      </c>
      <c r="B85" t="s">
        <v>78</v>
      </c>
      <c r="C85" t="s">
        <v>26</v>
      </c>
      <c r="D85" t="s">
        <v>59</v>
      </c>
      <c r="E85" t="str">
        <f t="shared" si="2"/>
        <v>Heat PumpHZ1FLOOR R0 - R19</v>
      </c>
      <c r="F85" s="31" t="str">
        <f>Composite!B84</f>
        <v>Multi Family Weatherization - Insulate Floors - R-0 to R-19 - Heating Zone 1 (Heat Pump Heating System)</v>
      </c>
      <c r="G85" s="31" t="str">
        <f>Composite!C84</f>
        <v>FLOOR R0 - R19</v>
      </c>
      <c r="H85" s="31">
        <f>VLOOKUP($F85&amp;$G85,Composite!$A$5:$Q$841,H$3,FALSE)*VLOOKUP($C85,[3]!ExistingSat,MATCH($A85,[3]SATS!$C$10:$F$10,0)+1,FALSE)</f>
        <v>57.841373302788448</v>
      </c>
      <c r="I85">
        <f>VLOOKUP($F85&amp;$G85,Composite!$A$5:$Q$841,I$3,FALSE)</f>
        <v>45</v>
      </c>
      <c r="J85" s="31">
        <f>VLOOKUP($F85&amp;$G85,Composite!$A$5:$Q$841,J$3,FALSE)*VLOOKUP($C85,[3]!ExistingSat,MATCH($A85,[3]SATS!$C$10:$F$10,0)+1,FALSE)</f>
        <v>436.41697398915824</v>
      </c>
      <c r="K85" s="31">
        <f>VLOOKUP($F85&amp;$G85,Composite!$A$5:$Q$841,K$3,FALSE)*VLOOKUP($C85,[3]!ExistingSat,MATCH($A85,[3]SATS!$C$10:$F$10,0)+1,FALSE)</f>
        <v>0</v>
      </c>
      <c r="L85" t="str">
        <f>VLOOKUP($F85&amp;$G85,Composite!$A$5:$Q$841,L$3,FALSE)</f>
        <v>ResSHWX</v>
      </c>
      <c r="M85" s="31">
        <f>VLOOKUP($F85&amp;$G85,Composite!$A$5:$Q$841,M$3,FALSE)*VLOOKUP($C85,[3]!ExistingSat,MATCH($A85,[3]SATS!$C$10:$F$10,0)+1,FALSE)</f>
        <v>0</v>
      </c>
      <c r="N85" s="31">
        <f>VLOOKUP($F85&amp;$G85,Composite!$A$5:$Q$841,N$3,FALSE)*VLOOKUP($C85,[3]!ExistingSat,MATCH($A85,[3]SATS!$C$10:$F$10,0)+1,FALSE)</f>
        <v>0</v>
      </c>
      <c r="O85">
        <f>VLOOKUP($F85&amp;$G85,Composite!$A$5:$Q$841,O$3,FALSE)</f>
        <v>0</v>
      </c>
      <c r="P85" s="31">
        <f>VLOOKUP($F85&amp;$G85,Composite!$A$5:$Q$841,P$3,FALSE)*VLOOKUP($C85,[3]!ExistingSat,MATCH($A85,[3]SATS!$C$10:$F$10,0)+1,FALSE)</f>
        <v>0</v>
      </c>
      <c r="Q85">
        <f>VLOOKUP($F85&amp;$G85,Composite!$A$5:$Q$841,Q$3,FALSE)</f>
        <v>0</v>
      </c>
      <c r="R85" s="31">
        <f>VLOOKUP($F85&amp;$G85,Composite!$A$5:$Q$841,R$3,FALSE)*VLOOKUP($C85,[3]!ExistingSat,MATCH($A85,[3]SATS!$C$10:$F$10,0)+1,FALSE)</f>
        <v>0</v>
      </c>
      <c r="S85">
        <f>VLOOKUP($F85&amp;$G85,Composite!$A$5:$Q$841,S$3,FALSE)</f>
        <v>0</v>
      </c>
      <c r="T85" s="31">
        <f>VLOOKUP($F85&amp;$G85,Composite!$A$5:$Q$841,T$3,FALSE)*VLOOKUP($C85,[3]!ExistingSat,MATCH($A85,[3]SATS!$C$10:$F$10,0)+1,FALSE)</f>
        <v>0</v>
      </c>
    </row>
    <row r="86" spans="1:20">
      <c r="A86" t="s">
        <v>87</v>
      </c>
      <c r="B86" t="s">
        <v>78</v>
      </c>
      <c r="C86" t="s">
        <v>26</v>
      </c>
      <c r="D86" t="s">
        <v>59</v>
      </c>
      <c r="E86" t="str">
        <f t="shared" si="2"/>
        <v>Heat PumpHZ1FLOOR R0 - R30</v>
      </c>
      <c r="F86" s="31" t="str">
        <f>Composite!B85</f>
        <v>Multi Family Weatherization - Insulate Floors - R-0 to R-30 - Heating Zone 1 (Heat Pump Heating System)</v>
      </c>
      <c r="G86" s="31" t="str">
        <f>Composite!C85</f>
        <v>FLOOR R0 - R30</v>
      </c>
      <c r="H86" s="31">
        <f>VLOOKUP($F86&amp;$G86,Composite!$A$5:$Q$841,H$3,FALSE)*VLOOKUP($C86,[3]!ExistingSat,MATCH($A86,[3]SATS!$C$10:$F$10,0)+1,FALSE)</f>
        <v>74.516817135071392</v>
      </c>
      <c r="I86">
        <f>VLOOKUP($F86&amp;$G86,Composite!$A$5:$Q$841,I$3,FALSE)</f>
        <v>45</v>
      </c>
      <c r="J86" s="31">
        <f>VLOOKUP($F86&amp;$G86,Composite!$A$5:$Q$841,J$3,FALSE)*VLOOKUP($C86,[3]!ExistingSat,MATCH($A86,[3]SATS!$C$10:$F$10,0)+1,FALSE)</f>
        <v>689.07943261446042</v>
      </c>
      <c r="K86" s="31">
        <f>VLOOKUP($F86&amp;$G86,Composite!$A$5:$Q$841,K$3,FALSE)*VLOOKUP($C86,[3]!ExistingSat,MATCH($A86,[3]SATS!$C$10:$F$10,0)+1,FALSE)</f>
        <v>0</v>
      </c>
      <c r="L86" t="str">
        <f>VLOOKUP($F86&amp;$G86,Composite!$A$5:$Q$841,L$3,FALSE)</f>
        <v>ResSHWX</v>
      </c>
      <c r="M86" s="31">
        <f>VLOOKUP($F86&amp;$G86,Composite!$A$5:$Q$841,M$3,FALSE)*VLOOKUP($C86,[3]!ExistingSat,MATCH($A86,[3]SATS!$C$10:$F$10,0)+1,FALSE)</f>
        <v>0</v>
      </c>
      <c r="N86" s="31">
        <f>VLOOKUP($F86&amp;$G86,Composite!$A$5:$Q$841,N$3,FALSE)*VLOOKUP($C86,[3]!ExistingSat,MATCH($A86,[3]SATS!$C$10:$F$10,0)+1,FALSE)</f>
        <v>0</v>
      </c>
      <c r="O86">
        <f>VLOOKUP($F86&amp;$G86,Composite!$A$5:$Q$841,O$3,FALSE)</f>
        <v>0</v>
      </c>
      <c r="P86" s="31">
        <f>VLOOKUP($F86&amp;$G86,Composite!$A$5:$Q$841,P$3,FALSE)*VLOOKUP($C86,[3]!ExistingSat,MATCH($A86,[3]SATS!$C$10:$F$10,0)+1,FALSE)</f>
        <v>0</v>
      </c>
      <c r="Q86">
        <f>VLOOKUP($F86&amp;$G86,Composite!$A$5:$Q$841,Q$3,FALSE)</f>
        <v>0</v>
      </c>
      <c r="R86" s="31">
        <f>VLOOKUP($F86&amp;$G86,Composite!$A$5:$Q$841,R$3,FALSE)*VLOOKUP($C86,[3]!ExistingSat,MATCH($A86,[3]SATS!$C$10:$F$10,0)+1,FALSE)</f>
        <v>0</v>
      </c>
      <c r="S86">
        <f>VLOOKUP($F86&amp;$G86,Composite!$A$5:$Q$841,S$3,FALSE)</f>
        <v>0</v>
      </c>
      <c r="T86" s="31">
        <f>VLOOKUP($F86&amp;$G86,Composite!$A$5:$Q$841,T$3,FALSE)*VLOOKUP($C86,[3]!ExistingSat,MATCH($A86,[3]SATS!$C$10:$F$10,0)+1,FALSE)</f>
        <v>0</v>
      </c>
    </row>
    <row r="87" spans="1:20">
      <c r="A87" t="s">
        <v>87</v>
      </c>
      <c r="B87" t="s">
        <v>78</v>
      </c>
      <c r="C87" t="s">
        <v>28</v>
      </c>
      <c r="D87" t="s">
        <v>59</v>
      </c>
      <c r="E87" t="str">
        <f t="shared" si="2"/>
        <v>Heat PumpHZ1ATTIC R0 - R19</v>
      </c>
      <c r="F87" s="31" t="str">
        <f>Composite!B86</f>
        <v>Multi Family Weatherization - Insulate Attic - R-0 to R-19 - Heating Zone 1 (Heat Pump Heating System)</v>
      </c>
      <c r="G87" s="31" t="str">
        <f>Composite!C86</f>
        <v>ATTIC R0 - R19</v>
      </c>
      <c r="H87" s="31">
        <f>VLOOKUP($F87&amp;$G87,Composite!$A$5:$Q$841,H$3,FALSE)*VLOOKUP($C87,[3]!ExistingSat,MATCH($A87,[3]SATS!$C$10:$F$10,0)+1,FALSE)</f>
        <v>96.801679484361443</v>
      </c>
      <c r="I87">
        <f>VLOOKUP($F87&amp;$G87,Composite!$A$5:$Q$841,I$3,FALSE)</f>
        <v>45</v>
      </c>
      <c r="J87" s="31">
        <f>VLOOKUP($F87&amp;$G87,Composite!$A$5:$Q$841,J$3,FALSE)*VLOOKUP($C87,[3]!ExistingSat,MATCH($A87,[3]SATS!$C$10:$F$10,0)+1,FALSE)</f>
        <v>239.1087012654321</v>
      </c>
      <c r="K87" s="31">
        <f>VLOOKUP($F87&amp;$G87,Composite!$A$5:$Q$841,K$3,FALSE)*VLOOKUP($C87,[3]!ExistingSat,MATCH($A87,[3]SATS!$C$10:$F$10,0)+1,FALSE)</f>
        <v>0</v>
      </c>
      <c r="L87" t="str">
        <f>VLOOKUP($F87&amp;$G87,Composite!$A$5:$Q$841,L$3,FALSE)</f>
        <v>ResSHWX</v>
      </c>
      <c r="M87" s="31">
        <f>VLOOKUP($F87&amp;$G87,Composite!$A$5:$Q$841,M$3,FALSE)*VLOOKUP($C87,[3]!ExistingSat,MATCH($A87,[3]SATS!$C$10:$F$10,0)+1,FALSE)</f>
        <v>0</v>
      </c>
      <c r="N87" s="31">
        <f>VLOOKUP($F87&amp;$G87,Composite!$A$5:$Q$841,N$3,FALSE)*VLOOKUP($C87,[3]!ExistingSat,MATCH($A87,[3]SATS!$C$10:$F$10,0)+1,FALSE)</f>
        <v>0</v>
      </c>
      <c r="O87">
        <f>VLOOKUP($F87&amp;$G87,Composite!$A$5:$Q$841,O$3,FALSE)</f>
        <v>0</v>
      </c>
      <c r="P87" s="31">
        <f>VLOOKUP($F87&amp;$G87,Composite!$A$5:$Q$841,P$3,FALSE)*VLOOKUP($C87,[3]!ExistingSat,MATCH($A87,[3]SATS!$C$10:$F$10,0)+1,FALSE)</f>
        <v>0</v>
      </c>
      <c r="Q87">
        <f>VLOOKUP($F87&amp;$G87,Composite!$A$5:$Q$841,Q$3,FALSE)</f>
        <v>0</v>
      </c>
      <c r="R87" s="31">
        <f>VLOOKUP($F87&amp;$G87,Composite!$A$5:$Q$841,R$3,FALSE)*VLOOKUP($C87,[3]!ExistingSat,MATCH($A87,[3]SATS!$C$10:$F$10,0)+1,FALSE)</f>
        <v>0</v>
      </c>
      <c r="S87">
        <f>VLOOKUP($F87&amp;$G87,Composite!$A$5:$Q$841,S$3,FALSE)</f>
        <v>0</v>
      </c>
      <c r="T87" s="31">
        <f>VLOOKUP($F87&amp;$G87,Composite!$A$5:$Q$841,T$3,FALSE)*VLOOKUP($C87,[3]!ExistingSat,MATCH($A87,[3]SATS!$C$10:$F$10,0)+1,FALSE)</f>
        <v>0</v>
      </c>
    </row>
    <row r="88" spans="1:20">
      <c r="A88" t="s">
        <v>87</v>
      </c>
      <c r="B88" t="s">
        <v>78</v>
      </c>
      <c r="C88" t="s">
        <v>28</v>
      </c>
      <c r="D88" t="s">
        <v>59</v>
      </c>
      <c r="E88" t="str">
        <f t="shared" si="2"/>
        <v>Heat PumpHZ1ATTIC R0 - R38</v>
      </c>
      <c r="F88" s="31" t="str">
        <f>Composite!B87</f>
        <v>Multi Family Weatherization - Insulate Attic - R-0 to R-38 - Heating Zone 1 (Heat Pump Heating System)</v>
      </c>
      <c r="G88" s="31" t="str">
        <f>Composite!C87</f>
        <v>ATTIC R0 - R38</v>
      </c>
      <c r="H88" s="31">
        <f>VLOOKUP($F88&amp;$G88,Composite!$A$5:$Q$841,H$3,FALSE)*VLOOKUP($C88,[3]!ExistingSat,MATCH($A88,[3]SATS!$C$10:$F$10,0)+1,FALSE)</f>
        <v>131.85678168305145</v>
      </c>
      <c r="I88">
        <f>VLOOKUP($F88&amp;$G88,Composite!$A$5:$Q$841,I$3,FALSE)</f>
        <v>45</v>
      </c>
      <c r="J88" s="31">
        <f>VLOOKUP($F88&amp;$G88,Composite!$A$5:$Q$841,J$3,FALSE)*VLOOKUP($C88,[3]!ExistingSat,MATCH($A88,[3]SATS!$C$10:$F$10,0)+1,FALSE)</f>
        <v>478.21740253086421</v>
      </c>
      <c r="K88" s="31">
        <f>VLOOKUP($F88&amp;$G88,Composite!$A$5:$Q$841,K$3,FALSE)*VLOOKUP($C88,[3]!ExistingSat,MATCH($A88,[3]SATS!$C$10:$F$10,0)+1,FALSE)</f>
        <v>0</v>
      </c>
      <c r="L88" t="str">
        <f>VLOOKUP($F88&amp;$G88,Composite!$A$5:$Q$841,L$3,FALSE)</f>
        <v>ResSHWX</v>
      </c>
      <c r="M88" s="31">
        <f>VLOOKUP($F88&amp;$G88,Composite!$A$5:$Q$841,M$3,FALSE)*VLOOKUP($C88,[3]!ExistingSat,MATCH($A88,[3]SATS!$C$10:$F$10,0)+1,FALSE)</f>
        <v>0</v>
      </c>
      <c r="N88" s="31">
        <f>VLOOKUP($F88&amp;$G88,Composite!$A$5:$Q$841,N$3,FALSE)*VLOOKUP($C88,[3]!ExistingSat,MATCH($A88,[3]SATS!$C$10:$F$10,0)+1,FALSE)</f>
        <v>0</v>
      </c>
      <c r="O88">
        <f>VLOOKUP($F88&amp;$G88,Composite!$A$5:$Q$841,O$3,FALSE)</f>
        <v>0</v>
      </c>
      <c r="P88" s="31">
        <f>VLOOKUP($F88&amp;$G88,Composite!$A$5:$Q$841,P$3,FALSE)*VLOOKUP($C88,[3]!ExistingSat,MATCH($A88,[3]SATS!$C$10:$F$10,0)+1,FALSE)</f>
        <v>0</v>
      </c>
      <c r="Q88">
        <f>VLOOKUP($F88&amp;$G88,Composite!$A$5:$Q$841,Q$3,FALSE)</f>
        <v>0</v>
      </c>
      <c r="R88" s="31">
        <f>VLOOKUP($F88&amp;$G88,Composite!$A$5:$Q$841,R$3,FALSE)*VLOOKUP($C88,[3]!ExistingSat,MATCH($A88,[3]SATS!$C$10:$F$10,0)+1,FALSE)</f>
        <v>0</v>
      </c>
      <c r="S88">
        <f>VLOOKUP($F88&amp;$G88,Composite!$A$5:$Q$841,S$3,FALSE)</f>
        <v>0</v>
      </c>
      <c r="T88" s="31">
        <f>VLOOKUP($F88&amp;$G88,Composite!$A$5:$Q$841,T$3,FALSE)*VLOOKUP($C88,[3]!ExistingSat,MATCH($A88,[3]SATS!$C$10:$F$10,0)+1,FALSE)</f>
        <v>0</v>
      </c>
    </row>
    <row r="89" spans="1:20">
      <c r="A89" t="s">
        <v>87</v>
      </c>
      <c r="B89" t="s">
        <v>78</v>
      </c>
      <c r="C89" t="s">
        <v>28</v>
      </c>
      <c r="D89" t="s">
        <v>59</v>
      </c>
      <c r="E89" t="str">
        <f t="shared" si="2"/>
        <v>Heat PumpHZ1ATTIC R0 - R49</v>
      </c>
      <c r="F89" s="31" t="str">
        <f>Composite!B88</f>
        <v>Multi Family Weatherization - Insulate Attic - R-0 to R-49 - Heating Zone 1 (Heat Pump Heating System)</v>
      </c>
      <c r="G89" s="31" t="str">
        <f>Composite!C88</f>
        <v>ATTIC R0 - R49</v>
      </c>
      <c r="H89" s="31">
        <f>VLOOKUP($F89&amp;$G89,Composite!$A$5:$Q$841,H$3,FALSE)*VLOOKUP($C89,[3]!ExistingSat,MATCH($A89,[3]SATS!$C$10:$F$10,0)+1,FALSE)</f>
        <v>139.91899733859955</v>
      </c>
      <c r="I89">
        <f>VLOOKUP($F89&amp;$G89,Composite!$A$5:$Q$841,I$3,FALSE)</f>
        <v>45</v>
      </c>
      <c r="J89" s="31">
        <f>VLOOKUP($F89&amp;$G89,Composite!$A$5:$Q$841,J$3,FALSE)*VLOOKUP($C89,[3]!ExistingSat,MATCH($A89,[3]SATS!$C$10:$F$10,0)+1,FALSE)</f>
        <v>616.64875589506175</v>
      </c>
      <c r="K89" s="31">
        <f>VLOOKUP($F89&amp;$G89,Composite!$A$5:$Q$841,K$3,FALSE)*VLOOKUP($C89,[3]!ExistingSat,MATCH($A89,[3]SATS!$C$10:$F$10,0)+1,FALSE)</f>
        <v>0</v>
      </c>
      <c r="L89" t="str">
        <f>VLOOKUP($F89&amp;$G89,Composite!$A$5:$Q$841,L$3,FALSE)</f>
        <v>ResSHWX</v>
      </c>
      <c r="M89" s="31">
        <f>VLOOKUP($F89&amp;$G89,Composite!$A$5:$Q$841,M$3,FALSE)*VLOOKUP($C89,[3]!ExistingSat,MATCH($A89,[3]SATS!$C$10:$F$10,0)+1,FALSE)</f>
        <v>0</v>
      </c>
      <c r="N89" s="31">
        <f>VLOOKUP($F89&amp;$G89,Composite!$A$5:$Q$841,N$3,FALSE)*VLOOKUP($C89,[3]!ExistingSat,MATCH($A89,[3]SATS!$C$10:$F$10,0)+1,FALSE)</f>
        <v>0</v>
      </c>
      <c r="O89">
        <f>VLOOKUP($F89&amp;$G89,Composite!$A$5:$Q$841,O$3,FALSE)</f>
        <v>0</v>
      </c>
      <c r="P89" s="31">
        <f>VLOOKUP($F89&amp;$G89,Composite!$A$5:$Q$841,P$3,FALSE)*VLOOKUP($C89,[3]!ExistingSat,MATCH($A89,[3]SATS!$C$10:$F$10,0)+1,FALSE)</f>
        <v>0</v>
      </c>
      <c r="Q89">
        <f>VLOOKUP($F89&amp;$G89,Composite!$A$5:$Q$841,Q$3,FALSE)</f>
        <v>0</v>
      </c>
      <c r="R89" s="31">
        <f>VLOOKUP($F89&amp;$G89,Composite!$A$5:$Q$841,R$3,FALSE)*VLOOKUP($C89,[3]!ExistingSat,MATCH($A89,[3]SATS!$C$10:$F$10,0)+1,FALSE)</f>
        <v>0</v>
      </c>
      <c r="S89">
        <f>VLOOKUP($F89&amp;$G89,Composite!$A$5:$Q$841,S$3,FALSE)</f>
        <v>0</v>
      </c>
      <c r="T89" s="31">
        <f>VLOOKUP($F89&amp;$G89,Composite!$A$5:$Q$841,T$3,FALSE)*VLOOKUP($C89,[3]!ExistingSat,MATCH($A89,[3]SATS!$C$10:$F$10,0)+1,FALSE)</f>
        <v>0</v>
      </c>
    </row>
    <row r="90" spans="1:20">
      <c r="A90" t="s">
        <v>87</v>
      </c>
      <c r="B90" t="s">
        <v>78</v>
      </c>
      <c r="C90" t="s">
        <v>28</v>
      </c>
      <c r="D90" t="s">
        <v>59</v>
      </c>
      <c r="E90" t="str">
        <f t="shared" si="2"/>
        <v>Heat PumpHZ1ATTIC R19 - R30</v>
      </c>
      <c r="F90" s="31" t="str">
        <f>Composite!B89</f>
        <v>Multi Family Weatherization - Insulate Attic - R-19 to R-30 - Heating Zone 1 (Heat Pump Heating System)</v>
      </c>
      <c r="G90" s="31" t="str">
        <f>Composite!C89</f>
        <v>ATTIC R19 - R30</v>
      </c>
      <c r="H90" s="31">
        <f>VLOOKUP($F90&amp;$G90,Composite!$A$5:$Q$841,H$3,FALSE)*VLOOKUP($C90,[3]!ExistingSat,MATCH($A90,[3]SATS!$C$10:$F$10,0)+1,FALSE)</f>
        <v>25.36047905319182</v>
      </c>
      <c r="I90">
        <f>VLOOKUP($F90&amp;$G90,Composite!$A$5:$Q$841,I$3,FALSE)</f>
        <v>45</v>
      </c>
      <c r="J90" s="31">
        <f>VLOOKUP($F90&amp;$G90,Composite!$A$5:$Q$841,J$3,FALSE)*VLOOKUP($C90,[3]!ExistingSat,MATCH($A90,[3]SATS!$C$10:$F$10,0)+1,FALSE)</f>
        <v>138.43135336419752</v>
      </c>
      <c r="K90" s="31">
        <f>VLOOKUP($F90&amp;$G90,Composite!$A$5:$Q$841,K$3,FALSE)*VLOOKUP($C90,[3]!ExistingSat,MATCH($A90,[3]SATS!$C$10:$F$10,0)+1,FALSE)</f>
        <v>0</v>
      </c>
      <c r="L90" t="str">
        <f>VLOOKUP($F90&amp;$G90,Composite!$A$5:$Q$841,L$3,FALSE)</f>
        <v>ResSHWX</v>
      </c>
      <c r="M90" s="31">
        <f>VLOOKUP($F90&amp;$G90,Composite!$A$5:$Q$841,M$3,FALSE)*VLOOKUP($C90,[3]!ExistingSat,MATCH($A90,[3]SATS!$C$10:$F$10,0)+1,FALSE)</f>
        <v>0</v>
      </c>
      <c r="N90" s="31">
        <f>VLOOKUP($F90&amp;$G90,Composite!$A$5:$Q$841,N$3,FALSE)*VLOOKUP($C90,[3]!ExistingSat,MATCH($A90,[3]SATS!$C$10:$F$10,0)+1,FALSE)</f>
        <v>0</v>
      </c>
      <c r="O90">
        <f>VLOOKUP($F90&amp;$G90,Composite!$A$5:$Q$841,O$3,FALSE)</f>
        <v>0</v>
      </c>
      <c r="P90" s="31">
        <f>VLOOKUP($F90&amp;$G90,Composite!$A$5:$Q$841,P$3,FALSE)*VLOOKUP($C90,[3]!ExistingSat,MATCH($A90,[3]SATS!$C$10:$F$10,0)+1,FALSE)</f>
        <v>0</v>
      </c>
      <c r="Q90">
        <f>VLOOKUP($F90&amp;$G90,Composite!$A$5:$Q$841,Q$3,FALSE)</f>
        <v>0</v>
      </c>
      <c r="R90" s="31">
        <f>VLOOKUP($F90&amp;$G90,Composite!$A$5:$Q$841,R$3,FALSE)*VLOOKUP($C90,[3]!ExistingSat,MATCH($A90,[3]SATS!$C$10:$F$10,0)+1,FALSE)</f>
        <v>0</v>
      </c>
      <c r="S90">
        <f>VLOOKUP($F90&amp;$G90,Composite!$A$5:$Q$841,S$3,FALSE)</f>
        <v>0</v>
      </c>
      <c r="T90" s="31">
        <f>VLOOKUP($F90&amp;$G90,Composite!$A$5:$Q$841,T$3,FALSE)*VLOOKUP($C90,[3]!ExistingSat,MATCH($A90,[3]SATS!$C$10:$F$10,0)+1,FALSE)</f>
        <v>0</v>
      </c>
    </row>
    <row r="91" spans="1:20">
      <c r="A91" t="s">
        <v>87</v>
      </c>
      <c r="B91" t="s">
        <v>78</v>
      </c>
      <c r="C91" t="s">
        <v>28</v>
      </c>
      <c r="D91" t="s">
        <v>59</v>
      </c>
      <c r="E91" t="str">
        <f t="shared" si="2"/>
        <v>Heat PumpHZ1ATTIC R19 - R38</v>
      </c>
      <c r="F91" s="31" t="str">
        <f>Composite!B90</f>
        <v>Multi Family Weatherization - Insulate Attic - R-19 to R-38 - Heating Zone 1 (Heat Pump Heating System)</v>
      </c>
      <c r="G91" s="31" t="str">
        <f>Composite!C90</f>
        <v>ATTIC R19 - R38</v>
      </c>
      <c r="H91" s="31">
        <f>VLOOKUP($F91&amp;$G91,Composite!$A$5:$Q$841,H$3,FALSE)*VLOOKUP($C91,[3]!ExistingSat,MATCH($A91,[3]SATS!$C$10:$F$10,0)+1,FALSE)</f>
        <v>35.055102198689987</v>
      </c>
      <c r="I91">
        <f>VLOOKUP($F91&amp;$G91,Composite!$A$5:$Q$841,I$3,FALSE)</f>
        <v>45</v>
      </c>
      <c r="J91" s="31">
        <f>VLOOKUP($F91&amp;$G91,Composite!$A$5:$Q$841,J$3,FALSE)*VLOOKUP($C91,[3]!ExistingSat,MATCH($A91,[3]SATS!$C$10:$F$10,0)+1,FALSE)</f>
        <v>239.1087012654321</v>
      </c>
      <c r="K91" s="31">
        <f>VLOOKUP($F91&amp;$G91,Composite!$A$5:$Q$841,K$3,FALSE)*VLOOKUP($C91,[3]!ExistingSat,MATCH($A91,[3]SATS!$C$10:$F$10,0)+1,FALSE)</f>
        <v>0</v>
      </c>
      <c r="L91" t="str">
        <f>VLOOKUP($F91&amp;$G91,Composite!$A$5:$Q$841,L$3,FALSE)</f>
        <v>ResSHWX</v>
      </c>
      <c r="M91" s="31">
        <f>VLOOKUP($F91&amp;$G91,Composite!$A$5:$Q$841,M$3,FALSE)*VLOOKUP($C91,[3]!ExistingSat,MATCH($A91,[3]SATS!$C$10:$F$10,0)+1,FALSE)</f>
        <v>0</v>
      </c>
      <c r="N91" s="31">
        <f>VLOOKUP($F91&amp;$G91,Composite!$A$5:$Q$841,N$3,FALSE)*VLOOKUP($C91,[3]!ExistingSat,MATCH($A91,[3]SATS!$C$10:$F$10,0)+1,FALSE)</f>
        <v>0</v>
      </c>
      <c r="O91">
        <f>VLOOKUP($F91&amp;$G91,Composite!$A$5:$Q$841,O$3,FALSE)</f>
        <v>0</v>
      </c>
      <c r="P91" s="31">
        <f>VLOOKUP($F91&amp;$G91,Composite!$A$5:$Q$841,P$3,FALSE)*VLOOKUP($C91,[3]!ExistingSat,MATCH($A91,[3]SATS!$C$10:$F$10,0)+1,FALSE)</f>
        <v>0</v>
      </c>
      <c r="Q91">
        <f>VLOOKUP($F91&amp;$G91,Composite!$A$5:$Q$841,Q$3,FALSE)</f>
        <v>0</v>
      </c>
      <c r="R91" s="31">
        <f>VLOOKUP($F91&amp;$G91,Composite!$A$5:$Q$841,R$3,FALSE)*VLOOKUP($C91,[3]!ExistingSat,MATCH($A91,[3]SATS!$C$10:$F$10,0)+1,FALSE)</f>
        <v>0</v>
      </c>
      <c r="S91">
        <f>VLOOKUP($F91&amp;$G91,Composite!$A$5:$Q$841,S$3,FALSE)</f>
        <v>0</v>
      </c>
      <c r="T91" s="31">
        <f>VLOOKUP($F91&amp;$G91,Composite!$A$5:$Q$841,T$3,FALSE)*VLOOKUP($C91,[3]!ExistingSat,MATCH($A91,[3]SATS!$C$10:$F$10,0)+1,FALSE)</f>
        <v>0</v>
      </c>
    </row>
    <row r="92" spans="1:20">
      <c r="A92" t="s">
        <v>87</v>
      </c>
      <c r="B92" t="s">
        <v>78</v>
      </c>
      <c r="C92" t="s">
        <v>28</v>
      </c>
      <c r="D92" t="s">
        <v>59</v>
      </c>
      <c r="E92" t="str">
        <f t="shared" si="2"/>
        <v>Heat PumpHZ1ATTIC R19 - R49</v>
      </c>
      <c r="F92" s="31" t="str">
        <f>Composite!B91</f>
        <v>Multi Family Weatherization - Insulate Attic - R-19 to R-49 - Heating Zone 1 (Heat Pump Heating System)</v>
      </c>
      <c r="G92" s="31" t="str">
        <f>Composite!C91</f>
        <v>ATTIC R19 - R49</v>
      </c>
      <c r="H92" s="31">
        <f>VLOOKUP($F92&amp;$G92,Composite!$A$5:$Q$841,H$3,FALSE)*VLOOKUP($C92,[3]!ExistingSat,MATCH($A92,[3]SATS!$C$10:$F$10,0)+1,FALSE)</f>
        <v>43.117317854238088</v>
      </c>
      <c r="I92">
        <f>VLOOKUP($F92&amp;$G92,Composite!$A$5:$Q$841,I$3,FALSE)</f>
        <v>45</v>
      </c>
      <c r="J92" s="31">
        <f>VLOOKUP($F92&amp;$G92,Composite!$A$5:$Q$841,J$3,FALSE)*VLOOKUP($C92,[3]!ExistingSat,MATCH($A92,[3]SATS!$C$10:$F$10,0)+1,FALSE)</f>
        <v>377.54005462962965</v>
      </c>
      <c r="K92" s="31">
        <f>VLOOKUP($F92&amp;$G92,Composite!$A$5:$Q$841,K$3,FALSE)*VLOOKUP($C92,[3]!ExistingSat,MATCH($A92,[3]SATS!$C$10:$F$10,0)+1,FALSE)</f>
        <v>0</v>
      </c>
      <c r="L92" t="str">
        <f>VLOOKUP($F92&amp;$G92,Composite!$A$5:$Q$841,L$3,FALSE)</f>
        <v>ResSHWX</v>
      </c>
      <c r="M92" s="31">
        <f>VLOOKUP($F92&amp;$G92,Composite!$A$5:$Q$841,M$3,FALSE)*VLOOKUP($C92,[3]!ExistingSat,MATCH($A92,[3]SATS!$C$10:$F$10,0)+1,FALSE)</f>
        <v>0</v>
      </c>
      <c r="N92" s="31">
        <f>VLOOKUP($F92&amp;$G92,Composite!$A$5:$Q$841,N$3,FALSE)*VLOOKUP($C92,[3]!ExistingSat,MATCH($A92,[3]SATS!$C$10:$F$10,0)+1,FALSE)</f>
        <v>0</v>
      </c>
      <c r="O92">
        <f>VLOOKUP($F92&amp;$G92,Composite!$A$5:$Q$841,O$3,FALSE)</f>
        <v>0</v>
      </c>
      <c r="P92" s="31">
        <f>VLOOKUP($F92&amp;$G92,Composite!$A$5:$Q$841,P$3,FALSE)*VLOOKUP($C92,[3]!ExistingSat,MATCH($A92,[3]SATS!$C$10:$F$10,0)+1,FALSE)</f>
        <v>0</v>
      </c>
      <c r="Q92">
        <f>VLOOKUP($F92&amp;$G92,Composite!$A$5:$Q$841,Q$3,FALSE)</f>
        <v>0</v>
      </c>
      <c r="R92" s="31">
        <f>VLOOKUP($F92&amp;$G92,Composite!$A$5:$Q$841,R$3,FALSE)*VLOOKUP($C92,[3]!ExistingSat,MATCH($A92,[3]SATS!$C$10:$F$10,0)+1,FALSE)</f>
        <v>0</v>
      </c>
      <c r="S92">
        <f>VLOOKUP($F92&amp;$G92,Composite!$A$5:$Q$841,S$3,FALSE)</f>
        <v>0</v>
      </c>
      <c r="T92" s="31">
        <f>VLOOKUP($F92&amp;$G92,Composite!$A$5:$Q$841,T$3,FALSE)*VLOOKUP($C92,[3]!ExistingSat,MATCH($A92,[3]SATS!$C$10:$F$10,0)+1,FALSE)</f>
        <v>0</v>
      </c>
    </row>
    <row r="93" spans="1:20">
      <c r="A93" t="s">
        <v>87</v>
      </c>
      <c r="B93" t="s">
        <v>78</v>
      </c>
      <c r="C93" t="s">
        <v>27</v>
      </c>
      <c r="D93" t="s">
        <v>59</v>
      </c>
      <c r="E93" t="str">
        <f t="shared" si="2"/>
        <v>Heat PumpHZ1WINDOW CL22 Prime Window Replacement of Single Pane Base</v>
      </c>
      <c r="F93" s="31" t="str">
        <f>Composite!B92</f>
        <v>Windows - Single Pane to Class 22 - Heating Zone 1 (Heat Pump Heating System)</v>
      </c>
      <c r="G93" s="31" t="str">
        <f>Composite!C92</f>
        <v>WINDOW CL22 Prime Window Replacement of Single Pane Base</v>
      </c>
      <c r="H93" s="31">
        <f>VLOOKUP($F93&amp;$G93,Composite!$A$5:$Q$841,H$3,FALSE)*VLOOKUP($C93,[3]!ExistingSat,MATCH($A93,[3]SATS!$C$10:$F$10,0)+1,FALSE)</f>
        <v>2105.1254366918311</v>
      </c>
      <c r="I93">
        <f>VLOOKUP($F93&amp;$G93,Composite!$A$5:$Q$841,I$3,FALSE)</f>
        <v>45</v>
      </c>
      <c r="J93" s="31">
        <f>VLOOKUP($F93&amp;$G93,Composite!$A$5:$Q$841,J$3,FALSE)*VLOOKUP($C93,[3]!ExistingSat,MATCH($A93,[3]SATS!$C$10:$F$10,0)+1,FALSE)</f>
        <v>4101.7368570659019</v>
      </c>
      <c r="K93" s="31">
        <f>VLOOKUP($F93&amp;$G93,Composite!$A$5:$Q$841,K$3,FALSE)*VLOOKUP($C93,[3]!ExistingSat,MATCH($A93,[3]SATS!$C$10:$F$10,0)+1,FALSE)</f>
        <v>0</v>
      </c>
      <c r="L93" t="str">
        <f>VLOOKUP($F93&amp;$G93,Composite!$A$5:$Q$841,L$3,FALSE)</f>
        <v>ResSHWX</v>
      </c>
      <c r="M93" s="31">
        <f>VLOOKUP($F93&amp;$G93,Composite!$A$5:$Q$841,M$3,FALSE)*VLOOKUP($C93,[3]!ExistingSat,MATCH($A93,[3]SATS!$C$10:$F$10,0)+1,FALSE)</f>
        <v>0</v>
      </c>
      <c r="N93" s="31">
        <f>VLOOKUP($F93&amp;$G93,Composite!$A$5:$Q$841,N$3,FALSE)*VLOOKUP($C93,[3]!ExistingSat,MATCH($A93,[3]SATS!$C$10:$F$10,0)+1,FALSE)</f>
        <v>0</v>
      </c>
      <c r="O93">
        <f>VLOOKUP($F93&amp;$G93,Composite!$A$5:$Q$841,O$3,FALSE)</f>
        <v>0</v>
      </c>
      <c r="P93" s="31">
        <f>VLOOKUP($F93&amp;$G93,Composite!$A$5:$Q$841,P$3,FALSE)*VLOOKUP($C93,[3]!ExistingSat,MATCH($A93,[3]SATS!$C$10:$F$10,0)+1,FALSE)</f>
        <v>0</v>
      </c>
      <c r="Q93">
        <f>VLOOKUP($F93&amp;$G93,Composite!$A$5:$Q$841,Q$3,FALSE)</f>
        <v>0</v>
      </c>
      <c r="R93" s="31">
        <f>VLOOKUP($F93&amp;$G93,Composite!$A$5:$Q$841,R$3,FALSE)*VLOOKUP($C93,[3]!ExistingSat,MATCH($A93,[3]SATS!$C$10:$F$10,0)+1,FALSE)</f>
        <v>0</v>
      </c>
      <c r="S93">
        <f>VLOOKUP($F93&amp;$G93,Composite!$A$5:$Q$841,S$3,FALSE)</f>
        <v>0</v>
      </c>
      <c r="T93" s="31">
        <f>VLOOKUP($F93&amp;$G93,Composite!$A$5:$Q$841,T$3,FALSE)*VLOOKUP($C93,[3]!ExistingSat,MATCH($A93,[3]SATS!$C$10:$F$10,0)+1,FALSE)</f>
        <v>0</v>
      </c>
    </row>
    <row r="94" spans="1:20">
      <c r="A94" t="s">
        <v>87</v>
      </c>
      <c r="B94" t="s">
        <v>78</v>
      </c>
      <c r="C94" t="s">
        <v>27</v>
      </c>
      <c r="D94" t="s">
        <v>59</v>
      </c>
      <c r="E94" t="str">
        <f t="shared" si="2"/>
        <v>Heat PumpHZ1WINDOW CL22 Prime Window Replacement of Double Pane Base</v>
      </c>
      <c r="F94" s="31" t="str">
        <f>Composite!B93</f>
        <v>Windows - Double Pane to Class 22 - Heating Zone 1 (Heat Pump Heating System)</v>
      </c>
      <c r="G94" s="31" t="str">
        <f>Composite!C93</f>
        <v>WINDOW CL22 Prime Window Replacement of Double Pane Base</v>
      </c>
      <c r="H94" s="31">
        <f>VLOOKUP($F94&amp;$G94,Composite!$A$5:$Q$841,H$3,FALSE)*VLOOKUP($C94,[3]!ExistingSat,MATCH($A94,[3]SATS!$C$10:$F$10,0)+1,FALSE)</f>
        <v>1379.2145858045199</v>
      </c>
      <c r="I94">
        <f>VLOOKUP($F94&amp;$G94,Composite!$A$5:$Q$841,I$3,FALSE)</f>
        <v>45</v>
      </c>
      <c r="J94" s="31">
        <f>VLOOKUP($F94&amp;$G94,Composite!$A$5:$Q$841,J$3,FALSE)*VLOOKUP($C94,[3]!ExistingSat,MATCH($A94,[3]SATS!$C$10:$F$10,0)+1,FALSE)</f>
        <v>4101.7368570659019</v>
      </c>
      <c r="K94" s="31">
        <f>VLOOKUP($F94&amp;$G94,Composite!$A$5:$Q$841,K$3,FALSE)*VLOOKUP($C94,[3]!ExistingSat,MATCH($A94,[3]SATS!$C$10:$F$10,0)+1,FALSE)</f>
        <v>0</v>
      </c>
      <c r="L94" t="str">
        <f>VLOOKUP($F94&amp;$G94,Composite!$A$5:$Q$841,L$3,FALSE)</f>
        <v>ResSHWX</v>
      </c>
      <c r="M94" s="31">
        <f>VLOOKUP($F94&amp;$G94,Composite!$A$5:$Q$841,M$3,FALSE)*VLOOKUP($C94,[3]!ExistingSat,MATCH($A94,[3]SATS!$C$10:$F$10,0)+1,FALSE)</f>
        <v>0</v>
      </c>
      <c r="N94" s="31">
        <f>VLOOKUP($F94&amp;$G94,Composite!$A$5:$Q$841,N$3,FALSE)*VLOOKUP($C94,[3]!ExistingSat,MATCH($A94,[3]SATS!$C$10:$F$10,0)+1,FALSE)</f>
        <v>0</v>
      </c>
      <c r="O94">
        <f>VLOOKUP($F94&amp;$G94,Composite!$A$5:$Q$841,O$3,FALSE)</f>
        <v>0</v>
      </c>
      <c r="P94" s="31">
        <f>VLOOKUP($F94&amp;$G94,Composite!$A$5:$Q$841,P$3,FALSE)*VLOOKUP($C94,[3]!ExistingSat,MATCH($A94,[3]SATS!$C$10:$F$10,0)+1,FALSE)</f>
        <v>0</v>
      </c>
      <c r="Q94">
        <f>VLOOKUP($F94&amp;$G94,Composite!$A$5:$Q$841,Q$3,FALSE)</f>
        <v>0</v>
      </c>
      <c r="R94" s="31">
        <f>VLOOKUP($F94&amp;$G94,Composite!$A$5:$Q$841,R$3,FALSE)*VLOOKUP($C94,[3]!ExistingSat,MATCH($A94,[3]SATS!$C$10:$F$10,0)+1,FALSE)</f>
        <v>0</v>
      </c>
      <c r="S94">
        <f>VLOOKUP($F94&amp;$G94,Composite!$A$5:$Q$841,S$3,FALSE)</f>
        <v>0</v>
      </c>
      <c r="T94" s="31">
        <f>VLOOKUP($F94&amp;$G94,Composite!$A$5:$Q$841,T$3,FALSE)*VLOOKUP($C94,[3]!ExistingSat,MATCH($A94,[3]SATS!$C$10:$F$10,0)+1,FALSE)</f>
        <v>0</v>
      </c>
    </row>
    <row r="95" spans="1:20">
      <c r="A95" t="s">
        <v>87</v>
      </c>
      <c r="B95" t="s">
        <v>78</v>
      </c>
      <c r="C95" t="s">
        <v>27</v>
      </c>
      <c r="D95" t="s">
        <v>59</v>
      </c>
      <c r="E95" t="str">
        <f t="shared" si="2"/>
        <v>Heat PumpHZ1WINDOW CL30 Prime Window Replacement of Single Pane Base</v>
      </c>
      <c r="F95" s="31" t="str">
        <f>Composite!B94</f>
        <v>Windows - Single Pane to Class 30 - Heating Zone 1 (Heat Pump Heating System)</v>
      </c>
      <c r="G95" s="31" t="str">
        <f>Composite!C94</f>
        <v>WINDOW CL30 Prime Window Replacement of Single Pane Base</v>
      </c>
      <c r="H95" s="31">
        <f>VLOOKUP($F95&amp;$G95,Composite!$A$5:$Q$841,H$3,FALSE)*VLOOKUP($C95,[3]!ExistingSat,MATCH($A95,[3]SATS!$C$10:$F$10,0)+1,FALSE)</f>
        <v>1949.4520357932861</v>
      </c>
      <c r="I95">
        <f>VLOOKUP($F95&amp;$G95,Composite!$A$5:$Q$841,I$3,FALSE)</f>
        <v>45</v>
      </c>
      <c r="J95" s="31">
        <f>VLOOKUP($F95&amp;$G95,Composite!$A$5:$Q$841,J$3,FALSE)*VLOOKUP($C95,[3]!ExistingSat,MATCH($A95,[3]SATS!$C$10:$F$10,0)+1,FALSE)</f>
        <v>3865.0968570659024</v>
      </c>
      <c r="K95" s="31">
        <f>VLOOKUP($F95&amp;$G95,Composite!$A$5:$Q$841,K$3,FALSE)*VLOOKUP($C95,[3]!ExistingSat,MATCH($A95,[3]SATS!$C$10:$F$10,0)+1,FALSE)</f>
        <v>0</v>
      </c>
      <c r="L95" t="str">
        <f>VLOOKUP($F95&amp;$G95,Composite!$A$5:$Q$841,L$3,FALSE)</f>
        <v>ResSHWX</v>
      </c>
      <c r="M95" s="31">
        <f>VLOOKUP($F95&amp;$G95,Composite!$A$5:$Q$841,M$3,FALSE)*VLOOKUP($C95,[3]!ExistingSat,MATCH($A95,[3]SATS!$C$10:$F$10,0)+1,FALSE)</f>
        <v>0</v>
      </c>
      <c r="N95" s="31">
        <f>VLOOKUP($F95&amp;$G95,Composite!$A$5:$Q$841,N$3,FALSE)*VLOOKUP($C95,[3]!ExistingSat,MATCH($A95,[3]SATS!$C$10:$F$10,0)+1,FALSE)</f>
        <v>0</v>
      </c>
      <c r="O95">
        <f>VLOOKUP($F95&amp;$G95,Composite!$A$5:$Q$841,O$3,FALSE)</f>
        <v>0</v>
      </c>
      <c r="P95" s="31">
        <f>VLOOKUP($F95&amp;$G95,Composite!$A$5:$Q$841,P$3,FALSE)*VLOOKUP($C95,[3]!ExistingSat,MATCH($A95,[3]SATS!$C$10:$F$10,0)+1,FALSE)</f>
        <v>0</v>
      </c>
      <c r="Q95">
        <f>VLOOKUP($F95&amp;$G95,Composite!$A$5:$Q$841,Q$3,FALSE)</f>
        <v>0</v>
      </c>
      <c r="R95" s="31">
        <f>VLOOKUP($F95&amp;$G95,Composite!$A$5:$Q$841,R$3,FALSE)*VLOOKUP($C95,[3]!ExistingSat,MATCH($A95,[3]SATS!$C$10:$F$10,0)+1,FALSE)</f>
        <v>0</v>
      </c>
      <c r="S95">
        <f>VLOOKUP($F95&amp;$G95,Composite!$A$5:$Q$841,S$3,FALSE)</f>
        <v>0</v>
      </c>
      <c r="T95" s="31">
        <f>VLOOKUP($F95&amp;$G95,Composite!$A$5:$Q$841,T$3,FALSE)*VLOOKUP($C95,[3]!ExistingSat,MATCH($A95,[3]SATS!$C$10:$F$10,0)+1,FALSE)</f>
        <v>0</v>
      </c>
    </row>
    <row r="96" spans="1:20">
      <c r="A96" t="s">
        <v>87</v>
      </c>
      <c r="B96" t="s">
        <v>78</v>
      </c>
      <c r="C96" t="s">
        <v>27</v>
      </c>
      <c r="D96" t="s">
        <v>59</v>
      </c>
      <c r="E96" t="str">
        <f t="shared" si="2"/>
        <v>Heat PumpHZ1WINDOW CL30 Prime Window Replacement of Double Pane Base</v>
      </c>
      <c r="F96" s="31" t="str">
        <f>Composite!B95</f>
        <v>Windows - Double Pane to Class 30 - Heating Zone 1 (Heat Pump Heating System)</v>
      </c>
      <c r="G96" s="31" t="str">
        <f>Composite!C95</f>
        <v>WINDOW CL30 Prime Window Replacement of Double Pane Base</v>
      </c>
      <c r="H96" s="31">
        <f>VLOOKUP($F96&amp;$G96,Composite!$A$5:$Q$841,H$3,FALSE)*VLOOKUP($C96,[3]!ExistingSat,MATCH($A96,[3]SATS!$C$10:$F$10,0)+1,FALSE)</f>
        <v>1223.5411849059753</v>
      </c>
      <c r="I96">
        <f>VLOOKUP($F96&amp;$G96,Composite!$A$5:$Q$841,I$3,FALSE)</f>
        <v>45</v>
      </c>
      <c r="J96" s="31">
        <f>VLOOKUP($F96&amp;$G96,Composite!$A$5:$Q$841,J$3,FALSE)*VLOOKUP($C96,[3]!ExistingSat,MATCH($A96,[3]SATS!$C$10:$F$10,0)+1,FALSE)</f>
        <v>3865.0968570659024</v>
      </c>
      <c r="K96" s="31">
        <f>VLOOKUP($F96&amp;$G96,Composite!$A$5:$Q$841,K$3,FALSE)*VLOOKUP($C96,[3]!ExistingSat,MATCH($A96,[3]SATS!$C$10:$F$10,0)+1,FALSE)</f>
        <v>0</v>
      </c>
      <c r="L96" t="str">
        <f>VLOOKUP($F96&amp;$G96,Composite!$A$5:$Q$841,L$3,FALSE)</f>
        <v>ResSHWX</v>
      </c>
      <c r="M96" s="31">
        <f>VLOOKUP($F96&amp;$G96,Composite!$A$5:$Q$841,M$3,FALSE)*VLOOKUP($C96,[3]!ExistingSat,MATCH($A96,[3]SATS!$C$10:$F$10,0)+1,FALSE)</f>
        <v>0</v>
      </c>
      <c r="N96" s="31">
        <f>VLOOKUP($F96&amp;$G96,Composite!$A$5:$Q$841,N$3,FALSE)*VLOOKUP($C96,[3]!ExistingSat,MATCH($A96,[3]SATS!$C$10:$F$10,0)+1,FALSE)</f>
        <v>0</v>
      </c>
      <c r="O96">
        <f>VLOOKUP($F96&amp;$G96,Composite!$A$5:$Q$841,O$3,FALSE)</f>
        <v>0</v>
      </c>
      <c r="P96" s="31">
        <f>VLOOKUP($F96&amp;$G96,Composite!$A$5:$Q$841,P$3,FALSE)*VLOOKUP($C96,[3]!ExistingSat,MATCH($A96,[3]SATS!$C$10:$F$10,0)+1,FALSE)</f>
        <v>0</v>
      </c>
      <c r="Q96">
        <f>VLOOKUP($F96&amp;$G96,Composite!$A$5:$Q$841,Q$3,FALSE)</f>
        <v>0</v>
      </c>
      <c r="R96" s="31">
        <f>VLOOKUP($F96&amp;$G96,Composite!$A$5:$Q$841,R$3,FALSE)*VLOOKUP($C96,[3]!ExistingSat,MATCH($A96,[3]SATS!$C$10:$F$10,0)+1,FALSE)</f>
        <v>0</v>
      </c>
      <c r="S96">
        <f>VLOOKUP($F96&amp;$G96,Composite!$A$5:$Q$841,S$3,FALSE)</f>
        <v>0</v>
      </c>
      <c r="T96" s="31">
        <f>VLOOKUP($F96&amp;$G96,Composite!$A$5:$Q$841,T$3,FALSE)*VLOOKUP($C96,[3]!ExistingSat,MATCH($A96,[3]SATS!$C$10:$F$10,0)+1,FALSE)</f>
        <v>0</v>
      </c>
    </row>
    <row r="97" spans="1:20">
      <c r="A97" t="s">
        <v>87</v>
      </c>
      <c r="B97" t="s">
        <v>78</v>
      </c>
      <c r="C97" t="s">
        <v>63</v>
      </c>
      <c r="D97" t="s">
        <v>60</v>
      </c>
      <c r="E97" t="str">
        <f t="shared" si="2"/>
        <v>Heat PumpHZ2WALL R0 - R11</v>
      </c>
      <c r="F97" s="31" t="str">
        <f>Composite!B96</f>
        <v>Multi Family Weatherization - Insulate Walls - R-0 to R-11 - Heating Zone 2 (Heat Pump Heating System)</v>
      </c>
      <c r="G97" s="31" t="str">
        <f>Composite!C96</f>
        <v>WALL R0 - R11</v>
      </c>
      <c r="H97" s="31">
        <f>VLOOKUP($F97&amp;$G97,Composite!$A$5:$Q$841,H$3,FALSE)*VLOOKUP($C97,[3]!ExistingSat,MATCH($A97,[3]SATS!$C$10:$F$10,0)+1,FALSE)</f>
        <v>460.77842372506194</v>
      </c>
      <c r="I97">
        <f>VLOOKUP($F97&amp;$G97,Composite!$A$5:$Q$841,I$3,FALSE)</f>
        <v>45</v>
      </c>
      <c r="J97" s="31">
        <f>VLOOKUP($F97&amp;$G97,Composite!$A$5:$Q$841,J$3,FALSE)*VLOOKUP($C97,[3]!ExistingSat,MATCH($A97,[3]SATS!$C$10:$F$10,0)+1,FALSE)</f>
        <v>414.11354893012168</v>
      </c>
      <c r="K97" s="31">
        <f>VLOOKUP($F97&amp;$G97,Composite!$A$5:$Q$841,K$3,FALSE)*VLOOKUP($C97,[3]!ExistingSat,MATCH($A97,[3]SATS!$C$10:$F$10,0)+1,FALSE)</f>
        <v>0</v>
      </c>
      <c r="L97" t="str">
        <f>VLOOKUP($F97&amp;$G97,Composite!$A$5:$Q$841,L$3,FALSE)</f>
        <v>ResSHWX</v>
      </c>
      <c r="M97" s="31">
        <f>VLOOKUP($F97&amp;$G97,Composite!$A$5:$Q$841,M$3,FALSE)*VLOOKUP($C97,[3]!ExistingSat,MATCH($A97,[3]SATS!$C$10:$F$10,0)+1,FALSE)</f>
        <v>0</v>
      </c>
      <c r="N97" s="31">
        <f>VLOOKUP($F97&amp;$G97,Composite!$A$5:$Q$841,N$3,FALSE)*VLOOKUP($C97,[3]!ExistingSat,MATCH($A97,[3]SATS!$C$10:$F$10,0)+1,FALSE)</f>
        <v>0</v>
      </c>
      <c r="O97">
        <f>VLOOKUP($F97&amp;$G97,Composite!$A$5:$Q$841,O$3,FALSE)</f>
        <v>0</v>
      </c>
      <c r="P97" s="31">
        <f>VLOOKUP($F97&amp;$G97,Composite!$A$5:$Q$841,P$3,FALSE)*VLOOKUP($C97,[3]!ExistingSat,MATCH($A97,[3]SATS!$C$10:$F$10,0)+1,FALSE)</f>
        <v>0</v>
      </c>
      <c r="Q97">
        <f>VLOOKUP($F97&amp;$G97,Composite!$A$5:$Q$841,Q$3,FALSE)</f>
        <v>0</v>
      </c>
      <c r="R97" s="31">
        <f>VLOOKUP($F97&amp;$G97,Composite!$A$5:$Q$841,R$3,FALSE)*VLOOKUP($C97,[3]!ExistingSat,MATCH($A97,[3]SATS!$C$10:$F$10,0)+1,FALSE)</f>
        <v>0</v>
      </c>
      <c r="S97">
        <f>VLOOKUP($F97&amp;$G97,Composite!$A$5:$Q$841,S$3,FALSE)</f>
        <v>0</v>
      </c>
      <c r="T97" s="31">
        <f>VLOOKUP($F97&amp;$G97,Composite!$A$5:$Q$841,T$3,FALSE)*VLOOKUP($C97,[3]!ExistingSat,MATCH($A97,[3]SATS!$C$10:$F$10,0)+1,FALSE)</f>
        <v>0</v>
      </c>
    </row>
    <row r="98" spans="1:20">
      <c r="A98" t="s">
        <v>87</v>
      </c>
      <c r="B98" t="s">
        <v>78</v>
      </c>
      <c r="C98" t="s">
        <v>26</v>
      </c>
      <c r="D98" t="s">
        <v>60</v>
      </c>
      <c r="E98" t="str">
        <f t="shared" si="2"/>
        <v>Heat PumpHZ2FLOOR R0 - R19</v>
      </c>
      <c r="F98" s="31" t="str">
        <f>Composite!B97</f>
        <v>Multi Family Weatherization - Insulate Floors - R-0 to R-19 - Heating Zone 2 (Heat Pump Heating System)</v>
      </c>
      <c r="G98" s="31" t="str">
        <f>Composite!C97</f>
        <v>FLOOR R0 - R19</v>
      </c>
      <c r="H98" s="31">
        <f>VLOOKUP($F98&amp;$G98,Composite!$A$5:$Q$841,H$3,FALSE)*VLOOKUP($C98,[3]!ExistingSat,MATCH($A98,[3]SATS!$C$10:$F$10,0)+1,FALSE)</f>
        <v>90.485747153077284</v>
      </c>
      <c r="I98">
        <f>VLOOKUP($F98&amp;$G98,Composite!$A$5:$Q$841,I$3,FALSE)</f>
        <v>45</v>
      </c>
      <c r="J98" s="31">
        <f>VLOOKUP($F98&amp;$G98,Composite!$A$5:$Q$841,J$3,FALSE)*VLOOKUP($C98,[3]!ExistingSat,MATCH($A98,[3]SATS!$C$10:$F$10,0)+1,FALSE)</f>
        <v>436.41697398915824</v>
      </c>
      <c r="K98" s="31">
        <f>VLOOKUP($F98&amp;$G98,Composite!$A$5:$Q$841,K$3,FALSE)*VLOOKUP($C98,[3]!ExistingSat,MATCH($A98,[3]SATS!$C$10:$F$10,0)+1,FALSE)</f>
        <v>0</v>
      </c>
      <c r="L98" t="str">
        <f>VLOOKUP($F98&amp;$G98,Composite!$A$5:$Q$841,L$3,FALSE)</f>
        <v>ResSHWX</v>
      </c>
      <c r="M98" s="31">
        <f>VLOOKUP($F98&amp;$G98,Composite!$A$5:$Q$841,M$3,FALSE)*VLOOKUP($C98,[3]!ExistingSat,MATCH($A98,[3]SATS!$C$10:$F$10,0)+1,FALSE)</f>
        <v>0</v>
      </c>
      <c r="N98" s="31">
        <f>VLOOKUP($F98&amp;$G98,Composite!$A$5:$Q$841,N$3,FALSE)*VLOOKUP($C98,[3]!ExistingSat,MATCH($A98,[3]SATS!$C$10:$F$10,0)+1,FALSE)</f>
        <v>0</v>
      </c>
      <c r="O98">
        <f>VLOOKUP($F98&amp;$G98,Composite!$A$5:$Q$841,O$3,FALSE)</f>
        <v>0</v>
      </c>
      <c r="P98" s="31">
        <f>VLOOKUP($F98&amp;$G98,Composite!$A$5:$Q$841,P$3,FALSE)*VLOOKUP($C98,[3]!ExistingSat,MATCH($A98,[3]SATS!$C$10:$F$10,0)+1,FALSE)</f>
        <v>0</v>
      </c>
      <c r="Q98">
        <f>VLOOKUP($F98&amp;$G98,Composite!$A$5:$Q$841,Q$3,FALSE)</f>
        <v>0</v>
      </c>
      <c r="R98" s="31">
        <f>VLOOKUP($F98&amp;$G98,Composite!$A$5:$Q$841,R$3,FALSE)*VLOOKUP($C98,[3]!ExistingSat,MATCH($A98,[3]SATS!$C$10:$F$10,0)+1,FALSE)</f>
        <v>0</v>
      </c>
      <c r="S98">
        <f>VLOOKUP($F98&amp;$G98,Composite!$A$5:$Q$841,S$3,FALSE)</f>
        <v>0</v>
      </c>
      <c r="T98" s="31">
        <f>VLOOKUP($F98&amp;$G98,Composite!$A$5:$Q$841,T$3,FALSE)*VLOOKUP($C98,[3]!ExistingSat,MATCH($A98,[3]SATS!$C$10:$F$10,0)+1,FALSE)</f>
        <v>0</v>
      </c>
    </row>
    <row r="99" spans="1:20">
      <c r="A99" t="s">
        <v>87</v>
      </c>
      <c r="B99" t="s">
        <v>78</v>
      </c>
      <c r="C99" t="s">
        <v>26</v>
      </c>
      <c r="D99" t="s">
        <v>60</v>
      </c>
      <c r="E99" t="str">
        <f t="shared" si="2"/>
        <v>Heat PumpHZ2FLOOR R0 - R30</v>
      </c>
      <c r="F99" s="31" t="str">
        <f>Composite!B98</f>
        <v>Multi Family Weatherization - Insulate Floors - R-0 to R-30 - Heating Zone 2 (Heat Pump Heating System)</v>
      </c>
      <c r="G99" s="31" t="str">
        <f>Composite!C98</f>
        <v>FLOOR R0 - R30</v>
      </c>
      <c r="H99" s="31">
        <f>VLOOKUP($F99&amp;$G99,Composite!$A$5:$Q$841,H$3,FALSE)*VLOOKUP($C99,[3]!ExistingSat,MATCH($A99,[3]SATS!$C$10:$F$10,0)+1,FALSE)</f>
        <v>117.50325251362513</v>
      </c>
      <c r="I99">
        <f>VLOOKUP($F99&amp;$G99,Composite!$A$5:$Q$841,I$3,FALSE)</f>
        <v>45</v>
      </c>
      <c r="J99" s="31">
        <f>VLOOKUP($F99&amp;$G99,Composite!$A$5:$Q$841,J$3,FALSE)*VLOOKUP($C99,[3]!ExistingSat,MATCH($A99,[3]SATS!$C$10:$F$10,0)+1,FALSE)</f>
        <v>689.07943261446042</v>
      </c>
      <c r="K99" s="31">
        <f>VLOOKUP($F99&amp;$G99,Composite!$A$5:$Q$841,K$3,FALSE)*VLOOKUP($C99,[3]!ExistingSat,MATCH($A99,[3]SATS!$C$10:$F$10,0)+1,FALSE)</f>
        <v>0</v>
      </c>
      <c r="L99" t="str">
        <f>VLOOKUP($F99&amp;$G99,Composite!$A$5:$Q$841,L$3,FALSE)</f>
        <v>ResSHWX</v>
      </c>
      <c r="M99" s="31">
        <f>VLOOKUP($F99&amp;$G99,Composite!$A$5:$Q$841,M$3,FALSE)*VLOOKUP($C99,[3]!ExistingSat,MATCH($A99,[3]SATS!$C$10:$F$10,0)+1,FALSE)</f>
        <v>0</v>
      </c>
      <c r="N99" s="31">
        <f>VLOOKUP($F99&amp;$G99,Composite!$A$5:$Q$841,N$3,FALSE)*VLOOKUP($C99,[3]!ExistingSat,MATCH($A99,[3]SATS!$C$10:$F$10,0)+1,FALSE)</f>
        <v>0</v>
      </c>
      <c r="O99">
        <f>VLOOKUP($F99&amp;$G99,Composite!$A$5:$Q$841,O$3,FALSE)</f>
        <v>0</v>
      </c>
      <c r="P99" s="31">
        <f>VLOOKUP($F99&amp;$G99,Composite!$A$5:$Q$841,P$3,FALSE)*VLOOKUP($C99,[3]!ExistingSat,MATCH($A99,[3]SATS!$C$10:$F$10,0)+1,FALSE)</f>
        <v>0</v>
      </c>
      <c r="Q99">
        <f>VLOOKUP($F99&amp;$G99,Composite!$A$5:$Q$841,Q$3,FALSE)</f>
        <v>0</v>
      </c>
      <c r="R99" s="31">
        <f>VLOOKUP($F99&amp;$G99,Composite!$A$5:$Q$841,R$3,FALSE)*VLOOKUP($C99,[3]!ExistingSat,MATCH($A99,[3]SATS!$C$10:$F$10,0)+1,FALSE)</f>
        <v>0</v>
      </c>
      <c r="S99">
        <f>VLOOKUP($F99&amp;$G99,Composite!$A$5:$Q$841,S$3,FALSE)</f>
        <v>0</v>
      </c>
      <c r="T99" s="31">
        <f>VLOOKUP($F99&amp;$G99,Composite!$A$5:$Q$841,T$3,FALSE)*VLOOKUP($C99,[3]!ExistingSat,MATCH($A99,[3]SATS!$C$10:$F$10,0)+1,FALSE)</f>
        <v>0</v>
      </c>
    </row>
    <row r="100" spans="1:20">
      <c r="A100" t="s">
        <v>87</v>
      </c>
      <c r="B100" t="s">
        <v>78</v>
      </c>
      <c r="C100" t="s">
        <v>28</v>
      </c>
      <c r="D100" t="s">
        <v>60</v>
      </c>
      <c r="E100" t="str">
        <f t="shared" si="2"/>
        <v>Heat PumpHZ2ATTIC R0 - R19</v>
      </c>
      <c r="F100" s="31" t="str">
        <f>Composite!B99</f>
        <v>Multi Family Weatherization - Insulate Attic - R-0 to R-19 - Heating Zone 2 (Heat Pump Heating System)</v>
      </c>
      <c r="G100" s="31" t="str">
        <f>Composite!C99</f>
        <v>ATTIC R0 - R19</v>
      </c>
      <c r="H100" s="31">
        <f>VLOOKUP($F100&amp;$G100,Composite!$A$5:$Q$841,H$3,FALSE)*VLOOKUP($C100,[3]!ExistingSat,MATCH($A100,[3]SATS!$C$10:$F$10,0)+1,FALSE)</f>
        <v>118.09976692691824</v>
      </c>
      <c r="I100">
        <f>VLOOKUP($F100&amp;$G100,Composite!$A$5:$Q$841,I$3,FALSE)</f>
        <v>45</v>
      </c>
      <c r="J100" s="31">
        <f>VLOOKUP($F100&amp;$G100,Composite!$A$5:$Q$841,J$3,FALSE)*VLOOKUP($C100,[3]!ExistingSat,MATCH($A100,[3]SATS!$C$10:$F$10,0)+1,FALSE)</f>
        <v>239.1087012654321</v>
      </c>
      <c r="K100" s="31">
        <f>VLOOKUP($F100&amp;$G100,Composite!$A$5:$Q$841,K$3,FALSE)*VLOOKUP($C100,[3]!ExistingSat,MATCH($A100,[3]SATS!$C$10:$F$10,0)+1,FALSE)</f>
        <v>0</v>
      </c>
      <c r="L100" t="str">
        <f>VLOOKUP($F100&amp;$G100,Composite!$A$5:$Q$841,L$3,FALSE)</f>
        <v>ResSHWX</v>
      </c>
      <c r="M100" s="31">
        <f>VLOOKUP($F100&amp;$G100,Composite!$A$5:$Q$841,M$3,FALSE)*VLOOKUP($C100,[3]!ExistingSat,MATCH($A100,[3]SATS!$C$10:$F$10,0)+1,FALSE)</f>
        <v>0</v>
      </c>
      <c r="N100" s="31">
        <f>VLOOKUP($F100&amp;$G100,Composite!$A$5:$Q$841,N$3,FALSE)*VLOOKUP($C100,[3]!ExistingSat,MATCH($A100,[3]SATS!$C$10:$F$10,0)+1,FALSE)</f>
        <v>0</v>
      </c>
      <c r="O100">
        <f>VLOOKUP($F100&amp;$G100,Composite!$A$5:$Q$841,O$3,FALSE)</f>
        <v>0</v>
      </c>
      <c r="P100" s="31">
        <f>VLOOKUP($F100&amp;$G100,Composite!$A$5:$Q$841,P$3,FALSE)*VLOOKUP($C100,[3]!ExistingSat,MATCH($A100,[3]SATS!$C$10:$F$10,0)+1,FALSE)</f>
        <v>0</v>
      </c>
      <c r="Q100">
        <f>VLOOKUP($F100&amp;$G100,Composite!$A$5:$Q$841,Q$3,FALSE)</f>
        <v>0</v>
      </c>
      <c r="R100" s="31">
        <f>VLOOKUP($F100&amp;$G100,Composite!$A$5:$Q$841,R$3,FALSE)*VLOOKUP($C100,[3]!ExistingSat,MATCH($A100,[3]SATS!$C$10:$F$10,0)+1,FALSE)</f>
        <v>0</v>
      </c>
      <c r="S100">
        <f>VLOOKUP($F100&amp;$G100,Composite!$A$5:$Q$841,S$3,FALSE)</f>
        <v>0</v>
      </c>
      <c r="T100" s="31">
        <f>VLOOKUP($F100&amp;$G100,Composite!$A$5:$Q$841,T$3,FALSE)*VLOOKUP($C100,[3]!ExistingSat,MATCH($A100,[3]SATS!$C$10:$F$10,0)+1,FALSE)</f>
        <v>0</v>
      </c>
    </row>
    <row r="101" spans="1:20">
      <c r="A101" t="s">
        <v>87</v>
      </c>
      <c r="B101" t="s">
        <v>78</v>
      </c>
      <c r="C101" t="s">
        <v>28</v>
      </c>
      <c r="D101" t="s">
        <v>60</v>
      </c>
      <c r="E101" t="str">
        <f t="shared" si="2"/>
        <v>Heat PumpHZ2ATTIC R0 - R38</v>
      </c>
      <c r="F101" s="31" t="str">
        <f>Composite!B100</f>
        <v>Multi Family Weatherization - Insulate Attic - R-0 to R-38 - Heating Zone 2 (Heat Pump Heating System)</v>
      </c>
      <c r="G101" s="31" t="str">
        <f>Composite!C100</f>
        <v>ATTIC R0 - R38</v>
      </c>
      <c r="H101" s="31">
        <f>VLOOKUP($F101&amp;$G101,Composite!$A$5:$Q$841,H$3,FALSE)*VLOOKUP($C101,[3]!ExistingSat,MATCH($A101,[3]SATS!$C$10:$F$10,0)+1,FALSE)</f>
        <v>161.40763739264105</v>
      </c>
      <c r="I101">
        <f>VLOOKUP($F101&amp;$G101,Composite!$A$5:$Q$841,I$3,FALSE)</f>
        <v>45</v>
      </c>
      <c r="J101" s="31">
        <f>VLOOKUP($F101&amp;$G101,Composite!$A$5:$Q$841,J$3,FALSE)*VLOOKUP($C101,[3]!ExistingSat,MATCH($A101,[3]SATS!$C$10:$F$10,0)+1,FALSE)</f>
        <v>478.21740253086421</v>
      </c>
      <c r="K101" s="31">
        <f>VLOOKUP($F101&amp;$G101,Composite!$A$5:$Q$841,K$3,FALSE)*VLOOKUP($C101,[3]!ExistingSat,MATCH($A101,[3]SATS!$C$10:$F$10,0)+1,FALSE)</f>
        <v>0</v>
      </c>
      <c r="L101" t="str">
        <f>VLOOKUP($F101&amp;$G101,Composite!$A$5:$Q$841,L$3,FALSE)</f>
        <v>ResSHWX</v>
      </c>
      <c r="M101" s="31">
        <f>VLOOKUP($F101&amp;$G101,Composite!$A$5:$Q$841,M$3,FALSE)*VLOOKUP($C101,[3]!ExistingSat,MATCH($A101,[3]SATS!$C$10:$F$10,0)+1,FALSE)</f>
        <v>0</v>
      </c>
      <c r="N101" s="31">
        <f>VLOOKUP($F101&amp;$G101,Composite!$A$5:$Q$841,N$3,FALSE)*VLOOKUP($C101,[3]!ExistingSat,MATCH($A101,[3]SATS!$C$10:$F$10,0)+1,FALSE)</f>
        <v>0</v>
      </c>
      <c r="O101">
        <f>VLOOKUP($F101&amp;$G101,Composite!$A$5:$Q$841,O$3,FALSE)</f>
        <v>0</v>
      </c>
      <c r="P101" s="31">
        <f>VLOOKUP($F101&amp;$G101,Composite!$A$5:$Q$841,P$3,FALSE)*VLOOKUP($C101,[3]!ExistingSat,MATCH($A101,[3]SATS!$C$10:$F$10,0)+1,FALSE)</f>
        <v>0</v>
      </c>
      <c r="Q101">
        <f>VLOOKUP($F101&amp;$G101,Composite!$A$5:$Q$841,Q$3,FALSE)</f>
        <v>0</v>
      </c>
      <c r="R101" s="31">
        <f>VLOOKUP($F101&amp;$G101,Composite!$A$5:$Q$841,R$3,FALSE)*VLOOKUP($C101,[3]!ExistingSat,MATCH($A101,[3]SATS!$C$10:$F$10,0)+1,FALSE)</f>
        <v>0</v>
      </c>
      <c r="S101">
        <f>VLOOKUP($F101&amp;$G101,Composite!$A$5:$Q$841,S$3,FALSE)</f>
        <v>0</v>
      </c>
      <c r="T101" s="31">
        <f>VLOOKUP($F101&amp;$G101,Composite!$A$5:$Q$841,T$3,FALSE)*VLOOKUP($C101,[3]!ExistingSat,MATCH($A101,[3]SATS!$C$10:$F$10,0)+1,FALSE)</f>
        <v>0</v>
      </c>
    </row>
    <row r="102" spans="1:20">
      <c r="A102" t="s">
        <v>87</v>
      </c>
      <c r="B102" t="s">
        <v>78</v>
      </c>
      <c r="C102" t="s">
        <v>28</v>
      </c>
      <c r="D102" t="s">
        <v>60</v>
      </c>
      <c r="E102" t="str">
        <f t="shared" si="2"/>
        <v>Heat PumpHZ2ATTIC R0 - R49</v>
      </c>
      <c r="F102" s="31" t="str">
        <f>Composite!B101</f>
        <v>Multi Family Weatherization - Insulate Attic - R-0 to R-49 - Heating Zone 2 (Heat Pump Heating System)</v>
      </c>
      <c r="G102" s="31" t="str">
        <f>Composite!C101</f>
        <v>ATTIC R0 - R49</v>
      </c>
      <c r="H102" s="31">
        <f>VLOOKUP($F102&amp;$G102,Composite!$A$5:$Q$841,H$3,FALSE)*VLOOKUP($C102,[3]!ExistingSat,MATCH($A102,[3]SATS!$C$10:$F$10,0)+1,FALSE)</f>
        <v>171.45474966600301</v>
      </c>
      <c r="I102">
        <f>VLOOKUP($F102&amp;$G102,Composite!$A$5:$Q$841,I$3,FALSE)</f>
        <v>45</v>
      </c>
      <c r="J102" s="31">
        <f>VLOOKUP($F102&amp;$G102,Composite!$A$5:$Q$841,J$3,FALSE)*VLOOKUP($C102,[3]!ExistingSat,MATCH($A102,[3]SATS!$C$10:$F$10,0)+1,FALSE)</f>
        <v>616.64875589506175</v>
      </c>
      <c r="K102" s="31">
        <f>VLOOKUP($F102&amp;$G102,Composite!$A$5:$Q$841,K$3,FALSE)*VLOOKUP($C102,[3]!ExistingSat,MATCH($A102,[3]SATS!$C$10:$F$10,0)+1,FALSE)</f>
        <v>0</v>
      </c>
      <c r="L102" t="str">
        <f>VLOOKUP($F102&amp;$G102,Composite!$A$5:$Q$841,L$3,FALSE)</f>
        <v>ResSHWX</v>
      </c>
      <c r="M102" s="31">
        <f>VLOOKUP($F102&amp;$G102,Composite!$A$5:$Q$841,M$3,FALSE)*VLOOKUP($C102,[3]!ExistingSat,MATCH($A102,[3]SATS!$C$10:$F$10,0)+1,FALSE)</f>
        <v>0</v>
      </c>
      <c r="N102" s="31">
        <f>VLOOKUP($F102&amp;$G102,Composite!$A$5:$Q$841,N$3,FALSE)*VLOOKUP($C102,[3]!ExistingSat,MATCH($A102,[3]SATS!$C$10:$F$10,0)+1,FALSE)</f>
        <v>0</v>
      </c>
      <c r="O102">
        <f>VLOOKUP($F102&amp;$G102,Composite!$A$5:$Q$841,O$3,FALSE)</f>
        <v>0</v>
      </c>
      <c r="P102" s="31">
        <f>VLOOKUP($F102&amp;$G102,Composite!$A$5:$Q$841,P$3,FALSE)*VLOOKUP($C102,[3]!ExistingSat,MATCH($A102,[3]SATS!$C$10:$F$10,0)+1,FALSE)</f>
        <v>0</v>
      </c>
      <c r="Q102">
        <f>VLOOKUP($F102&amp;$G102,Composite!$A$5:$Q$841,Q$3,FALSE)</f>
        <v>0</v>
      </c>
      <c r="R102" s="31">
        <f>VLOOKUP($F102&amp;$G102,Composite!$A$5:$Q$841,R$3,FALSE)*VLOOKUP($C102,[3]!ExistingSat,MATCH($A102,[3]SATS!$C$10:$F$10,0)+1,FALSE)</f>
        <v>0</v>
      </c>
      <c r="S102">
        <f>VLOOKUP($F102&amp;$G102,Composite!$A$5:$Q$841,S$3,FALSE)</f>
        <v>0</v>
      </c>
      <c r="T102" s="31">
        <f>VLOOKUP($F102&amp;$G102,Composite!$A$5:$Q$841,T$3,FALSE)*VLOOKUP($C102,[3]!ExistingSat,MATCH($A102,[3]SATS!$C$10:$F$10,0)+1,FALSE)</f>
        <v>0</v>
      </c>
    </row>
    <row r="103" spans="1:20">
      <c r="A103" t="s">
        <v>87</v>
      </c>
      <c r="B103" t="s">
        <v>78</v>
      </c>
      <c r="C103" t="s">
        <v>28</v>
      </c>
      <c r="D103" t="s">
        <v>60</v>
      </c>
      <c r="E103" t="str">
        <f t="shared" si="2"/>
        <v>Heat PumpHZ2ATTIC R19 - R30</v>
      </c>
      <c r="F103" s="31" t="str">
        <f>Composite!B102</f>
        <v>Multi Family Weatherization - Insulate Attic - R-19 to R-30 - Heating Zone 2 (Heat Pump Heating System)</v>
      </c>
      <c r="G103" s="31" t="str">
        <f>Composite!C102</f>
        <v>ATTIC R19 - R30</v>
      </c>
      <c r="H103" s="31">
        <f>VLOOKUP($F103&amp;$G103,Composite!$A$5:$Q$841,H$3,FALSE)*VLOOKUP($C103,[3]!ExistingSat,MATCH($A103,[3]SATS!$C$10:$F$10,0)+1,FALSE)</f>
        <v>31.295113768372403</v>
      </c>
      <c r="I103">
        <f>VLOOKUP($F103&amp;$G103,Composite!$A$5:$Q$841,I$3,FALSE)</f>
        <v>45</v>
      </c>
      <c r="J103" s="31">
        <f>VLOOKUP($F103&amp;$G103,Composite!$A$5:$Q$841,J$3,FALSE)*VLOOKUP($C103,[3]!ExistingSat,MATCH($A103,[3]SATS!$C$10:$F$10,0)+1,FALSE)</f>
        <v>138.43135336419752</v>
      </c>
      <c r="K103" s="31">
        <f>VLOOKUP($F103&amp;$G103,Composite!$A$5:$Q$841,K$3,FALSE)*VLOOKUP($C103,[3]!ExistingSat,MATCH($A103,[3]SATS!$C$10:$F$10,0)+1,FALSE)</f>
        <v>0</v>
      </c>
      <c r="L103" t="str">
        <f>VLOOKUP($F103&amp;$G103,Composite!$A$5:$Q$841,L$3,FALSE)</f>
        <v>ResSHWX</v>
      </c>
      <c r="M103" s="31">
        <f>VLOOKUP($F103&amp;$G103,Composite!$A$5:$Q$841,M$3,FALSE)*VLOOKUP($C103,[3]!ExistingSat,MATCH($A103,[3]SATS!$C$10:$F$10,0)+1,FALSE)</f>
        <v>0</v>
      </c>
      <c r="N103" s="31">
        <f>VLOOKUP($F103&amp;$G103,Composite!$A$5:$Q$841,N$3,FALSE)*VLOOKUP($C103,[3]!ExistingSat,MATCH($A103,[3]SATS!$C$10:$F$10,0)+1,FALSE)</f>
        <v>0</v>
      </c>
      <c r="O103">
        <f>VLOOKUP($F103&amp;$G103,Composite!$A$5:$Q$841,O$3,FALSE)</f>
        <v>0</v>
      </c>
      <c r="P103" s="31">
        <f>VLOOKUP($F103&amp;$G103,Composite!$A$5:$Q$841,P$3,FALSE)*VLOOKUP($C103,[3]!ExistingSat,MATCH($A103,[3]SATS!$C$10:$F$10,0)+1,FALSE)</f>
        <v>0</v>
      </c>
      <c r="Q103">
        <f>VLOOKUP($F103&amp;$G103,Composite!$A$5:$Q$841,Q$3,FALSE)</f>
        <v>0</v>
      </c>
      <c r="R103" s="31">
        <f>VLOOKUP($F103&amp;$G103,Composite!$A$5:$Q$841,R$3,FALSE)*VLOOKUP($C103,[3]!ExistingSat,MATCH($A103,[3]SATS!$C$10:$F$10,0)+1,FALSE)</f>
        <v>0</v>
      </c>
      <c r="S103">
        <f>VLOOKUP($F103&amp;$G103,Composite!$A$5:$Q$841,S$3,FALSE)</f>
        <v>0</v>
      </c>
      <c r="T103" s="31">
        <f>VLOOKUP($F103&amp;$G103,Composite!$A$5:$Q$841,T$3,FALSE)*VLOOKUP($C103,[3]!ExistingSat,MATCH($A103,[3]SATS!$C$10:$F$10,0)+1,FALSE)</f>
        <v>0</v>
      </c>
    </row>
    <row r="104" spans="1:20">
      <c r="A104" t="s">
        <v>87</v>
      </c>
      <c r="B104" t="s">
        <v>78</v>
      </c>
      <c r="C104" t="s">
        <v>28</v>
      </c>
      <c r="D104" t="s">
        <v>60</v>
      </c>
      <c r="E104" t="str">
        <f t="shared" si="2"/>
        <v>Heat PumpHZ2ATTIC R19 - R38</v>
      </c>
      <c r="F104" s="31" t="str">
        <f>Composite!B103</f>
        <v>Multi Family Weatherization - Insulate Attic - R-19 to R-38 - Heating Zone 2 (Heat Pump Heating System)</v>
      </c>
      <c r="G104" s="31" t="str">
        <f>Composite!C103</f>
        <v>ATTIC R19 - R38</v>
      </c>
      <c r="H104" s="31">
        <f>VLOOKUP($F104&amp;$G104,Composite!$A$5:$Q$841,H$3,FALSE)*VLOOKUP($C104,[3]!ExistingSat,MATCH($A104,[3]SATS!$C$10:$F$10,0)+1,FALSE)</f>
        <v>43.307870465722814</v>
      </c>
      <c r="I104">
        <f>VLOOKUP($F104&amp;$G104,Composite!$A$5:$Q$841,I$3,FALSE)</f>
        <v>45</v>
      </c>
      <c r="J104" s="31">
        <f>VLOOKUP($F104&amp;$G104,Composite!$A$5:$Q$841,J$3,FALSE)*VLOOKUP($C104,[3]!ExistingSat,MATCH($A104,[3]SATS!$C$10:$F$10,0)+1,FALSE)</f>
        <v>239.1087012654321</v>
      </c>
      <c r="K104" s="31">
        <f>VLOOKUP($F104&amp;$G104,Composite!$A$5:$Q$841,K$3,FALSE)*VLOOKUP($C104,[3]!ExistingSat,MATCH($A104,[3]SATS!$C$10:$F$10,0)+1,FALSE)</f>
        <v>0</v>
      </c>
      <c r="L104" t="str">
        <f>VLOOKUP($F104&amp;$G104,Composite!$A$5:$Q$841,L$3,FALSE)</f>
        <v>ResSHWX</v>
      </c>
      <c r="M104" s="31">
        <f>VLOOKUP($F104&amp;$G104,Composite!$A$5:$Q$841,M$3,FALSE)*VLOOKUP($C104,[3]!ExistingSat,MATCH($A104,[3]SATS!$C$10:$F$10,0)+1,FALSE)</f>
        <v>0</v>
      </c>
      <c r="N104" s="31">
        <f>VLOOKUP($F104&amp;$G104,Composite!$A$5:$Q$841,N$3,FALSE)*VLOOKUP($C104,[3]!ExistingSat,MATCH($A104,[3]SATS!$C$10:$F$10,0)+1,FALSE)</f>
        <v>0</v>
      </c>
      <c r="O104">
        <f>VLOOKUP($F104&amp;$G104,Composite!$A$5:$Q$841,O$3,FALSE)</f>
        <v>0</v>
      </c>
      <c r="P104" s="31">
        <f>VLOOKUP($F104&amp;$G104,Composite!$A$5:$Q$841,P$3,FALSE)*VLOOKUP($C104,[3]!ExistingSat,MATCH($A104,[3]SATS!$C$10:$F$10,0)+1,FALSE)</f>
        <v>0</v>
      </c>
      <c r="Q104">
        <f>VLOOKUP($F104&amp;$G104,Composite!$A$5:$Q$841,Q$3,FALSE)</f>
        <v>0</v>
      </c>
      <c r="R104" s="31">
        <f>VLOOKUP($F104&amp;$G104,Composite!$A$5:$Q$841,R$3,FALSE)*VLOOKUP($C104,[3]!ExistingSat,MATCH($A104,[3]SATS!$C$10:$F$10,0)+1,FALSE)</f>
        <v>0</v>
      </c>
      <c r="S104">
        <f>VLOOKUP($F104&amp;$G104,Composite!$A$5:$Q$841,S$3,FALSE)</f>
        <v>0</v>
      </c>
      <c r="T104" s="31">
        <f>VLOOKUP($F104&amp;$G104,Composite!$A$5:$Q$841,T$3,FALSE)*VLOOKUP($C104,[3]!ExistingSat,MATCH($A104,[3]SATS!$C$10:$F$10,0)+1,FALSE)</f>
        <v>0</v>
      </c>
    </row>
    <row r="105" spans="1:20">
      <c r="A105" t="s">
        <v>87</v>
      </c>
      <c r="B105" t="s">
        <v>78</v>
      </c>
      <c r="C105" t="s">
        <v>28</v>
      </c>
      <c r="D105" t="s">
        <v>60</v>
      </c>
      <c r="E105" t="str">
        <f t="shared" si="2"/>
        <v>Heat PumpHZ2ATTIC R19 - R49</v>
      </c>
      <c r="F105" s="31" t="str">
        <f>Composite!B104</f>
        <v>Multi Family Weatherization - Insulate Attic - R-19 to R-49 - Heating Zone 2 (Heat Pump Heating System)</v>
      </c>
      <c r="G105" s="31" t="str">
        <f>Composite!C104</f>
        <v>ATTIC R19 - R49</v>
      </c>
      <c r="H105" s="31">
        <f>VLOOKUP($F105&amp;$G105,Composite!$A$5:$Q$841,H$3,FALSE)*VLOOKUP($C105,[3]!ExistingSat,MATCH($A105,[3]SATS!$C$10:$F$10,0)+1,FALSE)</f>
        <v>53.354982739084804</v>
      </c>
      <c r="I105">
        <f>VLOOKUP($F105&amp;$G105,Composite!$A$5:$Q$841,I$3,FALSE)</f>
        <v>45</v>
      </c>
      <c r="J105" s="31">
        <f>VLOOKUP($F105&amp;$G105,Composite!$A$5:$Q$841,J$3,FALSE)*VLOOKUP($C105,[3]!ExistingSat,MATCH($A105,[3]SATS!$C$10:$F$10,0)+1,FALSE)</f>
        <v>377.54005462962965</v>
      </c>
      <c r="K105" s="31">
        <f>VLOOKUP($F105&amp;$G105,Composite!$A$5:$Q$841,K$3,FALSE)*VLOOKUP($C105,[3]!ExistingSat,MATCH($A105,[3]SATS!$C$10:$F$10,0)+1,FALSE)</f>
        <v>0</v>
      </c>
      <c r="L105" t="str">
        <f>VLOOKUP($F105&amp;$G105,Composite!$A$5:$Q$841,L$3,FALSE)</f>
        <v>ResSHWX</v>
      </c>
      <c r="M105" s="31">
        <f>VLOOKUP($F105&amp;$G105,Composite!$A$5:$Q$841,M$3,FALSE)*VLOOKUP($C105,[3]!ExistingSat,MATCH($A105,[3]SATS!$C$10:$F$10,0)+1,FALSE)</f>
        <v>0</v>
      </c>
      <c r="N105" s="31">
        <f>VLOOKUP($F105&amp;$G105,Composite!$A$5:$Q$841,N$3,FALSE)*VLOOKUP($C105,[3]!ExistingSat,MATCH($A105,[3]SATS!$C$10:$F$10,0)+1,FALSE)</f>
        <v>0</v>
      </c>
      <c r="O105">
        <f>VLOOKUP($F105&amp;$G105,Composite!$A$5:$Q$841,O$3,FALSE)</f>
        <v>0</v>
      </c>
      <c r="P105" s="31">
        <f>VLOOKUP($F105&amp;$G105,Composite!$A$5:$Q$841,P$3,FALSE)*VLOOKUP($C105,[3]!ExistingSat,MATCH($A105,[3]SATS!$C$10:$F$10,0)+1,FALSE)</f>
        <v>0</v>
      </c>
      <c r="Q105">
        <f>VLOOKUP($F105&amp;$G105,Composite!$A$5:$Q$841,Q$3,FALSE)</f>
        <v>0</v>
      </c>
      <c r="R105" s="31">
        <f>VLOOKUP($F105&amp;$G105,Composite!$A$5:$Q$841,R$3,FALSE)*VLOOKUP($C105,[3]!ExistingSat,MATCH($A105,[3]SATS!$C$10:$F$10,0)+1,FALSE)</f>
        <v>0</v>
      </c>
      <c r="S105">
        <f>VLOOKUP($F105&amp;$G105,Composite!$A$5:$Q$841,S$3,FALSE)</f>
        <v>0</v>
      </c>
      <c r="T105" s="31">
        <f>VLOOKUP($F105&amp;$G105,Composite!$A$5:$Q$841,T$3,FALSE)*VLOOKUP($C105,[3]!ExistingSat,MATCH($A105,[3]SATS!$C$10:$F$10,0)+1,FALSE)</f>
        <v>0</v>
      </c>
    </row>
    <row r="106" spans="1:20">
      <c r="A106" t="s">
        <v>87</v>
      </c>
      <c r="B106" t="s">
        <v>78</v>
      </c>
      <c r="C106" t="s">
        <v>27</v>
      </c>
      <c r="D106" t="s">
        <v>60</v>
      </c>
      <c r="E106" t="str">
        <f t="shared" si="2"/>
        <v>Heat PumpHZ2WINDOW CL22 Prime Window Replacement of Single Pane Base</v>
      </c>
      <c r="F106" s="31" t="str">
        <f>Composite!B105</f>
        <v>Windows - Single Pane to Class 22 - Heating Zone 2 (Heat Pump Heating System)</v>
      </c>
      <c r="G106" s="31" t="str">
        <f>Composite!C105</f>
        <v>WINDOW CL22 Prime Window Replacement of Single Pane Base</v>
      </c>
      <c r="H106" s="31">
        <f>VLOOKUP($F106&amp;$G106,Composite!$A$5:$Q$841,H$3,FALSE)*VLOOKUP($C106,[3]!ExistingSat,MATCH($A106,[3]SATS!$C$10:$F$10,0)+1,FALSE)</f>
        <v>3509.879890055563</v>
      </c>
      <c r="I106">
        <f>VLOOKUP($F106&amp;$G106,Composite!$A$5:$Q$841,I$3,FALSE)</f>
        <v>45</v>
      </c>
      <c r="J106" s="31">
        <f>VLOOKUP($F106&amp;$G106,Composite!$A$5:$Q$841,J$3,FALSE)*VLOOKUP($C106,[3]!ExistingSat,MATCH($A106,[3]SATS!$C$10:$F$10,0)+1,FALSE)</f>
        <v>4101.7368570659019</v>
      </c>
      <c r="K106" s="31">
        <f>VLOOKUP($F106&amp;$G106,Composite!$A$5:$Q$841,K$3,FALSE)*VLOOKUP($C106,[3]!ExistingSat,MATCH($A106,[3]SATS!$C$10:$F$10,0)+1,FALSE)</f>
        <v>0</v>
      </c>
      <c r="L106" t="str">
        <f>VLOOKUP($F106&amp;$G106,Composite!$A$5:$Q$841,L$3,FALSE)</f>
        <v>ResSHWX</v>
      </c>
      <c r="M106" s="31">
        <f>VLOOKUP($F106&amp;$G106,Composite!$A$5:$Q$841,M$3,FALSE)*VLOOKUP($C106,[3]!ExistingSat,MATCH($A106,[3]SATS!$C$10:$F$10,0)+1,FALSE)</f>
        <v>0</v>
      </c>
      <c r="N106" s="31">
        <f>VLOOKUP($F106&amp;$G106,Composite!$A$5:$Q$841,N$3,FALSE)*VLOOKUP($C106,[3]!ExistingSat,MATCH($A106,[3]SATS!$C$10:$F$10,0)+1,FALSE)</f>
        <v>0</v>
      </c>
      <c r="O106">
        <f>VLOOKUP($F106&amp;$G106,Composite!$A$5:$Q$841,O$3,FALSE)</f>
        <v>0</v>
      </c>
      <c r="P106" s="31">
        <f>VLOOKUP($F106&amp;$G106,Composite!$A$5:$Q$841,P$3,FALSE)*VLOOKUP($C106,[3]!ExistingSat,MATCH($A106,[3]SATS!$C$10:$F$10,0)+1,FALSE)</f>
        <v>0</v>
      </c>
      <c r="Q106">
        <f>VLOOKUP($F106&amp;$G106,Composite!$A$5:$Q$841,Q$3,FALSE)</f>
        <v>0</v>
      </c>
      <c r="R106" s="31">
        <f>VLOOKUP($F106&amp;$G106,Composite!$A$5:$Q$841,R$3,FALSE)*VLOOKUP($C106,[3]!ExistingSat,MATCH($A106,[3]SATS!$C$10:$F$10,0)+1,FALSE)</f>
        <v>0</v>
      </c>
      <c r="S106">
        <f>VLOOKUP($F106&amp;$G106,Composite!$A$5:$Q$841,S$3,FALSE)</f>
        <v>0</v>
      </c>
      <c r="T106" s="31">
        <f>VLOOKUP($F106&amp;$G106,Composite!$A$5:$Q$841,T$3,FALSE)*VLOOKUP($C106,[3]!ExistingSat,MATCH($A106,[3]SATS!$C$10:$F$10,0)+1,FALSE)</f>
        <v>0</v>
      </c>
    </row>
    <row r="107" spans="1:20">
      <c r="A107" t="s">
        <v>87</v>
      </c>
      <c r="B107" t="s">
        <v>78</v>
      </c>
      <c r="C107" t="s">
        <v>27</v>
      </c>
      <c r="D107" t="s">
        <v>60</v>
      </c>
      <c r="E107" t="str">
        <f t="shared" si="2"/>
        <v>Heat PumpHZ2WINDOW CL22 Prime Window Replacement of Double Pane Base</v>
      </c>
      <c r="F107" s="31" t="str">
        <f>Composite!B106</f>
        <v>Windows - Double Pane to Class 22 - Heating Zone 2 (Heat Pump Heating System)</v>
      </c>
      <c r="G107" s="31" t="str">
        <f>Composite!C106</f>
        <v>WINDOW CL22 Prime Window Replacement of Double Pane Base</v>
      </c>
      <c r="H107" s="31">
        <f>VLOOKUP($F107&amp;$G107,Composite!$A$5:$Q$841,H$3,FALSE)*VLOOKUP($C107,[3]!ExistingSat,MATCH($A107,[3]SATS!$C$10:$F$10,0)+1,FALSE)</f>
        <v>2235.4542838884131</v>
      </c>
      <c r="I107">
        <f>VLOOKUP($F107&amp;$G107,Composite!$A$5:$Q$841,I$3,FALSE)</f>
        <v>45</v>
      </c>
      <c r="J107" s="31">
        <f>VLOOKUP($F107&amp;$G107,Composite!$A$5:$Q$841,J$3,FALSE)*VLOOKUP($C107,[3]!ExistingSat,MATCH($A107,[3]SATS!$C$10:$F$10,0)+1,FALSE)</f>
        <v>4101.7368570659019</v>
      </c>
      <c r="K107" s="31">
        <f>VLOOKUP($F107&amp;$G107,Composite!$A$5:$Q$841,K$3,FALSE)*VLOOKUP($C107,[3]!ExistingSat,MATCH($A107,[3]SATS!$C$10:$F$10,0)+1,FALSE)</f>
        <v>0</v>
      </c>
      <c r="L107" t="str">
        <f>VLOOKUP($F107&amp;$G107,Composite!$A$5:$Q$841,L$3,FALSE)</f>
        <v>ResSHWX</v>
      </c>
      <c r="M107" s="31">
        <f>VLOOKUP($F107&amp;$G107,Composite!$A$5:$Q$841,M$3,FALSE)*VLOOKUP($C107,[3]!ExistingSat,MATCH($A107,[3]SATS!$C$10:$F$10,0)+1,FALSE)</f>
        <v>0</v>
      </c>
      <c r="N107" s="31">
        <f>VLOOKUP($F107&amp;$G107,Composite!$A$5:$Q$841,N$3,FALSE)*VLOOKUP($C107,[3]!ExistingSat,MATCH($A107,[3]SATS!$C$10:$F$10,0)+1,FALSE)</f>
        <v>0</v>
      </c>
      <c r="O107">
        <f>VLOOKUP($F107&amp;$G107,Composite!$A$5:$Q$841,O$3,FALSE)</f>
        <v>0</v>
      </c>
      <c r="P107" s="31">
        <f>VLOOKUP($F107&amp;$G107,Composite!$A$5:$Q$841,P$3,FALSE)*VLOOKUP($C107,[3]!ExistingSat,MATCH($A107,[3]SATS!$C$10:$F$10,0)+1,FALSE)</f>
        <v>0</v>
      </c>
      <c r="Q107">
        <f>VLOOKUP($F107&amp;$G107,Composite!$A$5:$Q$841,Q$3,FALSE)</f>
        <v>0</v>
      </c>
      <c r="R107" s="31">
        <f>VLOOKUP($F107&amp;$G107,Composite!$A$5:$Q$841,R$3,FALSE)*VLOOKUP($C107,[3]!ExistingSat,MATCH($A107,[3]SATS!$C$10:$F$10,0)+1,FALSE)</f>
        <v>0</v>
      </c>
      <c r="S107">
        <f>VLOOKUP($F107&amp;$G107,Composite!$A$5:$Q$841,S$3,FALSE)</f>
        <v>0</v>
      </c>
      <c r="T107" s="31">
        <f>VLOOKUP($F107&amp;$G107,Composite!$A$5:$Q$841,T$3,FALSE)*VLOOKUP($C107,[3]!ExistingSat,MATCH($A107,[3]SATS!$C$10:$F$10,0)+1,FALSE)</f>
        <v>0</v>
      </c>
    </row>
    <row r="108" spans="1:20">
      <c r="A108" t="s">
        <v>87</v>
      </c>
      <c r="B108" t="s">
        <v>78</v>
      </c>
      <c r="C108" t="s">
        <v>27</v>
      </c>
      <c r="D108" t="s">
        <v>60</v>
      </c>
      <c r="E108" t="str">
        <f t="shared" si="2"/>
        <v>Heat PumpHZ2WINDOW CL30 Prime Window Replacement of Single Pane Base</v>
      </c>
      <c r="F108" s="31" t="str">
        <f>Composite!B107</f>
        <v>Windows - Single Pane to Class 30 - Heating Zone 2 (Heat Pump Heating System)</v>
      </c>
      <c r="G108" s="31" t="str">
        <f>Composite!C107</f>
        <v>WINDOW CL30 Prime Window Replacement of Single Pane Base</v>
      </c>
      <c r="H108" s="31">
        <f>VLOOKUP($F108&amp;$G108,Composite!$A$5:$Q$841,H$3,FALSE)*VLOOKUP($C108,[3]!ExistingSat,MATCH($A108,[3]SATS!$C$10:$F$10,0)+1,FALSE)</f>
        <v>3252.8975859599414</v>
      </c>
      <c r="I108">
        <f>VLOOKUP($F108&amp;$G108,Composite!$A$5:$Q$841,I$3,FALSE)</f>
        <v>45</v>
      </c>
      <c r="J108" s="31">
        <f>VLOOKUP($F108&amp;$G108,Composite!$A$5:$Q$841,J$3,FALSE)*VLOOKUP($C108,[3]!ExistingSat,MATCH($A108,[3]SATS!$C$10:$F$10,0)+1,FALSE)</f>
        <v>3865.0968570659024</v>
      </c>
      <c r="K108" s="31">
        <f>VLOOKUP($F108&amp;$G108,Composite!$A$5:$Q$841,K$3,FALSE)*VLOOKUP($C108,[3]!ExistingSat,MATCH($A108,[3]SATS!$C$10:$F$10,0)+1,FALSE)</f>
        <v>0</v>
      </c>
      <c r="L108" t="str">
        <f>VLOOKUP($F108&amp;$G108,Composite!$A$5:$Q$841,L$3,FALSE)</f>
        <v>ResSHWX</v>
      </c>
      <c r="M108" s="31">
        <f>VLOOKUP($F108&amp;$G108,Composite!$A$5:$Q$841,M$3,FALSE)*VLOOKUP($C108,[3]!ExistingSat,MATCH($A108,[3]SATS!$C$10:$F$10,0)+1,FALSE)</f>
        <v>0</v>
      </c>
      <c r="N108" s="31">
        <f>VLOOKUP($F108&amp;$G108,Composite!$A$5:$Q$841,N$3,FALSE)*VLOOKUP($C108,[3]!ExistingSat,MATCH($A108,[3]SATS!$C$10:$F$10,0)+1,FALSE)</f>
        <v>0</v>
      </c>
      <c r="O108">
        <f>VLOOKUP($F108&amp;$G108,Composite!$A$5:$Q$841,O$3,FALSE)</f>
        <v>0</v>
      </c>
      <c r="P108" s="31">
        <f>VLOOKUP($F108&amp;$G108,Composite!$A$5:$Q$841,P$3,FALSE)*VLOOKUP($C108,[3]!ExistingSat,MATCH($A108,[3]SATS!$C$10:$F$10,0)+1,FALSE)</f>
        <v>0</v>
      </c>
      <c r="Q108">
        <f>VLOOKUP($F108&amp;$G108,Composite!$A$5:$Q$841,Q$3,FALSE)</f>
        <v>0</v>
      </c>
      <c r="R108" s="31">
        <f>VLOOKUP($F108&amp;$G108,Composite!$A$5:$Q$841,R$3,FALSE)*VLOOKUP($C108,[3]!ExistingSat,MATCH($A108,[3]SATS!$C$10:$F$10,0)+1,FALSE)</f>
        <v>0</v>
      </c>
      <c r="S108">
        <f>VLOOKUP($F108&amp;$G108,Composite!$A$5:$Q$841,S$3,FALSE)</f>
        <v>0</v>
      </c>
      <c r="T108" s="31">
        <f>VLOOKUP($F108&amp;$G108,Composite!$A$5:$Q$841,T$3,FALSE)*VLOOKUP($C108,[3]!ExistingSat,MATCH($A108,[3]SATS!$C$10:$F$10,0)+1,FALSE)</f>
        <v>0</v>
      </c>
    </row>
    <row r="109" spans="1:20">
      <c r="A109" t="s">
        <v>87</v>
      </c>
      <c r="B109" t="s">
        <v>78</v>
      </c>
      <c r="C109" t="s">
        <v>27</v>
      </c>
      <c r="D109" t="s">
        <v>60</v>
      </c>
      <c r="E109" t="str">
        <f t="shared" si="2"/>
        <v>Heat PumpHZ2WINDOW CL30 Prime Window Replacement of Double Pane Base</v>
      </c>
      <c r="F109" s="31" t="str">
        <f>Composite!B108</f>
        <v>Windows - Double Pane to Class 30 - Heating Zone 2 (Heat Pump Heating System)</v>
      </c>
      <c r="G109" s="31" t="str">
        <f>Composite!C108</f>
        <v>WINDOW CL30 Prime Window Replacement of Double Pane Base</v>
      </c>
      <c r="H109" s="31">
        <f>VLOOKUP($F109&amp;$G109,Composite!$A$5:$Q$841,H$3,FALSE)*VLOOKUP($C109,[3]!ExistingSat,MATCH($A109,[3]SATS!$C$10:$F$10,0)+1,FALSE)</f>
        <v>1978.4719797927924</v>
      </c>
      <c r="I109">
        <f>VLOOKUP($F109&amp;$G109,Composite!$A$5:$Q$841,I$3,FALSE)</f>
        <v>45</v>
      </c>
      <c r="J109" s="31">
        <f>VLOOKUP($F109&amp;$G109,Composite!$A$5:$Q$841,J$3,FALSE)*VLOOKUP($C109,[3]!ExistingSat,MATCH($A109,[3]SATS!$C$10:$F$10,0)+1,FALSE)</f>
        <v>3865.0968570659024</v>
      </c>
      <c r="K109" s="31">
        <f>VLOOKUP($F109&amp;$G109,Composite!$A$5:$Q$841,K$3,FALSE)*VLOOKUP($C109,[3]!ExistingSat,MATCH($A109,[3]SATS!$C$10:$F$10,0)+1,FALSE)</f>
        <v>0</v>
      </c>
      <c r="L109" t="str">
        <f>VLOOKUP($F109&amp;$G109,Composite!$A$5:$Q$841,L$3,FALSE)</f>
        <v>ResSHWX</v>
      </c>
      <c r="M109" s="31">
        <f>VLOOKUP($F109&amp;$G109,Composite!$A$5:$Q$841,M$3,FALSE)*VLOOKUP($C109,[3]!ExistingSat,MATCH($A109,[3]SATS!$C$10:$F$10,0)+1,FALSE)</f>
        <v>0</v>
      </c>
      <c r="N109" s="31">
        <f>VLOOKUP($F109&amp;$G109,Composite!$A$5:$Q$841,N$3,FALSE)*VLOOKUP($C109,[3]!ExistingSat,MATCH($A109,[3]SATS!$C$10:$F$10,0)+1,FALSE)</f>
        <v>0</v>
      </c>
      <c r="O109">
        <f>VLOOKUP($F109&amp;$G109,Composite!$A$5:$Q$841,O$3,FALSE)</f>
        <v>0</v>
      </c>
      <c r="P109" s="31">
        <f>VLOOKUP($F109&amp;$G109,Composite!$A$5:$Q$841,P$3,FALSE)*VLOOKUP($C109,[3]!ExistingSat,MATCH($A109,[3]SATS!$C$10:$F$10,0)+1,FALSE)</f>
        <v>0</v>
      </c>
      <c r="Q109">
        <f>VLOOKUP($F109&amp;$G109,Composite!$A$5:$Q$841,Q$3,FALSE)</f>
        <v>0</v>
      </c>
      <c r="R109" s="31">
        <f>VLOOKUP($F109&amp;$G109,Composite!$A$5:$Q$841,R$3,FALSE)*VLOOKUP($C109,[3]!ExistingSat,MATCH($A109,[3]SATS!$C$10:$F$10,0)+1,FALSE)</f>
        <v>0</v>
      </c>
      <c r="S109">
        <f>VLOOKUP($F109&amp;$G109,Composite!$A$5:$Q$841,S$3,FALSE)</f>
        <v>0</v>
      </c>
      <c r="T109" s="31">
        <f>VLOOKUP($F109&amp;$G109,Composite!$A$5:$Q$841,T$3,FALSE)*VLOOKUP($C109,[3]!ExistingSat,MATCH($A109,[3]SATS!$C$10:$F$10,0)+1,FALSE)</f>
        <v>0</v>
      </c>
    </row>
    <row r="110" spans="1:20">
      <c r="A110" t="s">
        <v>87</v>
      </c>
      <c r="B110" t="s">
        <v>78</v>
      </c>
      <c r="C110" t="s">
        <v>63</v>
      </c>
      <c r="D110" t="s">
        <v>61</v>
      </c>
      <c r="E110" t="str">
        <f t="shared" si="2"/>
        <v>Heat PumpHZ3WALL R0 - R11</v>
      </c>
      <c r="F110" s="31" t="str">
        <f>Composite!B109</f>
        <v>Multi Family Weatherization - Insulate Walls - R-0 to R-11 - Heating Zone 3 (Heat Pump Heating System)</v>
      </c>
      <c r="G110" s="31" t="str">
        <f>Composite!C109</f>
        <v>WALL R0 - R11</v>
      </c>
      <c r="H110" s="31">
        <f>VLOOKUP($F110&amp;$G110,Composite!$A$5:$Q$841,H$3,FALSE)*VLOOKUP($C110,[3]!ExistingSat,MATCH($A110,[3]SATS!$C$10:$F$10,0)+1,FALSE)</f>
        <v>643.47435946032476</v>
      </c>
      <c r="I110">
        <f>VLOOKUP($F110&amp;$G110,Composite!$A$5:$Q$841,I$3,FALSE)</f>
        <v>45</v>
      </c>
      <c r="J110" s="31">
        <f>VLOOKUP($F110&amp;$G110,Composite!$A$5:$Q$841,J$3,FALSE)*VLOOKUP($C110,[3]!ExistingSat,MATCH($A110,[3]SATS!$C$10:$F$10,0)+1,FALSE)</f>
        <v>414.11354893012168</v>
      </c>
      <c r="K110" s="31">
        <f>VLOOKUP($F110&amp;$G110,Composite!$A$5:$Q$841,K$3,FALSE)*VLOOKUP($C110,[3]!ExistingSat,MATCH($A110,[3]SATS!$C$10:$F$10,0)+1,FALSE)</f>
        <v>0</v>
      </c>
      <c r="L110" t="str">
        <f>VLOOKUP($F110&amp;$G110,Composite!$A$5:$Q$841,L$3,FALSE)</f>
        <v>ResSHWX</v>
      </c>
      <c r="M110" s="31">
        <f>VLOOKUP($F110&amp;$G110,Composite!$A$5:$Q$841,M$3,FALSE)*VLOOKUP($C110,[3]!ExistingSat,MATCH($A110,[3]SATS!$C$10:$F$10,0)+1,FALSE)</f>
        <v>0</v>
      </c>
      <c r="N110" s="31">
        <f>VLOOKUP($F110&amp;$G110,Composite!$A$5:$Q$841,N$3,FALSE)*VLOOKUP($C110,[3]!ExistingSat,MATCH($A110,[3]SATS!$C$10:$F$10,0)+1,FALSE)</f>
        <v>0</v>
      </c>
      <c r="O110">
        <f>VLOOKUP($F110&amp;$G110,Composite!$A$5:$Q$841,O$3,FALSE)</f>
        <v>0</v>
      </c>
      <c r="P110" s="31">
        <f>VLOOKUP($F110&amp;$G110,Composite!$A$5:$Q$841,P$3,FALSE)*VLOOKUP($C110,[3]!ExistingSat,MATCH($A110,[3]SATS!$C$10:$F$10,0)+1,FALSE)</f>
        <v>0</v>
      </c>
      <c r="Q110">
        <f>VLOOKUP($F110&amp;$G110,Composite!$A$5:$Q$841,Q$3,FALSE)</f>
        <v>0</v>
      </c>
      <c r="R110" s="31">
        <f>VLOOKUP($F110&amp;$G110,Composite!$A$5:$Q$841,R$3,FALSE)*VLOOKUP($C110,[3]!ExistingSat,MATCH($A110,[3]SATS!$C$10:$F$10,0)+1,FALSE)</f>
        <v>0</v>
      </c>
      <c r="S110">
        <f>VLOOKUP($F110&amp;$G110,Composite!$A$5:$Q$841,S$3,FALSE)</f>
        <v>0</v>
      </c>
      <c r="T110" s="31">
        <f>VLOOKUP($F110&amp;$G110,Composite!$A$5:$Q$841,T$3,FALSE)*VLOOKUP($C110,[3]!ExistingSat,MATCH($A110,[3]SATS!$C$10:$F$10,0)+1,FALSE)</f>
        <v>0</v>
      </c>
    </row>
    <row r="111" spans="1:20">
      <c r="A111" t="s">
        <v>87</v>
      </c>
      <c r="B111" t="s">
        <v>78</v>
      </c>
      <c r="C111" t="s">
        <v>26</v>
      </c>
      <c r="D111" t="s">
        <v>61</v>
      </c>
      <c r="E111" t="str">
        <f t="shared" si="2"/>
        <v>Heat PumpHZ3FLOOR R0 - R19</v>
      </c>
      <c r="F111" s="31" t="str">
        <f>Composite!B110</f>
        <v>Multi Family Weatherization - Insulate Floors - R-0 to R-19 - Heating Zone 3 (Heat Pump Heating System)</v>
      </c>
      <c r="G111" s="31" t="str">
        <f>Composite!C110</f>
        <v>FLOOR R0 - R19</v>
      </c>
      <c r="H111" s="31">
        <f>VLOOKUP($F111&amp;$G111,Composite!$A$5:$Q$841,H$3,FALSE)*VLOOKUP($C111,[3]!ExistingSat,MATCH($A111,[3]SATS!$C$10:$F$10,0)+1,FALSE)</f>
        <v>120.90391241583838</v>
      </c>
      <c r="I111">
        <f>VLOOKUP($F111&amp;$G111,Composite!$A$5:$Q$841,I$3,FALSE)</f>
        <v>45</v>
      </c>
      <c r="J111" s="31">
        <f>VLOOKUP($F111&amp;$G111,Composite!$A$5:$Q$841,J$3,FALSE)*VLOOKUP($C111,[3]!ExistingSat,MATCH($A111,[3]SATS!$C$10:$F$10,0)+1,FALSE)</f>
        <v>436.41697398915824</v>
      </c>
      <c r="K111" s="31">
        <f>VLOOKUP($F111&amp;$G111,Composite!$A$5:$Q$841,K$3,FALSE)*VLOOKUP($C111,[3]!ExistingSat,MATCH($A111,[3]SATS!$C$10:$F$10,0)+1,FALSE)</f>
        <v>0</v>
      </c>
      <c r="L111" t="str">
        <f>VLOOKUP($F111&amp;$G111,Composite!$A$5:$Q$841,L$3,FALSE)</f>
        <v>ResSHWX</v>
      </c>
      <c r="M111" s="31">
        <f>VLOOKUP($F111&amp;$G111,Composite!$A$5:$Q$841,M$3,FALSE)*VLOOKUP($C111,[3]!ExistingSat,MATCH($A111,[3]SATS!$C$10:$F$10,0)+1,FALSE)</f>
        <v>0</v>
      </c>
      <c r="N111" s="31">
        <f>VLOOKUP($F111&amp;$G111,Composite!$A$5:$Q$841,N$3,FALSE)*VLOOKUP($C111,[3]!ExistingSat,MATCH($A111,[3]SATS!$C$10:$F$10,0)+1,FALSE)</f>
        <v>0</v>
      </c>
      <c r="O111">
        <f>VLOOKUP($F111&amp;$G111,Composite!$A$5:$Q$841,O$3,FALSE)</f>
        <v>0</v>
      </c>
      <c r="P111" s="31">
        <f>VLOOKUP($F111&amp;$G111,Composite!$A$5:$Q$841,P$3,FALSE)*VLOOKUP($C111,[3]!ExistingSat,MATCH($A111,[3]SATS!$C$10:$F$10,0)+1,FALSE)</f>
        <v>0</v>
      </c>
      <c r="Q111">
        <f>VLOOKUP($F111&amp;$G111,Composite!$A$5:$Q$841,Q$3,FALSE)</f>
        <v>0</v>
      </c>
      <c r="R111" s="31">
        <f>VLOOKUP($F111&amp;$G111,Composite!$A$5:$Q$841,R$3,FALSE)*VLOOKUP($C111,[3]!ExistingSat,MATCH($A111,[3]SATS!$C$10:$F$10,0)+1,FALSE)</f>
        <v>0</v>
      </c>
      <c r="S111">
        <f>VLOOKUP($F111&amp;$G111,Composite!$A$5:$Q$841,S$3,FALSE)</f>
        <v>0</v>
      </c>
      <c r="T111" s="31">
        <f>VLOOKUP($F111&amp;$G111,Composite!$A$5:$Q$841,T$3,FALSE)*VLOOKUP($C111,[3]!ExistingSat,MATCH($A111,[3]SATS!$C$10:$F$10,0)+1,FALSE)</f>
        <v>0</v>
      </c>
    </row>
    <row r="112" spans="1:20">
      <c r="A112" t="s">
        <v>87</v>
      </c>
      <c r="B112" t="s">
        <v>78</v>
      </c>
      <c r="C112" t="s">
        <v>26</v>
      </c>
      <c r="D112" t="s">
        <v>61</v>
      </c>
      <c r="E112" t="str">
        <f t="shared" si="2"/>
        <v>Heat PumpHZ3FLOOR R0 - R30</v>
      </c>
      <c r="F112" s="31" t="str">
        <f>Composite!B111</f>
        <v>Multi Family Weatherization - Insulate Floors - R-0 to R-30 - Heating Zone 3 (Heat Pump Heating System)</v>
      </c>
      <c r="G112" s="31" t="str">
        <f>Composite!C111</f>
        <v>FLOOR R0 - R30</v>
      </c>
      <c r="H112" s="31">
        <f>VLOOKUP($F112&amp;$G112,Composite!$A$5:$Q$841,H$3,FALSE)*VLOOKUP($C112,[3]!ExistingSat,MATCH($A112,[3]SATS!$C$10:$F$10,0)+1,FALSE)</f>
        <v>156.59085108381709</v>
      </c>
      <c r="I112">
        <f>VLOOKUP($F112&amp;$G112,Composite!$A$5:$Q$841,I$3,FALSE)</f>
        <v>45</v>
      </c>
      <c r="J112" s="31">
        <f>VLOOKUP($F112&amp;$G112,Composite!$A$5:$Q$841,J$3,FALSE)*VLOOKUP($C112,[3]!ExistingSat,MATCH($A112,[3]SATS!$C$10:$F$10,0)+1,FALSE)</f>
        <v>689.07943261446042</v>
      </c>
      <c r="K112" s="31">
        <f>VLOOKUP($F112&amp;$G112,Composite!$A$5:$Q$841,K$3,FALSE)*VLOOKUP($C112,[3]!ExistingSat,MATCH($A112,[3]SATS!$C$10:$F$10,0)+1,FALSE)</f>
        <v>0</v>
      </c>
      <c r="L112" t="str">
        <f>VLOOKUP($F112&amp;$G112,Composite!$A$5:$Q$841,L$3,FALSE)</f>
        <v>ResSHWX</v>
      </c>
      <c r="M112" s="31">
        <f>VLOOKUP($F112&amp;$G112,Composite!$A$5:$Q$841,M$3,FALSE)*VLOOKUP($C112,[3]!ExistingSat,MATCH($A112,[3]SATS!$C$10:$F$10,0)+1,FALSE)</f>
        <v>0</v>
      </c>
      <c r="N112" s="31">
        <f>VLOOKUP($F112&amp;$G112,Composite!$A$5:$Q$841,N$3,FALSE)*VLOOKUP($C112,[3]!ExistingSat,MATCH($A112,[3]SATS!$C$10:$F$10,0)+1,FALSE)</f>
        <v>0</v>
      </c>
      <c r="O112">
        <f>VLOOKUP($F112&amp;$G112,Composite!$A$5:$Q$841,O$3,FALSE)</f>
        <v>0</v>
      </c>
      <c r="P112" s="31">
        <f>VLOOKUP($F112&amp;$G112,Composite!$A$5:$Q$841,P$3,FALSE)*VLOOKUP($C112,[3]!ExistingSat,MATCH($A112,[3]SATS!$C$10:$F$10,0)+1,FALSE)</f>
        <v>0</v>
      </c>
      <c r="Q112">
        <f>VLOOKUP($F112&amp;$G112,Composite!$A$5:$Q$841,Q$3,FALSE)</f>
        <v>0</v>
      </c>
      <c r="R112" s="31">
        <f>VLOOKUP($F112&amp;$G112,Composite!$A$5:$Q$841,R$3,FALSE)*VLOOKUP($C112,[3]!ExistingSat,MATCH($A112,[3]SATS!$C$10:$F$10,0)+1,FALSE)</f>
        <v>0</v>
      </c>
      <c r="S112">
        <f>VLOOKUP($F112&amp;$G112,Composite!$A$5:$Q$841,S$3,FALSE)</f>
        <v>0</v>
      </c>
      <c r="T112" s="31">
        <f>VLOOKUP($F112&amp;$G112,Composite!$A$5:$Q$841,T$3,FALSE)*VLOOKUP($C112,[3]!ExistingSat,MATCH($A112,[3]SATS!$C$10:$F$10,0)+1,FALSE)</f>
        <v>0</v>
      </c>
    </row>
    <row r="113" spans="1:20">
      <c r="A113" t="s">
        <v>87</v>
      </c>
      <c r="B113" t="s">
        <v>78</v>
      </c>
      <c r="C113" t="s">
        <v>28</v>
      </c>
      <c r="D113" t="s">
        <v>61</v>
      </c>
      <c r="E113" t="str">
        <f t="shared" si="2"/>
        <v>Heat PumpHZ3ATTIC R0 - R19</v>
      </c>
      <c r="F113" s="31" t="str">
        <f>Composite!B112</f>
        <v>Multi Family Weatherization - Insulate Attic - R-0 to R-19 - Heating Zone 3 (Heat Pump Heating System)</v>
      </c>
      <c r="G113" s="31" t="str">
        <f>Composite!C112</f>
        <v>ATTIC R0 - R19</v>
      </c>
      <c r="H113" s="31">
        <f>VLOOKUP($F113&amp;$G113,Composite!$A$5:$Q$841,H$3,FALSE)*VLOOKUP($C113,[3]!ExistingSat,MATCH($A113,[3]SATS!$C$10:$F$10,0)+1,FALSE)</f>
        <v>133.54209114724711</v>
      </c>
      <c r="I113">
        <f>VLOOKUP($F113&amp;$G113,Composite!$A$5:$Q$841,I$3,FALSE)</f>
        <v>45</v>
      </c>
      <c r="J113" s="31">
        <f>VLOOKUP($F113&amp;$G113,Composite!$A$5:$Q$841,J$3,FALSE)*VLOOKUP($C113,[3]!ExistingSat,MATCH($A113,[3]SATS!$C$10:$F$10,0)+1,FALSE)</f>
        <v>239.1087012654321</v>
      </c>
      <c r="K113" s="31">
        <f>VLOOKUP($F113&amp;$G113,Composite!$A$5:$Q$841,K$3,FALSE)*VLOOKUP($C113,[3]!ExistingSat,MATCH($A113,[3]SATS!$C$10:$F$10,0)+1,FALSE)</f>
        <v>0</v>
      </c>
      <c r="L113" t="str">
        <f>VLOOKUP($F113&amp;$G113,Composite!$A$5:$Q$841,L$3,FALSE)</f>
        <v>ResSHWX</v>
      </c>
      <c r="M113" s="31">
        <f>VLOOKUP($F113&amp;$G113,Composite!$A$5:$Q$841,M$3,FALSE)*VLOOKUP($C113,[3]!ExistingSat,MATCH($A113,[3]SATS!$C$10:$F$10,0)+1,FALSE)</f>
        <v>0</v>
      </c>
      <c r="N113" s="31">
        <f>VLOOKUP($F113&amp;$G113,Composite!$A$5:$Q$841,N$3,FALSE)*VLOOKUP($C113,[3]!ExistingSat,MATCH($A113,[3]SATS!$C$10:$F$10,0)+1,FALSE)</f>
        <v>0</v>
      </c>
      <c r="O113">
        <f>VLOOKUP($F113&amp;$G113,Composite!$A$5:$Q$841,O$3,FALSE)</f>
        <v>0</v>
      </c>
      <c r="P113" s="31">
        <f>VLOOKUP($F113&amp;$G113,Composite!$A$5:$Q$841,P$3,FALSE)*VLOOKUP($C113,[3]!ExistingSat,MATCH($A113,[3]SATS!$C$10:$F$10,0)+1,FALSE)</f>
        <v>0</v>
      </c>
      <c r="Q113">
        <f>VLOOKUP($F113&amp;$G113,Composite!$A$5:$Q$841,Q$3,FALSE)</f>
        <v>0</v>
      </c>
      <c r="R113" s="31">
        <f>VLOOKUP($F113&amp;$G113,Composite!$A$5:$Q$841,R$3,FALSE)*VLOOKUP($C113,[3]!ExistingSat,MATCH($A113,[3]SATS!$C$10:$F$10,0)+1,FALSE)</f>
        <v>0</v>
      </c>
      <c r="S113">
        <f>VLOOKUP($F113&amp;$G113,Composite!$A$5:$Q$841,S$3,FALSE)</f>
        <v>0</v>
      </c>
      <c r="T113" s="31">
        <f>VLOOKUP($F113&amp;$G113,Composite!$A$5:$Q$841,T$3,FALSE)*VLOOKUP($C113,[3]!ExistingSat,MATCH($A113,[3]SATS!$C$10:$F$10,0)+1,FALSE)</f>
        <v>0</v>
      </c>
    </row>
    <row r="114" spans="1:20">
      <c r="A114" t="s">
        <v>87</v>
      </c>
      <c r="B114" t="s">
        <v>78</v>
      </c>
      <c r="C114" t="s">
        <v>28</v>
      </c>
      <c r="D114" t="s">
        <v>61</v>
      </c>
      <c r="E114" t="str">
        <f t="shared" si="2"/>
        <v>Heat PumpHZ3ATTIC R0 - R38</v>
      </c>
      <c r="F114" s="31" t="str">
        <f>Composite!B113</f>
        <v>Multi Family Weatherization - Insulate Attic - R-0 to R-38 - Heating Zone 3 (Heat Pump Heating System)</v>
      </c>
      <c r="G114" s="31" t="str">
        <f>Composite!C113</f>
        <v>ATTIC R0 - R38</v>
      </c>
      <c r="H114" s="31">
        <f>VLOOKUP($F114&amp;$G114,Composite!$A$5:$Q$841,H$3,FALSE)*VLOOKUP($C114,[3]!ExistingSat,MATCH($A114,[3]SATS!$C$10:$F$10,0)+1,FALSE)</f>
        <v>182.91976333260274</v>
      </c>
      <c r="I114">
        <f>VLOOKUP($F114&amp;$G114,Composite!$A$5:$Q$841,I$3,FALSE)</f>
        <v>45</v>
      </c>
      <c r="J114" s="31">
        <f>VLOOKUP($F114&amp;$G114,Composite!$A$5:$Q$841,J$3,FALSE)*VLOOKUP($C114,[3]!ExistingSat,MATCH($A114,[3]SATS!$C$10:$F$10,0)+1,FALSE)</f>
        <v>478.21740253086421</v>
      </c>
      <c r="K114" s="31">
        <f>VLOOKUP($F114&amp;$G114,Composite!$A$5:$Q$841,K$3,FALSE)*VLOOKUP($C114,[3]!ExistingSat,MATCH($A114,[3]SATS!$C$10:$F$10,0)+1,FALSE)</f>
        <v>0</v>
      </c>
      <c r="L114" t="str">
        <f>VLOOKUP($F114&amp;$G114,Composite!$A$5:$Q$841,L$3,FALSE)</f>
        <v>ResSHWX</v>
      </c>
      <c r="M114" s="31">
        <f>VLOOKUP($F114&amp;$G114,Composite!$A$5:$Q$841,M$3,FALSE)*VLOOKUP($C114,[3]!ExistingSat,MATCH($A114,[3]SATS!$C$10:$F$10,0)+1,FALSE)</f>
        <v>0</v>
      </c>
      <c r="N114" s="31">
        <f>VLOOKUP($F114&amp;$G114,Composite!$A$5:$Q$841,N$3,FALSE)*VLOOKUP($C114,[3]!ExistingSat,MATCH($A114,[3]SATS!$C$10:$F$10,0)+1,FALSE)</f>
        <v>0</v>
      </c>
      <c r="O114">
        <f>VLOOKUP($F114&amp;$G114,Composite!$A$5:$Q$841,O$3,FALSE)</f>
        <v>0</v>
      </c>
      <c r="P114" s="31">
        <f>VLOOKUP($F114&amp;$G114,Composite!$A$5:$Q$841,P$3,FALSE)*VLOOKUP($C114,[3]!ExistingSat,MATCH($A114,[3]SATS!$C$10:$F$10,0)+1,FALSE)</f>
        <v>0</v>
      </c>
      <c r="Q114">
        <f>VLOOKUP($F114&amp;$G114,Composite!$A$5:$Q$841,Q$3,FALSE)</f>
        <v>0</v>
      </c>
      <c r="R114" s="31">
        <f>VLOOKUP($F114&amp;$G114,Composite!$A$5:$Q$841,R$3,FALSE)*VLOOKUP($C114,[3]!ExistingSat,MATCH($A114,[3]SATS!$C$10:$F$10,0)+1,FALSE)</f>
        <v>0</v>
      </c>
      <c r="S114">
        <f>VLOOKUP($F114&amp;$G114,Composite!$A$5:$Q$841,S$3,FALSE)</f>
        <v>0</v>
      </c>
      <c r="T114" s="31">
        <f>VLOOKUP($F114&amp;$G114,Composite!$A$5:$Q$841,T$3,FALSE)*VLOOKUP($C114,[3]!ExistingSat,MATCH($A114,[3]SATS!$C$10:$F$10,0)+1,FALSE)</f>
        <v>0</v>
      </c>
    </row>
    <row r="115" spans="1:20">
      <c r="A115" t="s">
        <v>87</v>
      </c>
      <c r="B115" t="s">
        <v>78</v>
      </c>
      <c r="C115" t="s">
        <v>28</v>
      </c>
      <c r="D115" t="s">
        <v>61</v>
      </c>
      <c r="E115" t="str">
        <f t="shared" si="2"/>
        <v>Heat PumpHZ3ATTIC R0 - R49</v>
      </c>
      <c r="F115" s="31" t="str">
        <f>Composite!B114</f>
        <v>Multi Family Weatherization - Insulate Attic - R-0 to R-49 - Heating Zone 3 (Heat Pump Heating System)</v>
      </c>
      <c r="G115" s="31" t="str">
        <f>Composite!C114</f>
        <v>ATTIC R0 - R49</v>
      </c>
      <c r="H115" s="31">
        <f>VLOOKUP($F115&amp;$G115,Composite!$A$5:$Q$841,H$3,FALSE)*VLOOKUP($C115,[3]!ExistingSat,MATCH($A115,[3]SATS!$C$10:$F$10,0)+1,FALSE)</f>
        <v>194.4995396925442</v>
      </c>
      <c r="I115">
        <f>VLOOKUP($F115&amp;$G115,Composite!$A$5:$Q$841,I$3,FALSE)</f>
        <v>45</v>
      </c>
      <c r="J115" s="31">
        <f>VLOOKUP($F115&amp;$G115,Composite!$A$5:$Q$841,J$3,FALSE)*VLOOKUP($C115,[3]!ExistingSat,MATCH($A115,[3]SATS!$C$10:$F$10,0)+1,FALSE)</f>
        <v>616.64875589506175</v>
      </c>
      <c r="K115" s="31">
        <f>VLOOKUP($F115&amp;$G115,Composite!$A$5:$Q$841,K$3,FALSE)*VLOOKUP($C115,[3]!ExistingSat,MATCH($A115,[3]SATS!$C$10:$F$10,0)+1,FALSE)</f>
        <v>0</v>
      </c>
      <c r="L115" t="str">
        <f>VLOOKUP($F115&amp;$G115,Composite!$A$5:$Q$841,L$3,FALSE)</f>
        <v>ResSHWX</v>
      </c>
      <c r="M115" s="31">
        <f>VLOOKUP($F115&amp;$G115,Composite!$A$5:$Q$841,M$3,FALSE)*VLOOKUP($C115,[3]!ExistingSat,MATCH($A115,[3]SATS!$C$10:$F$10,0)+1,FALSE)</f>
        <v>0</v>
      </c>
      <c r="N115" s="31">
        <f>VLOOKUP($F115&amp;$G115,Composite!$A$5:$Q$841,N$3,FALSE)*VLOOKUP($C115,[3]!ExistingSat,MATCH($A115,[3]SATS!$C$10:$F$10,0)+1,FALSE)</f>
        <v>0</v>
      </c>
      <c r="O115">
        <f>VLOOKUP($F115&amp;$G115,Composite!$A$5:$Q$841,O$3,FALSE)</f>
        <v>0</v>
      </c>
      <c r="P115" s="31">
        <f>VLOOKUP($F115&amp;$G115,Composite!$A$5:$Q$841,P$3,FALSE)*VLOOKUP($C115,[3]!ExistingSat,MATCH($A115,[3]SATS!$C$10:$F$10,0)+1,FALSE)</f>
        <v>0</v>
      </c>
      <c r="Q115">
        <f>VLOOKUP($F115&amp;$G115,Composite!$A$5:$Q$841,Q$3,FALSE)</f>
        <v>0</v>
      </c>
      <c r="R115" s="31">
        <f>VLOOKUP($F115&amp;$G115,Composite!$A$5:$Q$841,R$3,FALSE)*VLOOKUP($C115,[3]!ExistingSat,MATCH($A115,[3]SATS!$C$10:$F$10,0)+1,FALSE)</f>
        <v>0</v>
      </c>
      <c r="S115">
        <f>VLOOKUP($F115&amp;$G115,Composite!$A$5:$Q$841,S$3,FALSE)</f>
        <v>0</v>
      </c>
      <c r="T115" s="31">
        <f>VLOOKUP($F115&amp;$G115,Composite!$A$5:$Q$841,T$3,FALSE)*VLOOKUP($C115,[3]!ExistingSat,MATCH($A115,[3]SATS!$C$10:$F$10,0)+1,FALSE)</f>
        <v>0</v>
      </c>
    </row>
    <row r="116" spans="1:20">
      <c r="A116" t="s">
        <v>87</v>
      </c>
      <c r="B116" t="s">
        <v>78</v>
      </c>
      <c r="C116" t="s">
        <v>28</v>
      </c>
      <c r="D116" t="s">
        <v>61</v>
      </c>
      <c r="E116" t="str">
        <f t="shared" si="2"/>
        <v>Heat PumpHZ3ATTIC R19 - R30</v>
      </c>
      <c r="F116" s="31" t="str">
        <f>Composite!B115</f>
        <v>Multi Family Weatherization - Insulate Attic - R-19 to R-30 - Heating Zone 3 (Heat Pump Heating System)</v>
      </c>
      <c r="G116" s="31" t="str">
        <f>Composite!C115</f>
        <v>ATTIC R19 - R30</v>
      </c>
      <c r="H116" s="31">
        <f>VLOOKUP($F116&amp;$G116,Composite!$A$5:$Q$841,H$3,FALSE)*VLOOKUP($C116,[3]!ExistingSat,MATCH($A116,[3]SATS!$C$10:$F$10,0)+1,FALSE)</f>
        <v>35.839794238043922</v>
      </c>
      <c r="I116">
        <f>VLOOKUP($F116&amp;$G116,Composite!$A$5:$Q$841,I$3,FALSE)</f>
        <v>45</v>
      </c>
      <c r="J116" s="31">
        <f>VLOOKUP($F116&amp;$G116,Composite!$A$5:$Q$841,J$3,FALSE)*VLOOKUP($C116,[3]!ExistingSat,MATCH($A116,[3]SATS!$C$10:$F$10,0)+1,FALSE)</f>
        <v>138.43135336419752</v>
      </c>
      <c r="K116" s="31">
        <f>VLOOKUP($F116&amp;$G116,Composite!$A$5:$Q$841,K$3,FALSE)*VLOOKUP($C116,[3]!ExistingSat,MATCH($A116,[3]SATS!$C$10:$F$10,0)+1,FALSE)</f>
        <v>0</v>
      </c>
      <c r="L116" t="str">
        <f>VLOOKUP($F116&amp;$G116,Composite!$A$5:$Q$841,L$3,FALSE)</f>
        <v>ResSHWX</v>
      </c>
      <c r="M116" s="31">
        <f>VLOOKUP($F116&amp;$G116,Composite!$A$5:$Q$841,M$3,FALSE)*VLOOKUP($C116,[3]!ExistingSat,MATCH($A116,[3]SATS!$C$10:$F$10,0)+1,FALSE)</f>
        <v>0</v>
      </c>
      <c r="N116" s="31">
        <f>VLOOKUP($F116&amp;$G116,Composite!$A$5:$Q$841,N$3,FALSE)*VLOOKUP($C116,[3]!ExistingSat,MATCH($A116,[3]SATS!$C$10:$F$10,0)+1,FALSE)</f>
        <v>0</v>
      </c>
      <c r="O116">
        <f>VLOOKUP($F116&amp;$G116,Composite!$A$5:$Q$841,O$3,FALSE)</f>
        <v>0</v>
      </c>
      <c r="P116" s="31">
        <f>VLOOKUP($F116&amp;$G116,Composite!$A$5:$Q$841,P$3,FALSE)*VLOOKUP($C116,[3]!ExistingSat,MATCH($A116,[3]SATS!$C$10:$F$10,0)+1,FALSE)</f>
        <v>0</v>
      </c>
      <c r="Q116">
        <f>VLOOKUP($F116&amp;$G116,Composite!$A$5:$Q$841,Q$3,FALSE)</f>
        <v>0</v>
      </c>
      <c r="R116" s="31">
        <f>VLOOKUP($F116&amp;$G116,Composite!$A$5:$Q$841,R$3,FALSE)*VLOOKUP($C116,[3]!ExistingSat,MATCH($A116,[3]SATS!$C$10:$F$10,0)+1,FALSE)</f>
        <v>0</v>
      </c>
      <c r="S116">
        <f>VLOOKUP($F116&amp;$G116,Composite!$A$5:$Q$841,S$3,FALSE)</f>
        <v>0</v>
      </c>
      <c r="T116" s="31">
        <f>VLOOKUP($F116&amp;$G116,Composite!$A$5:$Q$841,T$3,FALSE)*VLOOKUP($C116,[3]!ExistingSat,MATCH($A116,[3]SATS!$C$10:$F$10,0)+1,FALSE)</f>
        <v>0</v>
      </c>
    </row>
    <row r="117" spans="1:20">
      <c r="A117" t="s">
        <v>87</v>
      </c>
      <c r="B117" t="s">
        <v>78</v>
      </c>
      <c r="C117" t="s">
        <v>28</v>
      </c>
      <c r="D117" t="s">
        <v>61</v>
      </c>
      <c r="E117" t="str">
        <f t="shared" si="2"/>
        <v>Heat PumpHZ3ATTIC R19 - R38</v>
      </c>
      <c r="F117" s="31" t="str">
        <f>Composite!B116</f>
        <v>Multi Family Weatherization - Insulate Attic - R-19 to R-38 - Heating Zone 3 (Heat Pump Heating System)</v>
      </c>
      <c r="G117" s="31" t="str">
        <f>Composite!C116</f>
        <v>ATTIC R19 - R38</v>
      </c>
      <c r="H117" s="31">
        <f>VLOOKUP($F117&amp;$G117,Composite!$A$5:$Q$841,H$3,FALSE)*VLOOKUP($C117,[3]!ExistingSat,MATCH($A117,[3]SATS!$C$10:$F$10,0)+1,FALSE)</f>
        <v>49.377672185355642</v>
      </c>
      <c r="I117">
        <f>VLOOKUP($F117&amp;$G117,Composite!$A$5:$Q$841,I$3,FALSE)</f>
        <v>45</v>
      </c>
      <c r="J117" s="31">
        <f>VLOOKUP($F117&amp;$G117,Composite!$A$5:$Q$841,J$3,FALSE)*VLOOKUP($C117,[3]!ExistingSat,MATCH($A117,[3]SATS!$C$10:$F$10,0)+1,FALSE)</f>
        <v>239.1087012654321</v>
      </c>
      <c r="K117" s="31">
        <f>VLOOKUP($F117&amp;$G117,Composite!$A$5:$Q$841,K$3,FALSE)*VLOOKUP($C117,[3]!ExistingSat,MATCH($A117,[3]SATS!$C$10:$F$10,0)+1,FALSE)</f>
        <v>0</v>
      </c>
      <c r="L117" t="str">
        <f>VLOOKUP($F117&amp;$G117,Composite!$A$5:$Q$841,L$3,FALSE)</f>
        <v>ResSHWX</v>
      </c>
      <c r="M117" s="31">
        <f>VLOOKUP($F117&amp;$G117,Composite!$A$5:$Q$841,M$3,FALSE)*VLOOKUP($C117,[3]!ExistingSat,MATCH($A117,[3]SATS!$C$10:$F$10,0)+1,FALSE)</f>
        <v>0</v>
      </c>
      <c r="N117" s="31">
        <f>VLOOKUP($F117&amp;$G117,Composite!$A$5:$Q$841,N$3,FALSE)*VLOOKUP($C117,[3]!ExistingSat,MATCH($A117,[3]SATS!$C$10:$F$10,0)+1,FALSE)</f>
        <v>0</v>
      </c>
      <c r="O117">
        <f>VLOOKUP($F117&amp;$G117,Composite!$A$5:$Q$841,O$3,FALSE)</f>
        <v>0</v>
      </c>
      <c r="P117" s="31">
        <f>VLOOKUP($F117&amp;$G117,Composite!$A$5:$Q$841,P$3,FALSE)*VLOOKUP($C117,[3]!ExistingSat,MATCH($A117,[3]SATS!$C$10:$F$10,0)+1,FALSE)</f>
        <v>0</v>
      </c>
      <c r="Q117">
        <f>VLOOKUP($F117&amp;$G117,Composite!$A$5:$Q$841,Q$3,FALSE)</f>
        <v>0</v>
      </c>
      <c r="R117" s="31">
        <f>VLOOKUP($F117&amp;$G117,Composite!$A$5:$Q$841,R$3,FALSE)*VLOOKUP($C117,[3]!ExistingSat,MATCH($A117,[3]SATS!$C$10:$F$10,0)+1,FALSE)</f>
        <v>0</v>
      </c>
      <c r="S117">
        <f>VLOOKUP($F117&amp;$G117,Composite!$A$5:$Q$841,S$3,FALSE)</f>
        <v>0</v>
      </c>
      <c r="T117" s="31">
        <f>VLOOKUP($F117&amp;$G117,Composite!$A$5:$Q$841,T$3,FALSE)*VLOOKUP($C117,[3]!ExistingSat,MATCH($A117,[3]SATS!$C$10:$F$10,0)+1,FALSE)</f>
        <v>0</v>
      </c>
    </row>
    <row r="118" spans="1:20">
      <c r="A118" t="s">
        <v>87</v>
      </c>
      <c r="B118" t="s">
        <v>78</v>
      </c>
      <c r="C118" t="s">
        <v>28</v>
      </c>
      <c r="D118" t="s">
        <v>61</v>
      </c>
      <c r="E118" t="str">
        <f t="shared" si="2"/>
        <v>Heat PumpHZ3ATTIC R19 - R49</v>
      </c>
      <c r="F118" s="31" t="str">
        <f>Composite!B117</f>
        <v>Multi Family Weatherization - Insulate Attic - R-19 to R-49 - Heating Zone 3 (Heat Pump Heating System)</v>
      </c>
      <c r="G118" s="31" t="str">
        <f>Composite!C117</f>
        <v>ATTIC R19 - R49</v>
      </c>
      <c r="H118" s="31">
        <f>VLOOKUP($F118&amp;$G118,Composite!$A$5:$Q$841,H$3,FALSE)*VLOOKUP($C118,[3]!ExistingSat,MATCH($A118,[3]SATS!$C$10:$F$10,0)+1,FALSE)</f>
        <v>60.957448545297105</v>
      </c>
      <c r="I118">
        <f>VLOOKUP($F118&amp;$G118,Composite!$A$5:$Q$841,I$3,FALSE)</f>
        <v>45</v>
      </c>
      <c r="J118" s="31">
        <f>VLOOKUP($F118&amp;$G118,Composite!$A$5:$Q$841,J$3,FALSE)*VLOOKUP($C118,[3]!ExistingSat,MATCH($A118,[3]SATS!$C$10:$F$10,0)+1,FALSE)</f>
        <v>377.54005462962965</v>
      </c>
      <c r="K118" s="31">
        <f>VLOOKUP($F118&amp;$G118,Composite!$A$5:$Q$841,K$3,FALSE)*VLOOKUP($C118,[3]!ExistingSat,MATCH($A118,[3]SATS!$C$10:$F$10,0)+1,FALSE)</f>
        <v>0</v>
      </c>
      <c r="L118" t="str">
        <f>VLOOKUP($F118&amp;$G118,Composite!$A$5:$Q$841,L$3,FALSE)</f>
        <v>ResSHWX</v>
      </c>
      <c r="M118" s="31">
        <f>VLOOKUP($F118&amp;$G118,Composite!$A$5:$Q$841,M$3,FALSE)*VLOOKUP($C118,[3]!ExistingSat,MATCH($A118,[3]SATS!$C$10:$F$10,0)+1,FALSE)</f>
        <v>0</v>
      </c>
      <c r="N118" s="31">
        <f>VLOOKUP($F118&amp;$G118,Composite!$A$5:$Q$841,N$3,FALSE)*VLOOKUP($C118,[3]!ExistingSat,MATCH($A118,[3]SATS!$C$10:$F$10,0)+1,FALSE)</f>
        <v>0</v>
      </c>
      <c r="O118">
        <f>VLOOKUP($F118&amp;$G118,Composite!$A$5:$Q$841,O$3,FALSE)</f>
        <v>0</v>
      </c>
      <c r="P118" s="31">
        <f>VLOOKUP($F118&amp;$G118,Composite!$A$5:$Q$841,P$3,FALSE)*VLOOKUP($C118,[3]!ExistingSat,MATCH($A118,[3]SATS!$C$10:$F$10,0)+1,FALSE)</f>
        <v>0</v>
      </c>
      <c r="Q118">
        <f>VLOOKUP($F118&amp;$G118,Composite!$A$5:$Q$841,Q$3,FALSE)</f>
        <v>0</v>
      </c>
      <c r="R118" s="31">
        <f>VLOOKUP($F118&amp;$G118,Composite!$A$5:$Q$841,R$3,FALSE)*VLOOKUP($C118,[3]!ExistingSat,MATCH($A118,[3]SATS!$C$10:$F$10,0)+1,FALSE)</f>
        <v>0</v>
      </c>
      <c r="S118">
        <f>VLOOKUP($F118&amp;$G118,Composite!$A$5:$Q$841,S$3,FALSE)</f>
        <v>0</v>
      </c>
      <c r="T118" s="31">
        <f>VLOOKUP($F118&amp;$G118,Composite!$A$5:$Q$841,T$3,FALSE)*VLOOKUP($C118,[3]!ExistingSat,MATCH($A118,[3]SATS!$C$10:$F$10,0)+1,FALSE)</f>
        <v>0</v>
      </c>
    </row>
    <row r="119" spans="1:20">
      <c r="A119" t="s">
        <v>87</v>
      </c>
      <c r="B119" t="s">
        <v>78</v>
      </c>
      <c r="C119" t="s">
        <v>27</v>
      </c>
      <c r="D119" t="s">
        <v>61</v>
      </c>
      <c r="E119" t="str">
        <f t="shared" si="2"/>
        <v>Heat PumpHZ3WINDOW CL22 Prime Window Replacement of Single Pane Base</v>
      </c>
      <c r="F119" s="31" t="str">
        <f>Composite!B118</f>
        <v>Windows - Single Pane to Class 22 - Heating Zone 3 (Heat Pump Heating System)</v>
      </c>
      <c r="G119" s="31" t="str">
        <f>Composite!C118</f>
        <v>WINDOW CL22 Prime Window Replacement of Single Pane Base</v>
      </c>
      <c r="H119" s="31">
        <f>VLOOKUP($F119&amp;$G119,Composite!$A$5:$Q$841,H$3,FALSE)*VLOOKUP($C119,[3]!ExistingSat,MATCH($A119,[3]SATS!$C$10:$F$10,0)+1,FALSE)</f>
        <v>4937.6924691944105</v>
      </c>
      <c r="I119">
        <f>VLOOKUP($F119&amp;$G119,Composite!$A$5:$Q$841,I$3,FALSE)</f>
        <v>45</v>
      </c>
      <c r="J119" s="31">
        <f>VLOOKUP($F119&amp;$G119,Composite!$A$5:$Q$841,J$3,FALSE)*VLOOKUP($C119,[3]!ExistingSat,MATCH($A119,[3]SATS!$C$10:$F$10,0)+1,FALSE)</f>
        <v>4101.7368570659019</v>
      </c>
      <c r="K119" s="31">
        <f>VLOOKUP($F119&amp;$G119,Composite!$A$5:$Q$841,K$3,FALSE)*VLOOKUP($C119,[3]!ExistingSat,MATCH($A119,[3]SATS!$C$10:$F$10,0)+1,FALSE)</f>
        <v>0</v>
      </c>
      <c r="L119" t="str">
        <f>VLOOKUP($F119&amp;$G119,Composite!$A$5:$Q$841,L$3,FALSE)</f>
        <v>ResSHWX</v>
      </c>
      <c r="M119" s="31">
        <f>VLOOKUP($F119&amp;$G119,Composite!$A$5:$Q$841,M$3,FALSE)*VLOOKUP($C119,[3]!ExistingSat,MATCH($A119,[3]SATS!$C$10:$F$10,0)+1,FALSE)</f>
        <v>0</v>
      </c>
      <c r="N119" s="31">
        <f>VLOOKUP($F119&amp;$G119,Composite!$A$5:$Q$841,N$3,FALSE)*VLOOKUP($C119,[3]!ExistingSat,MATCH($A119,[3]SATS!$C$10:$F$10,0)+1,FALSE)</f>
        <v>0</v>
      </c>
      <c r="O119">
        <f>VLOOKUP($F119&amp;$G119,Composite!$A$5:$Q$841,O$3,FALSE)</f>
        <v>0</v>
      </c>
      <c r="P119" s="31">
        <f>VLOOKUP($F119&amp;$G119,Composite!$A$5:$Q$841,P$3,FALSE)*VLOOKUP($C119,[3]!ExistingSat,MATCH($A119,[3]SATS!$C$10:$F$10,0)+1,FALSE)</f>
        <v>0</v>
      </c>
      <c r="Q119">
        <f>VLOOKUP($F119&amp;$G119,Composite!$A$5:$Q$841,Q$3,FALSE)</f>
        <v>0</v>
      </c>
      <c r="R119" s="31">
        <f>VLOOKUP($F119&amp;$G119,Composite!$A$5:$Q$841,R$3,FALSE)*VLOOKUP($C119,[3]!ExistingSat,MATCH($A119,[3]SATS!$C$10:$F$10,0)+1,FALSE)</f>
        <v>0</v>
      </c>
      <c r="S119">
        <f>VLOOKUP($F119&amp;$G119,Composite!$A$5:$Q$841,S$3,FALSE)</f>
        <v>0</v>
      </c>
      <c r="T119" s="31">
        <f>VLOOKUP($F119&amp;$G119,Composite!$A$5:$Q$841,T$3,FALSE)*VLOOKUP($C119,[3]!ExistingSat,MATCH($A119,[3]SATS!$C$10:$F$10,0)+1,FALSE)</f>
        <v>0</v>
      </c>
    </row>
    <row r="120" spans="1:20">
      <c r="A120" t="s">
        <v>87</v>
      </c>
      <c r="B120" t="s">
        <v>78</v>
      </c>
      <c r="C120" t="s">
        <v>27</v>
      </c>
      <c r="D120" t="s">
        <v>61</v>
      </c>
      <c r="E120" t="str">
        <f t="shared" si="2"/>
        <v>Heat PumpHZ3WINDOW CL22 Prime Window Replacement of Double Pane Base</v>
      </c>
      <c r="F120" s="31" t="str">
        <f>Composite!B119</f>
        <v>Windows - Double Pane to Class 22 - Heating Zone 3 (Heat Pump Heating System)</v>
      </c>
      <c r="G120" s="31" t="str">
        <f>Composite!C119</f>
        <v>WINDOW CL22 Prime Window Replacement of Double Pane Base</v>
      </c>
      <c r="H120" s="31">
        <f>VLOOKUP($F120&amp;$G120,Composite!$A$5:$Q$841,H$3,FALSE)*VLOOKUP($C120,[3]!ExistingSat,MATCH($A120,[3]SATS!$C$10:$F$10,0)+1,FALSE)</f>
        <v>3170.7749987225479</v>
      </c>
      <c r="I120">
        <f>VLOOKUP($F120&amp;$G120,Composite!$A$5:$Q$841,I$3,FALSE)</f>
        <v>45</v>
      </c>
      <c r="J120" s="31">
        <f>VLOOKUP($F120&amp;$G120,Composite!$A$5:$Q$841,J$3,FALSE)*VLOOKUP($C120,[3]!ExistingSat,MATCH($A120,[3]SATS!$C$10:$F$10,0)+1,FALSE)</f>
        <v>4101.7368570659019</v>
      </c>
      <c r="K120" s="31">
        <f>VLOOKUP($F120&amp;$G120,Composite!$A$5:$Q$841,K$3,FALSE)*VLOOKUP($C120,[3]!ExistingSat,MATCH($A120,[3]SATS!$C$10:$F$10,0)+1,FALSE)</f>
        <v>0</v>
      </c>
      <c r="L120" t="str">
        <f>VLOOKUP($F120&amp;$G120,Composite!$A$5:$Q$841,L$3,FALSE)</f>
        <v>ResSHWX</v>
      </c>
      <c r="M120" s="31">
        <f>VLOOKUP($F120&amp;$G120,Composite!$A$5:$Q$841,M$3,FALSE)*VLOOKUP($C120,[3]!ExistingSat,MATCH($A120,[3]SATS!$C$10:$F$10,0)+1,FALSE)</f>
        <v>0</v>
      </c>
      <c r="N120" s="31">
        <f>VLOOKUP($F120&amp;$G120,Composite!$A$5:$Q$841,N$3,FALSE)*VLOOKUP($C120,[3]!ExistingSat,MATCH($A120,[3]SATS!$C$10:$F$10,0)+1,FALSE)</f>
        <v>0</v>
      </c>
      <c r="O120">
        <f>VLOOKUP($F120&amp;$G120,Composite!$A$5:$Q$841,O$3,FALSE)</f>
        <v>0</v>
      </c>
      <c r="P120" s="31">
        <f>VLOOKUP($F120&amp;$G120,Composite!$A$5:$Q$841,P$3,FALSE)*VLOOKUP($C120,[3]!ExistingSat,MATCH($A120,[3]SATS!$C$10:$F$10,0)+1,FALSE)</f>
        <v>0</v>
      </c>
      <c r="Q120">
        <f>VLOOKUP($F120&amp;$G120,Composite!$A$5:$Q$841,Q$3,FALSE)</f>
        <v>0</v>
      </c>
      <c r="R120" s="31">
        <f>VLOOKUP($F120&amp;$G120,Composite!$A$5:$Q$841,R$3,FALSE)*VLOOKUP($C120,[3]!ExistingSat,MATCH($A120,[3]SATS!$C$10:$F$10,0)+1,FALSE)</f>
        <v>0</v>
      </c>
      <c r="S120">
        <f>VLOOKUP($F120&amp;$G120,Composite!$A$5:$Q$841,S$3,FALSE)</f>
        <v>0</v>
      </c>
      <c r="T120" s="31">
        <f>VLOOKUP($F120&amp;$G120,Composite!$A$5:$Q$841,T$3,FALSE)*VLOOKUP($C120,[3]!ExistingSat,MATCH($A120,[3]SATS!$C$10:$F$10,0)+1,FALSE)</f>
        <v>0</v>
      </c>
    </row>
    <row r="121" spans="1:20">
      <c r="A121" t="s">
        <v>87</v>
      </c>
      <c r="B121" t="s">
        <v>78</v>
      </c>
      <c r="C121" t="s">
        <v>27</v>
      </c>
      <c r="D121" t="s">
        <v>61</v>
      </c>
      <c r="E121" t="str">
        <f t="shared" si="2"/>
        <v>Heat PumpHZ3WINDOW CL30 Prime Window Replacement of Single Pane Base</v>
      </c>
      <c r="F121" s="31" t="str">
        <f>Composite!B120</f>
        <v>Windows - Single Pane to Class 30 - Heating Zone 3 (Heat Pump Heating System)</v>
      </c>
      <c r="G121" s="31" t="str">
        <f>Composite!C120</f>
        <v>WINDOW CL30 Prime Window Replacement of Single Pane Base</v>
      </c>
      <c r="H121" s="31">
        <f>VLOOKUP($F121&amp;$G121,Composite!$A$5:$Q$841,H$3,FALSE)*VLOOKUP($C121,[3]!ExistingSat,MATCH($A121,[3]SATS!$C$10:$F$10,0)+1,FALSE)</f>
        <v>4576.5741508820574</v>
      </c>
      <c r="I121">
        <f>VLOOKUP($F121&amp;$G121,Composite!$A$5:$Q$841,I$3,FALSE)</f>
        <v>45</v>
      </c>
      <c r="J121" s="31">
        <f>VLOOKUP($F121&amp;$G121,Composite!$A$5:$Q$841,J$3,FALSE)*VLOOKUP($C121,[3]!ExistingSat,MATCH($A121,[3]SATS!$C$10:$F$10,0)+1,FALSE)</f>
        <v>3865.0968570659024</v>
      </c>
      <c r="K121" s="31">
        <f>VLOOKUP($F121&amp;$G121,Composite!$A$5:$Q$841,K$3,FALSE)*VLOOKUP($C121,[3]!ExistingSat,MATCH($A121,[3]SATS!$C$10:$F$10,0)+1,FALSE)</f>
        <v>0</v>
      </c>
      <c r="L121" t="str">
        <f>VLOOKUP($F121&amp;$G121,Composite!$A$5:$Q$841,L$3,FALSE)</f>
        <v>ResSHWX</v>
      </c>
      <c r="M121" s="31">
        <f>VLOOKUP($F121&amp;$G121,Composite!$A$5:$Q$841,M$3,FALSE)*VLOOKUP($C121,[3]!ExistingSat,MATCH($A121,[3]SATS!$C$10:$F$10,0)+1,FALSE)</f>
        <v>0</v>
      </c>
      <c r="N121" s="31">
        <f>VLOOKUP($F121&amp;$G121,Composite!$A$5:$Q$841,N$3,FALSE)*VLOOKUP($C121,[3]!ExistingSat,MATCH($A121,[3]SATS!$C$10:$F$10,0)+1,FALSE)</f>
        <v>0</v>
      </c>
      <c r="O121">
        <f>VLOOKUP($F121&amp;$G121,Composite!$A$5:$Q$841,O$3,FALSE)</f>
        <v>0</v>
      </c>
      <c r="P121" s="31">
        <f>VLOOKUP($F121&amp;$G121,Composite!$A$5:$Q$841,P$3,FALSE)*VLOOKUP($C121,[3]!ExistingSat,MATCH($A121,[3]SATS!$C$10:$F$10,0)+1,FALSE)</f>
        <v>0</v>
      </c>
      <c r="Q121">
        <f>VLOOKUP($F121&amp;$G121,Composite!$A$5:$Q$841,Q$3,FALSE)</f>
        <v>0</v>
      </c>
      <c r="R121" s="31">
        <f>VLOOKUP($F121&amp;$G121,Composite!$A$5:$Q$841,R$3,FALSE)*VLOOKUP($C121,[3]!ExistingSat,MATCH($A121,[3]SATS!$C$10:$F$10,0)+1,FALSE)</f>
        <v>0</v>
      </c>
      <c r="S121">
        <f>VLOOKUP($F121&amp;$G121,Composite!$A$5:$Q$841,S$3,FALSE)</f>
        <v>0</v>
      </c>
      <c r="T121" s="31">
        <f>VLOOKUP($F121&amp;$G121,Composite!$A$5:$Q$841,T$3,FALSE)*VLOOKUP($C121,[3]!ExistingSat,MATCH($A121,[3]SATS!$C$10:$F$10,0)+1,FALSE)</f>
        <v>0</v>
      </c>
    </row>
    <row r="122" spans="1:20">
      <c r="A122" t="s">
        <v>87</v>
      </c>
      <c r="B122" t="s">
        <v>78</v>
      </c>
      <c r="C122" t="s">
        <v>27</v>
      </c>
      <c r="D122" t="s">
        <v>61</v>
      </c>
      <c r="E122" t="str">
        <f t="shared" si="2"/>
        <v>Heat PumpHZ3WINDOW CL30 Prime Window Replacement of Double Pane Base</v>
      </c>
      <c r="F122" s="31" t="str">
        <f>Composite!B121</f>
        <v>Windows - Double Pane to Class 30 - Heating Zone 3 (Heat Pump Heating System)</v>
      </c>
      <c r="G122" s="31" t="str">
        <f>Composite!C121</f>
        <v>WINDOW CL30 Prime Window Replacement of Double Pane Base</v>
      </c>
      <c r="H122" s="31">
        <f>VLOOKUP($F122&amp;$G122,Composite!$A$5:$Q$841,H$3,FALSE)*VLOOKUP($C122,[3]!ExistingSat,MATCH($A122,[3]SATS!$C$10:$F$10,0)+1,FALSE)</f>
        <v>2809.656680410194</v>
      </c>
      <c r="I122">
        <f>VLOOKUP($F122&amp;$G122,Composite!$A$5:$Q$841,I$3,FALSE)</f>
        <v>45</v>
      </c>
      <c r="J122" s="31">
        <f>VLOOKUP($F122&amp;$G122,Composite!$A$5:$Q$841,J$3,FALSE)*VLOOKUP($C122,[3]!ExistingSat,MATCH($A122,[3]SATS!$C$10:$F$10,0)+1,FALSE)</f>
        <v>3865.0968570659024</v>
      </c>
      <c r="K122" s="31">
        <f>VLOOKUP($F122&amp;$G122,Composite!$A$5:$Q$841,K$3,FALSE)*VLOOKUP($C122,[3]!ExistingSat,MATCH($A122,[3]SATS!$C$10:$F$10,0)+1,FALSE)</f>
        <v>0</v>
      </c>
      <c r="L122" t="str">
        <f>VLOOKUP($F122&amp;$G122,Composite!$A$5:$Q$841,L$3,FALSE)</f>
        <v>ResSHWX</v>
      </c>
      <c r="M122" s="31">
        <f>VLOOKUP($F122&amp;$G122,Composite!$A$5:$Q$841,M$3,FALSE)*VLOOKUP($C122,[3]!ExistingSat,MATCH($A122,[3]SATS!$C$10:$F$10,0)+1,FALSE)</f>
        <v>0</v>
      </c>
      <c r="N122" s="31">
        <f>VLOOKUP($F122&amp;$G122,Composite!$A$5:$Q$841,N$3,FALSE)*VLOOKUP($C122,[3]!ExistingSat,MATCH($A122,[3]SATS!$C$10:$F$10,0)+1,FALSE)</f>
        <v>0</v>
      </c>
      <c r="O122">
        <f>VLOOKUP($F122&amp;$G122,Composite!$A$5:$Q$841,O$3,FALSE)</f>
        <v>0</v>
      </c>
      <c r="P122" s="31">
        <f>VLOOKUP($F122&amp;$G122,Composite!$A$5:$Q$841,P$3,FALSE)*VLOOKUP($C122,[3]!ExistingSat,MATCH($A122,[3]SATS!$C$10:$F$10,0)+1,FALSE)</f>
        <v>0</v>
      </c>
      <c r="Q122">
        <f>VLOOKUP($F122&amp;$G122,Composite!$A$5:$Q$841,Q$3,FALSE)</f>
        <v>0</v>
      </c>
      <c r="R122" s="31">
        <f>VLOOKUP($F122&amp;$G122,Composite!$A$5:$Q$841,R$3,FALSE)*VLOOKUP($C122,[3]!ExistingSat,MATCH($A122,[3]SATS!$C$10:$F$10,0)+1,FALSE)</f>
        <v>0</v>
      </c>
      <c r="S122">
        <f>VLOOKUP($F122&amp;$G122,Composite!$A$5:$Q$841,S$3,FALSE)</f>
        <v>0</v>
      </c>
      <c r="T122" s="31">
        <f>VLOOKUP($F122&amp;$G122,Composite!$A$5:$Q$841,T$3,FALSE)*VLOOKUP($C122,[3]!ExistingSat,MATCH($A122,[3]SATS!$C$10:$F$10,0)+1,FALSE)</f>
        <v>0</v>
      </c>
    </row>
    <row r="123" spans="1:20">
      <c r="F123" s="31"/>
      <c r="H123" s="31"/>
      <c r="J123" s="31"/>
      <c r="K123" s="31"/>
      <c r="M123" s="31"/>
      <c r="N123" s="31"/>
      <c r="P123" s="31"/>
      <c r="R123" s="31"/>
      <c r="T123" s="31"/>
    </row>
    <row r="124" spans="1:20">
      <c r="F124" s="31"/>
      <c r="H124" s="31"/>
      <c r="J124" s="31"/>
      <c r="K124" s="31"/>
      <c r="M124" s="31"/>
      <c r="N124" s="31"/>
      <c r="P124" s="31"/>
      <c r="R124" s="31"/>
      <c r="T124" s="31"/>
    </row>
    <row r="125" spans="1:20">
      <c r="F125" s="31"/>
      <c r="H125" s="31"/>
      <c r="J125" s="31"/>
      <c r="K125" s="31"/>
      <c r="M125" s="31"/>
      <c r="N125" s="31"/>
      <c r="P125" s="31"/>
      <c r="R125" s="31"/>
      <c r="T125" s="31"/>
    </row>
    <row r="126" spans="1:20">
      <c r="F126" s="31"/>
      <c r="H126" s="31"/>
      <c r="J126" s="31"/>
      <c r="K126" s="31"/>
      <c r="M126" s="31"/>
      <c r="N126" s="31"/>
      <c r="P126" s="31"/>
      <c r="R126" s="31"/>
      <c r="T126" s="31"/>
    </row>
    <row r="127" spans="1:20">
      <c r="F127" s="31"/>
      <c r="H127" s="31"/>
      <c r="J127" s="31"/>
      <c r="K127" s="31"/>
      <c r="M127" s="31"/>
      <c r="N127" s="31"/>
      <c r="P127" s="31"/>
      <c r="R127" s="31"/>
      <c r="T127" s="31"/>
    </row>
    <row r="128" spans="1:20">
      <c r="F128" s="31"/>
      <c r="H128" s="31"/>
      <c r="J128" s="31"/>
      <c r="K128" s="31"/>
      <c r="M128" s="31"/>
      <c r="N128" s="31"/>
      <c r="P128" s="31"/>
      <c r="R128" s="31"/>
      <c r="T128" s="31"/>
    </row>
    <row r="129" spans="1:21">
      <c r="F129" s="31"/>
      <c r="H129" s="31"/>
      <c r="J129" s="31"/>
      <c r="K129" s="31"/>
      <c r="M129" s="31"/>
      <c r="N129" s="31"/>
      <c r="P129" s="31"/>
      <c r="R129" s="31"/>
      <c r="T129" s="31"/>
    </row>
    <row r="132" spans="1:21">
      <c r="A132" t="s">
        <v>216</v>
      </c>
    </row>
    <row r="133" spans="1:21">
      <c r="H133">
        <v>4</v>
      </c>
      <c r="I133">
        <v>5</v>
      </c>
      <c r="J133">
        <v>6</v>
      </c>
      <c r="K133">
        <v>7</v>
      </c>
      <c r="L133">
        <v>8</v>
      </c>
      <c r="M133">
        <v>9</v>
      </c>
      <c r="N133">
        <v>10</v>
      </c>
      <c r="O133">
        <v>11</v>
      </c>
      <c r="P133">
        <v>12</v>
      </c>
      <c r="Q133">
        <v>13</v>
      </c>
      <c r="R133">
        <v>14</v>
      </c>
      <c r="S133">
        <v>15</v>
      </c>
      <c r="T133">
        <v>16</v>
      </c>
      <c r="U133">
        <v>17</v>
      </c>
    </row>
    <row r="134" spans="1:21">
      <c r="F134" s="12" t="s">
        <v>2</v>
      </c>
      <c r="G134" s="13"/>
      <c r="H134" s="13"/>
      <c r="I134" s="13"/>
      <c r="J134" s="13"/>
      <c r="K134" s="13"/>
      <c r="L134" s="14"/>
      <c r="M134" s="28"/>
      <c r="N134" s="639" t="s">
        <v>3</v>
      </c>
      <c r="O134" s="640"/>
      <c r="P134" s="640"/>
      <c r="Q134" s="640"/>
      <c r="R134" s="640"/>
      <c r="S134" s="641"/>
      <c r="T134" s="642" t="s">
        <v>4</v>
      </c>
      <c r="U134" s="643"/>
    </row>
    <row r="135" spans="1:21" ht="25.5">
      <c r="F135" s="29" t="s">
        <v>5</v>
      </c>
      <c r="G135" s="29" t="s">
        <v>6</v>
      </c>
      <c r="H135" s="29" t="s">
        <v>7</v>
      </c>
      <c r="I135" s="29" t="s">
        <v>8</v>
      </c>
      <c r="J135" s="29" t="s">
        <v>9</v>
      </c>
      <c r="K135" s="29" t="s">
        <v>10</v>
      </c>
      <c r="L135" s="29" t="s">
        <v>11</v>
      </c>
      <c r="M135" s="29" t="s">
        <v>12</v>
      </c>
      <c r="N135" s="29" t="s">
        <v>13</v>
      </c>
      <c r="O135" s="29" t="s">
        <v>14</v>
      </c>
      <c r="P135" s="29" t="s">
        <v>15</v>
      </c>
      <c r="Q135" s="29" t="s">
        <v>16</v>
      </c>
      <c r="R135" s="29" t="s">
        <v>17</v>
      </c>
      <c r="S135" s="29" t="s">
        <v>18</v>
      </c>
      <c r="T135" s="30" t="s">
        <v>19</v>
      </c>
      <c r="U135" s="29" t="s">
        <v>11</v>
      </c>
    </row>
    <row r="136" spans="1:21">
      <c r="B136" t="s">
        <v>77</v>
      </c>
      <c r="C136" t="s">
        <v>59</v>
      </c>
      <c r="D136" t="s">
        <v>60</v>
      </c>
      <c r="E136" t="s">
        <v>61</v>
      </c>
      <c r="F136" s="55" t="str">
        <f>CONCATENATE(G136,"_",B136)</f>
        <v>WALL R0 - R11_Electric Zonal</v>
      </c>
      <c r="G136" s="31" t="s">
        <v>69</v>
      </c>
      <c r="H136" s="31">
        <f>VLOOKUP($B136&amp;$C$136&amp;$G136,$E$6:$U$129,H$133,FALSE)*VLOOKUP($B136,Weighting!$D$5:$G$9,MATCH(Segmented!$C$136,Weighting!$E$5:$H$5,0)+1,FALSE)+VLOOKUP($B136&amp;$D$136&amp;$G136,$E$6:$U$129,H$133,FALSE)*VLOOKUP($B136,Weighting!$D$5:$G$9,MATCH(Segmented!$D$136,Weighting!$E$5:$H$5,0)+1,FALSE)+VLOOKUP($B136&amp;$E$136&amp;$G136,$E$6:$U$129,H$133,FALSE)*VLOOKUP($B136,Weighting!$D$5:$G$9,MATCH(Segmented!$E$136,Weighting!$E$5:$H$5,0)+1,FALSE)</f>
        <v>704.9921890197345</v>
      </c>
      <c r="I136">
        <f t="shared" ref="I136:I174" si="3">VLOOKUP($B136&amp;$C$136&amp;$G136,$E$6:$U$129,I$133,FALSE)</f>
        <v>45</v>
      </c>
      <c r="J136" s="31">
        <f>VLOOKUP($B136&amp;$C$136&amp;$G136,$E$6:$U$129,J$133,FALSE)*VLOOKUP($B136,Weighting!$D$5:$G$9,MATCH(Segmented!$C$136,Weighting!$E$5:$H$5,0)+1,FALSE)+VLOOKUP($B136&amp;$D$136&amp;$G136,$E$6:$U$129,J$133,FALSE)*VLOOKUP($B136,Weighting!$D$5:$G$9,MATCH(Segmented!$D$136,Weighting!$E$5:$H$5,0)+1,FALSE)+VLOOKUP($B136&amp;$E$136&amp;$G136,$E$6:$U$129,J$133,FALSE)*VLOOKUP($B136,Weighting!$D$5:$G$9,MATCH(Segmented!$E$136,Weighting!$E$5:$H$5,0)+1,FALSE)</f>
        <v>414.11354893012162</v>
      </c>
      <c r="K136" s="31">
        <f>VLOOKUP($B136&amp;$C$136&amp;$G136,$E$6:$U$129,K$133,FALSE)*VLOOKUP($B136,Weighting!$D$5:$G$9,MATCH(Segmented!$C$136,Weighting!$E$5:$H$5,0)+1,FALSE)+VLOOKUP($B136&amp;$D$136&amp;$G136,$E$6:$U$129,K$133,FALSE)*VLOOKUP($B136,Weighting!$D$5:$G$9,MATCH(Segmented!$D$136,Weighting!$E$5:$H$5,0)+1,FALSE)+VLOOKUP($B136&amp;$E$136&amp;$G136,$E$6:$U$129,K$133,FALSE)*VLOOKUP($B136,Weighting!$D$5:$G$9,MATCH(Segmented!$E$136,Weighting!$E$5:$H$5,0)+1,FALSE)</f>
        <v>0</v>
      </c>
      <c r="L136" t="str">
        <f t="shared" ref="L136:L174" si="4">VLOOKUP($B136&amp;$C$136&amp;$G136,$E$6:$U$129,L$133,FALSE)</f>
        <v>ResSHWX</v>
      </c>
      <c r="M136" s="31">
        <f>VLOOKUP($B136&amp;$C$136&amp;$G136,$E$6:$U$129,M$133,FALSE)*VLOOKUP($B136,Weighting!$D$5:$G$9,MATCH(Segmented!$C$136,Weighting!$E$5:$H$5,0)+1,FALSE)+VLOOKUP($B136&amp;$D$136&amp;$G136,$E$6:$U$129,M$133,FALSE)*VLOOKUP($B136,Weighting!$D$5:$G$9,MATCH(Segmented!$D$136,Weighting!$E$5:$H$5,0)+1,FALSE)+VLOOKUP($B136&amp;$E$136&amp;$G136,$E$6:$U$129,M$133,FALSE)*VLOOKUP($B136,Weighting!$D$5:$G$9,MATCH(Segmented!$E$136,Weighting!$E$5:$H$5,0)+1,FALSE)</f>
        <v>0</v>
      </c>
      <c r="N136" s="31">
        <f>VLOOKUP($B136&amp;$C$136&amp;$G136,$E$6:$U$129,N$133,FALSE)*VLOOKUP($B136,Weighting!$D$5:$G$9,MATCH(Segmented!$C$136,Weighting!$E$5:$H$5,0)+1,FALSE)+VLOOKUP($B136&amp;$D$136&amp;$G136,$E$6:$U$129,N$133,FALSE)*VLOOKUP($B136,Weighting!$D$5:$G$9,MATCH(Segmented!$D$136,Weighting!$E$5:$H$5,0)+1,FALSE)+VLOOKUP($B136&amp;$E$136&amp;$G136,$E$6:$U$129,N$133,FALSE)*VLOOKUP($B136,Weighting!$D$5:$G$9,MATCH(Segmented!$E$136,Weighting!$E$5:$H$5,0)+1,FALSE)</f>
        <v>0</v>
      </c>
      <c r="O136">
        <f t="shared" ref="O136:O174" si="5">VLOOKUP($B136&amp;$C$136&amp;$G136,$E$6:$U$129,O$133,FALSE)</f>
        <v>0</v>
      </c>
      <c r="P136" s="31">
        <f>VLOOKUP($B136&amp;$C$136&amp;$G136,$E$6:$U$129,P$133,FALSE)*VLOOKUP($B136,Weighting!$D$5:$G$9,MATCH(Segmented!$C$136,Weighting!$E$5:$H$5,0)+1,FALSE)+VLOOKUP($B136&amp;$D$136&amp;$G136,$E$6:$U$129,P$133,FALSE)*VLOOKUP($B136,Weighting!$D$5:$G$9,MATCH(Segmented!$D$136,Weighting!$E$5:$H$5,0)+1,FALSE)+VLOOKUP($B136&amp;$E$136&amp;$G136,$E$6:$U$129,P$133,FALSE)*VLOOKUP($B136,Weighting!$D$5:$G$9,MATCH(Segmented!$E$136,Weighting!$E$5:$H$5,0)+1,FALSE)</f>
        <v>0</v>
      </c>
      <c r="Q136">
        <f t="shared" ref="Q136:Q174" si="6">VLOOKUP($B136&amp;$C$136&amp;$G136,$E$6:$U$129,Q$133,FALSE)</f>
        <v>0</v>
      </c>
      <c r="R136" s="31">
        <f>VLOOKUP($B136&amp;$C$136&amp;$G136,$E$6:$U$129,R$133,FALSE)*VLOOKUP($B136,Weighting!$D$5:$G$9,MATCH(Segmented!$C$136,Weighting!$E$5:$H$5,0)+1,FALSE)+VLOOKUP($B136&amp;$D$136&amp;$G136,$E$6:$U$129,R$133,FALSE)*VLOOKUP($B136,Weighting!$D$5:$G$9,MATCH(Segmented!$D$136,Weighting!$E$5:$H$5,0)+1,FALSE)+VLOOKUP($B136&amp;$E$136&amp;$G136,$E$6:$U$129,R$133,FALSE)*VLOOKUP($B136,Weighting!$D$5:$G$9,MATCH(Segmented!$E$136,Weighting!$E$5:$H$5,0)+1,FALSE)</f>
        <v>0</v>
      </c>
      <c r="S136">
        <f t="shared" ref="S136:S174" si="7">VLOOKUP($B136&amp;$C$136&amp;$G136,$E$6:$U$129,S$133,FALSE)</f>
        <v>0</v>
      </c>
      <c r="T136" s="31">
        <f>VLOOKUP($B136&amp;$C$136&amp;$G136,$E$6:$U$129,T$133,FALSE)*VLOOKUP($B136,Weighting!$D$5:$G$9,MATCH(Segmented!$C$136,Weighting!$E$5:$H$5,0)+1,FALSE)+VLOOKUP($B136&amp;$D$136&amp;$G136,$E$6:$U$129,T$133,FALSE)*VLOOKUP($B136,Weighting!$D$5:$G$9,MATCH(Segmented!$D$136,Weighting!$E$5:$H$5,0)+1,FALSE)+VLOOKUP($B136&amp;$E$136&amp;$G136,$E$6:$U$129,T$133,FALSE)*VLOOKUP($B136,Weighting!$D$5:$G$9,MATCH(Segmented!$E$136,Weighting!$E$5:$H$5,0)+1,FALSE)</f>
        <v>0</v>
      </c>
    </row>
    <row r="137" spans="1:21">
      <c r="B137" t="s">
        <v>77</v>
      </c>
      <c r="F137" s="55" t="str">
        <f t="shared" ref="F137:F174" si="8">CONCATENATE(G137,"_",B137)</f>
        <v>FLOOR R0 - R19_Electric Zonal</v>
      </c>
      <c r="G137" s="31" t="s">
        <v>70</v>
      </c>
      <c r="H137" s="31">
        <f>VLOOKUP($B137&amp;$C$136&amp;$G137,$E$6:$U$129,H$133,FALSE)*VLOOKUP($B137,Weighting!$D$5:$G$9,MATCH(Segmented!$C$136,Weighting!$E$5:$H$5,0)+1,FALSE)+VLOOKUP($B137&amp;$D$136&amp;$G137,$E$6:$U$129,H$133,FALSE)*VLOOKUP($B137,Weighting!$D$5:$G$9,MATCH(Segmented!$D$136,Weighting!$E$5:$H$5,0)+1,FALSE)+VLOOKUP($B137&amp;$E$136&amp;$G137,$E$6:$U$129,H$133,FALSE)*VLOOKUP($B137,Weighting!$D$5:$G$9,MATCH(Segmented!$E$136,Weighting!$E$5:$H$5,0)+1,FALSE)</f>
        <v>240.0970997130473</v>
      </c>
      <c r="I137">
        <f t="shared" si="3"/>
        <v>45</v>
      </c>
      <c r="J137" s="31">
        <f>VLOOKUP($B137&amp;$C$136&amp;$G137,$E$6:$U$129,J$133,FALSE)*VLOOKUP($B137,Weighting!$D$5:$G$9,MATCH(Segmented!$C$136,Weighting!$E$5:$H$5,0)+1,FALSE)+VLOOKUP($B137&amp;$D$136&amp;$G137,$E$6:$U$129,J$133,FALSE)*VLOOKUP($B137,Weighting!$D$5:$G$9,MATCH(Segmented!$D$136,Weighting!$E$5:$H$5,0)+1,FALSE)+VLOOKUP($B137&amp;$E$136&amp;$G137,$E$6:$U$129,J$133,FALSE)*VLOOKUP($B137,Weighting!$D$5:$G$9,MATCH(Segmented!$E$136,Weighting!$E$5:$H$5,0)+1,FALSE)</f>
        <v>436.41697398915824</v>
      </c>
      <c r="K137" s="31">
        <f>VLOOKUP($B137&amp;$C$136&amp;$G137,$E$6:$U$129,K$133,FALSE)*VLOOKUP($B137,Weighting!$D$5:$G$9,MATCH(Segmented!$C$136,Weighting!$E$5:$H$5,0)+1,FALSE)+VLOOKUP($B137&amp;$D$136&amp;$G137,$E$6:$U$129,K$133,FALSE)*VLOOKUP($B137,Weighting!$D$5:$G$9,MATCH(Segmented!$D$136,Weighting!$E$5:$H$5,0)+1,FALSE)+VLOOKUP($B137&amp;$E$136&amp;$G137,$E$6:$U$129,K$133,FALSE)*VLOOKUP($B137,Weighting!$D$5:$G$9,MATCH(Segmented!$E$136,Weighting!$E$5:$H$5,0)+1,FALSE)</f>
        <v>0</v>
      </c>
      <c r="L137" t="str">
        <f t="shared" si="4"/>
        <v>ResSHWX</v>
      </c>
      <c r="M137" s="31">
        <f>VLOOKUP($B137&amp;$C$136&amp;$G137,$E$6:$U$129,M$133,FALSE)*VLOOKUP($B137,Weighting!$D$5:$G$9,MATCH(Segmented!$C$136,Weighting!$E$5:$H$5,0)+1,FALSE)+VLOOKUP($B137&amp;$D$136&amp;$G137,$E$6:$U$129,M$133,FALSE)*VLOOKUP($B137,Weighting!$D$5:$G$9,MATCH(Segmented!$D$136,Weighting!$E$5:$H$5,0)+1,FALSE)+VLOOKUP($B137&amp;$E$136&amp;$G137,$E$6:$U$129,M$133,FALSE)*VLOOKUP($B137,Weighting!$D$5:$G$9,MATCH(Segmented!$E$136,Weighting!$E$5:$H$5,0)+1,FALSE)</f>
        <v>0</v>
      </c>
      <c r="N137" s="31">
        <f>VLOOKUP($B137&amp;$C$136&amp;$G137,$E$6:$U$129,N$133,FALSE)*VLOOKUP($B137,Weighting!$D$5:$G$9,MATCH(Segmented!$C$136,Weighting!$E$5:$H$5,0)+1,FALSE)+VLOOKUP($B137&amp;$D$136&amp;$G137,$E$6:$U$129,N$133,FALSE)*VLOOKUP($B137,Weighting!$D$5:$G$9,MATCH(Segmented!$D$136,Weighting!$E$5:$H$5,0)+1,FALSE)+VLOOKUP($B137&amp;$E$136&amp;$G137,$E$6:$U$129,N$133,FALSE)*VLOOKUP($B137,Weighting!$D$5:$G$9,MATCH(Segmented!$E$136,Weighting!$E$5:$H$5,0)+1,FALSE)</f>
        <v>0</v>
      </c>
      <c r="O137">
        <f t="shared" si="5"/>
        <v>0</v>
      </c>
      <c r="P137" s="31">
        <f>VLOOKUP($B137&amp;$C$136&amp;$G137,$E$6:$U$129,P$133,FALSE)*VLOOKUP($B137,Weighting!$D$5:$G$9,MATCH(Segmented!$C$136,Weighting!$E$5:$H$5,0)+1,FALSE)+VLOOKUP($B137&amp;$D$136&amp;$G137,$E$6:$U$129,P$133,FALSE)*VLOOKUP($B137,Weighting!$D$5:$G$9,MATCH(Segmented!$D$136,Weighting!$E$5:$H$5,0)+1,FALSE)+VLOOKUP($B137&amp;$E$136&amp;$G137,$E$6:$U$129,P$133,FALSE)*VLOOKUP($B137,Weighting!$D$5:$G$9,MATCH(Segmented!$E$136,Weighting!$E$5:$H$5,0)+1,FALSE)</f>
        <v>0</v>
      </c>
      <c r="Q137">
        <f t="shared" si="6"/>
        <v>0</v>
      </c>
      <c r="R137" s="31">
        <f>VLOOKUP($B137&amp;$C$136&amp;$G137,$E$6:$U$129,R$133,FALSE)*VLOOKUP($B137,Weighting!$D$5:$G$9,MATCH(Segmented!$C$136,Weighting!$E$5:$H$5,0)+1,FALSE)+VLOOKUP($B137&amp;$D$136&amp;$G137,$E$6:$U$129,R$133,FALSE)*VLOOKUP($B137,Weighting!$D$5:$G$9,MATCH(Segmented!$D$136,Weighting!$E$5:$H$5,0)+1,FALSE)+VLOOKUP($B137&amp;$E$136&amp;$G137,$E$6:$U$129,R$133,FALSE)*VLOOKUP($B137,Weighting!$D$5:$G$9,MATCH(Segmented!$E$136,Weighting!$E$5:$H$5,0)+1,FALSE)</f>
        <v>0</v>
      </c>
      <c r="S137">
        <f t="shared" si="7"/>
        <v>0</v>
      </c>
      <c r="T137" s="31">
        <f>VLOOKUP($B137&amp;$C$136&amp;$G137,$E$6:$U$129,T$133,FALSE)*VLOOKUP($B137,Weighting!$D$5:$G$9,MATCH(Segmented!$C$136,Weighting!$E$5:$H$5,0)+1,FALSE)+VLOOKUP($B137&amp;$D$136&amp;$G137,$E$6:$U$129,T$133,FALSE)*VLOOKUP($B137,Weighting!$D$5:$G$9,MATCH(Segmented!$D$136,Weighting!$E$5:$H$5,0)+1,FALSE)+VLOOKUP($B137&amp;$E$136&amp;$G137,$E$6:$U$129,T$133,FALSE)*VLOOKUP($B137,Weighting!$D$5:$G$9,MATCH(Segmented!$E$136,Weighting!$E$5:$H$5,0)+1,FALSE)</f>
        <v>0</v>
      </c>
    </row>
    <row r="138" spans="1:21">
      <c r="B138" t="s">
        <v>77</v>
      </c>
      <c r="F138" s="55" t="str">
        <f t="shared" si="8"/>
        <v>FLOOR R0 - R30_Electric Zonal</v>
      </c>
      <c r="G138" s="31" t="s">
        <v>71</v>
      </c>
      <c r="H138" s="31">
        <f>VLOOKUP($B138&amp;$C$136&amp;$G138,$E$6:$U$129,H$133,FALSE)*VLOOKUP($B138,Weighting!$D$5:$G$9,MATCH(Segmented!$C$136,Weighting!$E$5:$H$5,0)+1,FALSE)+VLOOKUP($B138&amp;$D$136&amp;$G138,$E$6:$U$129,H$133,FALSE)*VLOOKUP($B138,Weighting!$D$5:$G$9,MATCH(Segmented!$D$136,Weighting!$E$5:$H$5,0)+1,FALSE)+VLOOKUP($B138&amp;$E$136&amp;$G138,$E$6:$U$129,H$133,FALSE)*VLOOKUP($B138,Weighting!$D$5:$G$9,MATCH(Segmented!$E$136,Weighting!$E$5:$H$5,0)+1,FALSE)</f>
        <v>312.51710368259592</v>
      </c>
      <c r="I138">
        <f t="shared" si="3"/>
        <v>45</v>
      </c>
      <c r="J138" s="31">
        <f>VLOOKUP($B138&amp;$C$136&amp;$G138,$E$6:$U$129,J$133,FALSE)*VLOOKUP($B138,Weighting!$D$5:$G$9,MATCH(Segmented!$C$136,Weighting!$E$5:$H$5,0)+1,FALSE)+VLOOKUP($B138&amp;$D$136&amp;$G138,$E$6:$U$129,J$133,FALSE)*VLOOKUP($B138,Weighting!$D$5:$G$9,MATCH(Segmented!$D$136,Weighting!$E$5:$H$5,0)+1,FALSE)+VLOOKUP($B138&amp;$E$136&amp;$G138,$E$6:$U$129,J$133,FALSE)*VLOOKUP($B138,Weighting!$D$5:$G$9,MATCH(Segmented!$E$136,Weighting!$E$5:$H$5,0)+1,FALSE)</f>
        <v>689.0794326144603</v>
      </c>
      <c r="K138" s="31">
        <f>VLOOKUP($B138&amp;$C$136&amp;$G138,$E$6:$U$129,K$133,FALSE)*VLOOKUP($B138,Weighting!$D$5:$G$9,MATCH(Segmented!$C$136,Weighting!$E$5:$H$5,0)+1,FALSE)+VLOOKUP($B138&amp;$D$136&amp;$G138,$E$6:$U$129,K$133,FALSE)*VLOOKUP($B138,Weighting!$D$5:$G$9,MATCH(Segmented!$D$136,Weighting!$E$5:$H$5,0)+1,FALSE)+VLOOKUP($B138&amp;$E$136&amp;$G138,$E$6:$U$129,K$133,FALSE)*VLOOKUP($B138,Weighting!$D$5:$G$9,MATCH(Segmented!$E$136,Weighting!$E$5:$H$5,0)+1,FALSE)</f>
        <v>0</v>
      </c>
      <c r="L138" t="str">
        <f t="shared" si="4"/>
        <v>ResSHWX</v>
      </c>
      <c r="M138" s="31">
        <f>VLOOKUP($B138&amp;$C$136&amp;$G138,$E$6:$U$129,M$133,FALSE)*VLOOKUP($B138,Weighting!$D$5:$G$9,MATCH(Segmented!$C$136,Weighting!$E$5:$H$5,0)+1,FALSE)+VLOOKUP($B138&amp;$D$136&amp;$G138,$E$6:$U$129,M$133,FALSE)*VLOOKUP($B138,Weighting!$D$5:$G$9,MATCH(Segmented!$D$136,Weighting!$E$5:$H$5,0)+1,FALSE)+VLOOKUP($B138&amp;$E$136&amp;$G138,$E$6:$U$129,M$133,FALSE)*VLOOKUP($B138,Weighting!$D$5:$G$9,MATCH(Segmented!$E$136,Weighting!$E$5:$H$5,0)+1,FALSE)</f>
        <v>0</v>
      </c>
      <c r="N138" s="31">
        <f>VLOOKUP($B138&amp;$C$136&amp;$G138,$E$6:$U$129,N$133,FALSE)*VLOOKUP($B138,Weighting!$D$5:$G$9,MATCH(Segmented!$C$136,Weighting!$E$5:$H$5,0)+1,FALSE)+VLOOKUP($B138&amp;$D$136&amp;$G138,$E$6:$U$129,N$133,FALSE)*VLOOKUP($B138,Weighting!$D$5:$G$9,MATCH(Segmented!$D$136,Weighting!$E$5:$H$5,0)+1,FALSE)+VLOOKUP($B138&amp;$E$136&amp;$G138,$E$6:$U$129,N$133,FALSE)*VLOOKUP($B138,Weighting!$D$5:$G$9,MATCH(Segmented!$E$136,Weighting!$E$5:$H$5,0)+1,FALSE)</f>
        <v>0</v>
      </c>
      <c r="O138">
        <f t="shared" si="5"/>
        <v>0</v>
      </c>
      <c r="P138" s="31">
        <f>VLOOKUP($B138&amp;$C$136&amp;$G138,$E$6:$U$129,P$133,FALSE)*VLOOKUP($B138,Weighting!$D$5:$G$9,MATCH(Segmented!$C$136,Weighting!$E$5:$H$5,0)+1,FALSE)+VLOOKUP($B138&amp;$D$136&amp;$G138,$E$6:$U$129,P$133,FALSE)*VLOOKUP($B138,Weighting!$D$5:$G$9,MATCH(Segmented!$D$136,Weighting!$E$5:$H$5,0)+1,FALSE)+VLOOKUP($B138&amp;$E$136&amp;$G138,$E$6:$U$129,P$133,FALSE)*VLOOKUP($B138,Weighting!$D$5:$G$9,MATCH(Segmented!$E$136,Weighting!$E$5:$H$5,0)+1,FALSE)</f>
        <v>0</v>
      </c>
      <c r="Q138">
        <f t="shared" si="6"/>
        <v>0</v>
      </c>
      <c r="R138" s="31">
        <f>VLOOKUP($B138&amp;$C$136&amp;$G138,$E$6:$U$129,R$133,FALSE)*VLOOKUP($B138,Weighting!$D$5:$G$9,MATCH(Segmented!$C$136,Weighting!$E$5:$H$5,0)+1,FALSE)+VLOOKUP($B138&amp;$D$136&amp;$G138,$E$6:$U$129,R$133,FALSE)*VLOOKUP($B138,Weighting!$D$5:$G$9,MATCH(Segmented!$D$136,Weighting!$E$5:$H$5,0)+1,FALSE)+VLOOKUP($B138&amp;$E$136&amp;$G138,$E$6:$U$129,R$133,FALSE)*VLOOKUP($B138,Weighting!$D$5:$G$9,MATCH(Segmented!$E$136,Weighting!$E$5:$H$5,0)+1,FALSE)</f>
        <v>0</v>
      </c>
      <c r="S138">
        <f t="shared" si="7"/>
        <v>0</v>
      </c>
      <c r="T138" s="31">
        <f>VLOOKUP($B138&amp;$C$136&amp;$G138,$E$6:$U$129,T$133,FALSE)*VLOOKUP($B138,Weighting!$D$5:$G$9,MATCH(Segmented!$C$136,Weighting!$E$5:$H$5,0)+1,FALSE)+VLOOKUP($B138&amp;$D$136&amp;$G138,$E$6:$U$129,T$133,FALSE)*VLOOKUP($B138,Weighting!$D$5:$G$9,MATCH(Segmented!$D$136,Weighting!$E$5:$H$5,0)+1,FALSE)+VLOOKUP($B138&amp;$E$136&amp;$G138,$E$6:$U$129,T$133,FALSE)*VLOOKUP($B138,Weighting!$D$5:$G$9,MATCH(Segmented!$E$136,Weighting!$E$5:$H$5,0)+1,FALSE)</f>
        <v>0</v>
      </c>
    </row>
    <row r="139" spans="1:21">
      <c r="B139" t="s">
        <v>77</v>
      </c>
      <c r="F139" s="55" t="str">
        <f t="shared" si="8"/>
        <v>ATTIC R0 - R19_Electric Zonal</v>
      </c>
      <c r="G139" s="31" t="s">
        <v>1201</v>
      </c>
      <c r="H139" s="31">
        <f>VLOOKUP($B139&amp;$C$136&amp;$G139,$E$6:$U$129,H$133,FALSE)*VLOOKUP($B139,Weighting!$D$5:$G$9,MATCH(Segmented!$C$136,Weighting!$E$5:$H$5,0)+1,FALSE)+VLOOKUP($B139&amp;$D$136&amp;$G139,$E$6:$U$129,H$133,FALSE)*VLOOKUP($B139,Weighting!$D$5:$G$9,MATCH(Segmented!$D$136,Weighting!$E$5:$H$5,0)+1,FALSE)+VLOOKUP($B139&amp;$E$136&amp;$G139,$E$6:$U$129,H$133,FALSE)*VLOOKUP($B139,Weighting!$D$5:$G$9,MATCH(Segmented!$E$136,Weighting!$E$5:$H$5,0)+1,FALSE)</f>
        <v>187.44992932580061</v>
      </c>
      <c r="I139">
        <f t="shared" si="3"/>
        <v>45</v>
      </c>
      <c r="J139" s="31">
        <f>VLOOKUP($B139&amp;$C$136&amp;$G139,$E$6:$U$129,J$133,FALSE)*VLOOKUP($B139,Weighting!$D$5:$G$9,MATCH(Segmented!$C$136,Weighting!$E$5:$H$5,0)+1,FALSE)+VLOOKUP($B139&amp;$D$136&amp;$G139,$E$6:$U$129,J$133,FALSE)*VLOOKUP($B139,Weighting!$D$5:$G$9,MATCH(Segmented!$D$136,Weighting!$E$5:$H$5,0)+1,FALSE)+VLOOKUP($B139&amp;$E$136&amp;$G139,$E$6:$U$129,J$133,FALSE)*VLOOKUP($B139,Weighting!$D$5:$G$9,MATCH(Segmented!$E$136,Weighting!$E$5:$H$5,0)+1,FALSE)</f>
        <v>239.1087012654321</v>
      </c>
      <c r="K139" s="31">
        <f>VLOOKUP($B139&amp;$C$136&amp;$G139,$E$6:$U$129,K$133,FALSE)*VLOOKUP($B139,Weighting!$D$5:$G$9,MATCH(Segmented!$C$136,Weighting!$E$5:$H$5,0)+1,FALSE)+VLOOKUP($B139&amp;$D$136&amp;$G139,$E$6:$U$129,K$133,FALSE)*VLOOKUP($B139,Weighting!$D$5:$G$9,MATCH(Segmented!$D$136,Weighting!$E$5:$H$5,0)+1,FALSE)+VLOOKUP($B139&amp;$E$136&amp;$G139,$E$6:$U$129,K$133,FALSE)*VLOOKUP($B139,Weighting!$D$5:$G$9,MATCH(Segmented!$E$136,Weighting!$E$5:$H$5,0)+1,FALSE)</f>
        <v>0</v>
      </c>
      <c r="L139" t="str">
        <f t="shared" si="4"/>
        <v>ResSHWX</v>
      </c>
      <c r="M139" s="31">
        <f>VLOOKUP($B139&amp;$C$136&amp;$G139,$E$6:$U$129,M$133,FALSE)*VLOOKUP($B139,Weighting!$D$5:$G$9,MATCH(Segmented!$C$136,Weighting!$E$5:$H$5,0)+1,FALSE)+VLOOKUP($B139&amp;$D$136&amp;$G139,$E$6:$U$129,M$133,FALSE)*VLOOKUP($B139,Weighting!$D$5:$G$9,MATCH(Segmented!$D$136,Weighting!$E$5:$H$5,0)+1,FALSE)+VLOOKUP($B139&amp;$E$136&amp;$G139,$E$6:$U$129,M$133,FALSE)*VLOOKUP($B139,Weighting!$D$5:$G$9,MATCH(Segmented!$E$136,Weighting!$E$5:$H$5,0)+1,FALSE)</f>
        <v>0</v>
      </c>
      <c r="N139" s="31">
        <f>VLOOKUP($B139&amp;$C$136&amp;$G139,$E$6:$U$129,N$133,FALSE)*VLOOKUP($B139,Weighting!$D$5:$G$9,MATCH(Segmented!$C$136,Weighting!$E$5:$H$5,0)+1,FALSE)+VLOOKUP($B139&amp;$D$136&amp;$G139,$E$6:$U$129,N$133,FALSE)*VLOOKUP($B139,Weighting!$D$5:$G$9,MATCH(Segmented!$D$136,Weighting!$E$5:$H$5,0)+1,FALSE)+VLOOKUP($B139&amp;$E$136&amp;$G139,$E$6:$U$129,N$133,FALSE)*VLOOKUP($B139,Weighting!$D$5:$G$9,MATCH(Segmented!$E$136,Weighting!$E$5:$H$5,0)+1,FALSE)</f>
        <v>0</v>
      </c>
      <c r="O139">
        <f t="shared" si="5"/>
        <v>0</v>
      </c>
      <c r="P139" s="31">
        <f>VLOOKUP($B139&amp;$C$136&amp;$G139,$E$6:$U$129,P$133,FALSE)*VLOOKUP($B139,Weighting!$D$5:$G$9,MATCH(Segmented!$C$136,Weighting!$E$5:$H$5,0)+1,FALSE)+VLOOKUP($B139&amp;$D$136&amp;$G139,$E$6:$U$129,P$133,FALSE)*VLOOKUP($B139,Weighting!$D$5:$G$9,MATCH(Segmented!$D$136,Weighting!$E$5:$H$5,0)+1,FALSE)+VLOOKUP($B139&amp;$E$136&amp;$G139,$E$6:$U$129,P$133,FALSE)*VLOOKUP($B139,Weighting!$D$5:$G$9,MATCH(Segmented!$E$136,Weighting!$E$5:$H$5,0)+1,FALSE)</f>
        <v>0</v>
      </c>
      <c r="Q139">
        <f t="shared" si="6"/>
        <v>0</v>
      </c>
      <c r="R139" s="31">
        <f>VLOOKUP($B139&amp;$C$136&amp;$G139,$E$6:$U$129,R$133,FALSE)*VLOOKUP($B139,Weighting!$D$5:$G$9,MATCH(Segmented!$C$136,Weighting!$E$5:$H$5,0)+1,FALSE)+VLOOKUP($B139&amp;$D$136&amp;$G139,$E$6:$U$129,R$133,FALSE)*VLOOKUP($B139,Weighting!$D$5:$G$9,MATCH(Segmented!$D$136,Weighting!$E$5:$H$5,0)+1,FALSE)+VLOOKUP($B139&amp;$E$136&amp;$G139,$E$6:$U$129,R$133,FALSE)*VLOOKUP($B139,Weighting!$D$5:$G$9,MATCH(Segmented!$E$136,Weighting!$E$5:$H$5,0)+1,FALSE)</f>
        <v>0</v>
      </c>
      <c r="S139">
        <f t="shared" si="7"/>
        <v>0</v>
      </c>
      <c r="T139" s="31">
        <f>VLOOKUP($B139&amp;$C$136&amp;$G139,$E$6:$U$129,T$133,FALSE)*VLOOKUP($B139,Weighting!$D$5:$G$9,MATCH(Segmented!$C$136,Weighting!$E$5:$H$5,0)+1,FALSE)+VLOOKUP($B139&amp;$D$136&amp;$G139,$E$6:$U$129,T$133,FALSE)*VLOOKUP($B139,Weighting!$D$5:$G$9,MATCH(Segmented!$D$136,Weighting!$E$5:$H$5,0)+1,FALSE)+VLOOKUP($B139&amp;$E$136&amp;$G139,$E$6:$U$129,T$133,FALSE)*VLOOKUP($B139,Weighting!$D$5:$G$9,MATCH(Segmented!$E$136,Weighting!$E$5:$H$5,0)+1,FALSE)</f>
        <v>0</v>
      </c>
    </row>
    <row r="140" spans="1:21">
      <c r="B140" t="s">
        <v>77</v>
      </c>
      <c r="F140" s="55" t="str">
        <f t="shared" si="8"/>
        <v>ATTIC R0 - R38_Electric Zonal</v>
      </c>
      <c r="G140" s="31" t="s">
        <v>65</v>
      </c>
      <c r="H140" s="31">
        <f>VLOOKUP($B140&amp;$C$136&amp;$G140,$E$6:$U$129,H$133,FALSE)*VLOOKUP($B140,Weighting!$D$5:$G$9,MATCH(Segmented!$C$136,Weighting!$E$5:$H$5,0)+1,FALSE)+VLOOKUP($B140&amp;$D$136&amp;$G140,$E$6:$U$129,H$133,FALSE)*VLOOKUP($B140,Weighting!$D$5:$G$9,MATCH(Segmented!$D$136,Weighting!$E$5:$H$5,0)+1,FALSE)+VLOOKUP($B140&amp;$E$136&amp;$G140,$E$6:$U$129,H$133,FALSE)*VLOOKUP($B140,Weighting!$D$5:$G$9,MATCH(Segmented!$E$136,Weighting!$E$5:$H$5,0)+1,FALSE)</f>
        <v>255.17049569415468</v>
      </c>
      <c r="I140">
        <f t="shared" si="3"/>
        <v>45</v>
      </c>
      <c r="J140" s="31">
        <f>VLOOKUP($B140&amp;$C$136&amp;$G140,$E$6:$U$129,J$133,FALSE)*VLOOKUP($B140,Weighting!$D$5:$G$9,MATCH(Segmented!$C$136,Weighting!$E$5:$H$5,0)+1,FALSE)+VLOOKUP($B140&amp;$D$136&amp;$G140,$E$6:$U$129,J$133,FALSE)*VLOOKUP($B140,Weighting!$D$5:$G$9,MATCH(Segmented!$D$136,Weighting!$E$5:$H$5,0)+1,FALSE)+VLOOKUP($B140&amp;$E$136&amp;$G140,$E$6:$U$129,J$133,FALSE)*VLOOKUP($B140,Weighting!$D$5:$G$9,MATCH(Segmented!$E$136,Weighting!$E$5:$H$5,0)+1,FALSE)</f>
        <v>478.21740253086421</v>
      </c>
      <c r="K140" s="31">
        <f>VLOOKUP($B140&amp;$C$136&amp;$G140,$E$6:$U$129,K$133,FALSE)*VLOOKUP($B140,Weighting!$D$5:$G$9,MATCH(Segmented!$C$136,Weighting!$E$5:$H$5,0)+1,FALSE)+VLOOKUP($B140&amp;$D$136&amp;$G140,$E$6:$U$129,K$133,FALSE)*VLOOKUP($B140,Weighting!$D$5:$G$9,MATCH(Segmented!$D$136,Weighting!$E$5:$H$5,0)+1,FALSE)+VLOOKUP($B140&amp;$E$136&amp;$G140,$E$6:$U$129,K$133,FALSE)*VLOOKUP($B140,Weighting!$D$5:$G$9,MATCH(Segmented!$E$136,Weighting!$E$5:$H$5,0)+1,FALSE)</f>
        <v>0</v>
      </c>
      <c r="L140" t="str">
        <f t="shared" si="4"/>
        <v>ResSHWX</v>
      </c>
      <c r="M140" s="31">
        <f>VLOOKUP($B140&amp;$C$136&amp;$G140,$E$6:$U$129,M$133,FALSE)*VLOOKUP($B140,Weighting!$D$5:$G$9,MATCH(Segmented!$C$136,Weighting!$E$5:$H$5,0)+1,FALSE)+VLOOKUP($B140&amp;$D$136&amp;$G140,$E$6:$U$129,M$133,FALSE)*VLOOKUP($B140,Weighting!$D$5:$G$9,MATCH(Segmented!$D$136,Weighting!$E$5:$H$5,0)+1,FALSE)+VLOOKUP($B140&amp;$E$136&amp;$G140,$E$6:$U$129,M$133,FALSE)*VLOOKUP($B140,Weighting!$D$5:$G$9,MATCH(Segmented!$E$136,Weighting!$E$5:$H$5,0)+1,FALSE)</f>
        <v>0</v>
      </c>
      <c r="N140" s="31">
        <f>VLOOKUP($B140&amp;$C$136&amp;$G140,$E$6:$U$129,N$133,FALSE)*VLOOKUP($B140,Weighting!$D$5:$G$9,MATCH(Segmented!$C$136,Weighting!$E$5:$H$5,0)+1,FALSE)+VLOOKUP($B140&amp;$D$136&amp;$G140,$E$6:$U$129,N$133,FALSE)*VLOOKUP($B140,Weighting!$D$5:$G$9,MATCH(Segmented!$D$136,Weighting!$E$5:$H$5,0)+1,FALSE)+VLOOKUP($B140&amp;$E$136&amp;$G140,$E$6:$U$129,N$133,FALSE)*VLOOKUP($B140,Weighting!$D$5:$G$9,MATCH(Segmented!$E$136,Weighting!$E$5:$H$5,0)+1,FALSE)</f>
        <v>0</v>
      </c>
      <c r="O140">
        <f t="shared" si="5"/>
        <v>0</v>
      </c>
      <c r="P140" s="31">
        <f>VLOOKUP($B140&amp;$C$136&amp;$G140,$E$6:$U$129,P$133,FALSE)*VLOOKUP($B140,Weighting!$D$5:$G$9,MATCH(Segmented!$C$136,Weighting!$E$5:$H$5,0)+1,FALSE)+VLOOKUP($B140&amp;$D$136&amp;$G140,$E$6:$U$129,P$133,FALSE)*VLOOKUP($B140,Weighting!$D$5:$G$9,MATCH(Segmented!$D$136,Weighting!$E$5:$H$5,0)+1,FALSE)+VLOOKUP($B140&amp;$E$136&amp;$G140,$E$6:$U$129,P$133,FALSE)*VLOOKUP($B140,Weighting!$D$5:$G$9,MATCH(Segmented!$E$136,Weighting!$E$5:$H$5,0)+1,FALSE)</f>
        <v>0</v>
      </c>
      <c r="Q140">
        <f t="shared" si="6"/>
        <v>0</v>
      </c>
      <c r="R140" s="31">
        <f>VLOOKUP($B140&amp;$C$136&amp;$G140,$E$6:$U$129,R$133,FALSE)*VLOOKUP($B140,Weighting!$D$5:$G$9,MATCH(Segmented!$C$136,Weighting!$E$5:$H$5,0)+1,FALSE)+VLOOKUP($B140&amp;$D$136&amp;$G140,$E$6:$U$129,R$133,FALSE)*VLOOKUP($B140,Weighting!$D$5:$G$9,MATCH(Segmented!$D$136,Weighting!$E$5:$H$5,0)+1,FALSE)+VLOOKUP($B140&amp;$E$136&amp;$G140,$E$6:$U$129,R$133,FALSE)*VLOOKUP($B140,Weighting!$D$5:$G$9,MATCH(Segmented!$E$136,Weighting!$E$5:$H$5,0)+1,FALSE)</f>
        <v>0</v>
      </c>
      <c r="S140">
        <f t="shared" si="7"/>
        <v>0</v>
      </c>
      <c r="T140" s="31">
        <f>VLOOKUP($B140&amp;$C$136&amp;$G140,$E$6:$U$129,T$133,FALSE)*VLOOKUP($B140,Weighting!$D$5:$G$9,MATCH(Segmented!$C$136,Weighting!$E$5:$H$5,0)+1,FALSE)+VLOOKUP($B140&amp;$D$136&amp;$G140,$E$6:$U$129,T$133,FALSE)*VLOOKUP($B140,Weighting!$D$5:$G$9,MATCH(Segmented!$D$136,Weighting!$E$5:$H$5,0)+1,FALSE)+VLOOKUP($B140&amp;$E$136&amp;$G140,$E$6:$U$129,T$133,FALSE)*VLOOKUP($B140,Weighting!$D$5:$G$9,MATCH(Segmented!$E$136,Weighting!$E$5:$H$5,0)+1,FALSE)</f>
        <v>0</v>
      </c>
    </row>
    <row r="141" spans="1:21">
      <c r="B141" t="s">
        <v>77</v>
      </c>
      <c r="F141" s="55" t="str">
        <f t="shared" si="8"/>
        <v>ATTIC R0 - R49_Electric Zonal</v>
      </c>
      <c r="G141" s="31" t="s">
        <v>66</v>
      </c>
      <c r="H141" s="31">
        <f>VLOOKUP($B141&amp;$C$136&amp;$G141,$E$6:$U$129,H$133,FALSE)*VLOOKUP($B141,Weighting!$D$5:$G$9,MATCH(Segmented!$C$136,Weighting!$E$5:$H$5,0)+1,FALSE)+VLOOKUP($B141&amp;$D$136&amp;$G141,$E$6:$U$129,H$133,FALSE)*VLOOKUP($B141,Weighting!$D$5:$G$9,MATCH(Segmented!$D$136,Weighting!$E$5:$H$5,0)+1,FALSE)+VLOOKUP($B141&amp;$E$136&amp;$G141,$E$6:$U$129,H$133,FALSE)*VLOOKUP($B141,Weighting!$D$5:$G$9,MATCH(Segmented!$E$136,Weighting!$E$5:$H$5,0)+1,FALSE)</f>
        <v>270.85865359604821</v>
      </c>
      <c r="I141">
        <f t="shared" si="3"/>
        <v>45</v>
      </c>
      <c r="J141" s="31">
        <f>VLOOKUP($B141&amp;$C$136&amp;$G141,$E$6:$U$129,J$133,FALSE)*VLOOKUP($B141,Weighting!$D$5:$G$9,MATCH(Segmented!$C$136,Weighting!$E$5:$H$5,0)+1,FALSE)+VLOOKUP($B141&amp;$D$136&amp;$G141,$E$6:$U$129,J$133,FALSE)*VLOOKUP($B141,Weighting!$D$5:$G$9,MATCH(Segmented!$D$136,Weighting!$E$5:$H$5,0)+1,FALSE)+VLOOKUP($B141&amp;$E$136&amp;$G141,$E$6:$U$129,J$133,FALSE)*VLOOKUP($B141,Weighting!$D$5:$G$9,MATCH(Segmented!$E$136,Weighting!$E$5:$H$5,0)+1,FALSE)</f>
        <v>616.64875589506175</v>
      </c>
      <c r="K141" s="31">
        <f>VLOOKUP($B141&amp;$C$136&amp;$G141,$E$6:$U$129,K$133,FALSE)*VLOOKUP($B141,Weighting!$D$5:$G$9,MATCH(Segmented!$C$136,Weighting!$E$5:$H$5,0)+1,FALSE)+VLOOKUP($B141&amp;$D$136&amp;$G141,$E$6:$U$129,K$133,FALSE)*VLOOKUP($B141,Weighting!$D$5:$G$9,MATCH(Segmented!$D$136,Weighting!$E$5:$H$5,0)+1,FALSE)+VLOOKUP($B141&amp;$E$136&amp;$G141,$E$6:$U$129,K$133,FALSE)*VLOOKUP($B141,Weighting!$D$5:$G$9,MATCH(Segmented!$E$136,Weighting!$E$5:$H$5,0)+1,FALSE)</f>
        <v>0</v>
      </c>
      <c r="L141" t="str">
        <f t="shared" si="4"/>
        <v>ResSHWX</v>
      </c>
      <c r="M141" s="31">
        <f>VLOOKUP($B141&amp;$C$136&amp;$G141,$E$6:$U$129,M$133,FALSE)*VLOOKUP($B141,Weighting!$D$5:$G$9,MATCH(Segmented!$C$136,Weighting!$E$5:$H$5,0)+1,FALSE)+VLOOKUP($B141&amp;$D$136&amp;$G141,$E$6:$U$129,M$133,FALSE)*VLOOKUP($B141,Weighting!$D$5:$G$9,MATCH(Segmented!$D$136,Weighting!$E$5:$H$5,0)+1,FALSE)+VLOOKUP($B141&amp;$E$136&amp;$G141,$E$6:$U$129,M$133,FALSE)*VLOOKUP($B141,Weighting!$D$5:$G$9,MATCH(Segmented!$E$136,Weighting!$E$5:$H$5,0)+1,FALSE)</f>
        <v>0</v>
      </c>
      <c r="N141" s="31">
        <f>VLOOKUP($B141&amp;$C$136&amp;$G141,$E$6:$U$129,N$133,FALSE)*VLOOKUP($B141,Weighting!$D$5:$G$9,MATCH(Segmented!$C$136,Weighting!$E$5:$H$5,0)+1,FALSE)+VLOOKUP($B141&amp;$D$136&amp;$G141,$E$6:$U$129,N$133,FALSE)*VLOOKUP($B141,Weighting!$D$5:$G$9,MATCH(Segmented!$D$136,Weighting!$E$5:$H$5,0)+1,FALSE)+VLOOKUP($B141&amp;$E$136&amp;$G141,$E$6:$U$129,N$133,FALSE)*VLOOKUP($B141,Weighting!$D$5:$G$9,MATCH(Segmented!$E$136,Weighting!$E$5:$H$5,0)+1,FALSE)</f>
        <v>0</v>
      </c>
      <c r="O141">
        <f t="shared" si="5"/>
        <v>0</v>
      </c>
      <c r="P141" s="31">
        <f>VLOOKUP($B141&amp;$C$136&amp;$G141,$E$6:$U$129,P$133,FALSE)*VLOOKUP($B141,Weighting!$D$5:$G$9,MATCH(Segmented!$C$136,Weighting!$E$5:$H$5,0)+1,FALSE)+VLOOKUP($B141&amp;$D$136&amp;$G141,$E$6:$U$129,P$133,FALSE)*VLOOKUP($B141,Weighting!$D$5:$G$9,MATCH(Segmented!$D$136,Weighting!$E$5:$H$5,0)+1,FALSE)+VLOOKUP($B141&amp;$E$136&amp;$G141,$E$6:$U$129,P$133,FALSE)*VLOOKUP($B141,Weighting!$D$5:$G$9,MATCH(Segmented!$E$136,Weighting!$E$5:$H$5,0)+1,FALSE)</f>
        <v>0</v>
      </c>
      <c r="Q141">
        <f t="shared" si="6"/>
        <v>0</v>
      </c>
      <c r="R141" s="31">
        <f>VLOOKUP($B141&amp;$C$136&amp;$G141,$E$6:$U$129,R$133,FALSE)*VLOOKUP($B141,Weighting!$D$5:$G$9,MATCH(Segmented!$C$136,Weighting!$E$5:$H$5,0)+1,FALSE)+VLOOKUP($B141&amp;$D$136&amp;$G141,$E$6:$U$129,R$133,FALSE)*VLOOKUP($B141,Weighting!$D$5:$G$9,MATCH(Segmented!$D$136,Weighting!$E$5:$H$5,0)+1,FALSE)+VLOOKUP($B141&amp;$E$136&amp;$G141,$E$6:$U$129,R$133,FALSE)*VLOOKUP($B141,Weighting!$D$5:$G$9,MATCH(Segmented!$E$136,Weighting!$E$5:$H$5,0)+1,FALSE)</f>
        <v>0</v>
      </c>
      <c r="S141">
        <f t="shared" si="7"/>
        <v>0</v>
      </c>
      <c r="T141" s="31">
        <f>VLOOKUP($B141&amp;$C$136&amp;$G141,$E$6:$U$129,T$133,FALSE)*VLOOKUP($B141,Weighting!$D$5:$G$9,MATCH(Segmented!$C$136,Weighting!$E$5:$H$5,0)+1,FALSE)+VLOOKUP($B141&amp;$D$136&amp;$G141,$E$6:$U$129,T$133,FALSE)*VLOOKUP($B141,Weighting!$D$5:$G$9,MATCH(Segmented!$D$136,Weighting!$E$5:$H$5,0)+1,FALSE)+VLOOKUP($B141&amp;$E$136&amp;$G141,$E$6:$U$129,T$133,FALSE)*VLOOKUP($B141,Weighting!$D$5:$G$9,MATCH(Segmented!$E$136,Weighting!$E$5:$H$5,0)+1,FALSE)</f>
        <v>0</v>
      </c>
    </row>
    <row r="142" spans="1:21">
      <c r="B142" t="s">
        <v>77</v>
      </c>
      <c r="F142" s="55" t="str">
        <f t="shared" si="8"/>
        <v>ATTIC R19 - R30_Electric Zonal</v>
      </c>
      <c r="G142" s="31" t="s">
        <v>1202</v>
      </c>
      <c r="H142" s="31">
        <f>VLOOKUP($B142&amp;$C$136&amp;$G142,$E$6:$U$129,H$133,FALSE)*VLOOKUP($B142,Weighting!$D$5:$G$9,MATCH(Segmented!$C$136,Weighting!$E$5:$H$5,0)+1,FALSE)+VLOOKUP($B142&amp;$D$136&amp;$G142,$E$6:$U$129,H$133,FALSE)*VLOOKUP($B142,Weighting!$D$5:$G$9,MATCH(Segmented!$D$136,Weighting!$E$5:$H$5,0)+1,FALSE)+VLOOKUP($B142&amp;$E$136&amp;$G142,$E$6:$U$129,H$133,FALSE)*VLOOKUP($B142,Weighting!$D$5:$G$9,MATCH(Segmented!$E$136,Weighting!$E$5:$H$5,0)+1,FALSE)</f>
        <v>49.083580521539076</v>
      </c>
      <c r="I142">
        <f t="shared" si="3"/>
        <v>45</v>
      </c>
      <c r="J142" s="31">
        <f>VLOOKUP($B142&amp;$C$136&amp;$G142,$E$6:$U$129,J$133,FALSE)*VLOOKUP($B142,Weighting!$D$5:$G$9,MATCH(Segmented!$C$136,Weighting!$E$5:$H$5,0)+1,FALSE)+VLOOKUP($B142&amp;$D$136&amp;$G142,$E$6:$U$129,J$133,FALSE)*VLOOKUP($B142,Weighting!$D$5:$G$9,MATCH(Segmented!$D$136,Weighting!$E$5:$H$5,0)+1,FALSE)+VLOOKUP($B142&amp;$E$136&amp;$G142,$E$6:$U$129,J$133,FALSE)*VLOOKUP($B142,Weighting!$D$5:$G$9,MATCH(Segmented!$E$136,Weighting!$E$5:$H$5,0)+1,FALSE)</f>
        <v>138.43135336419752</v>
      </c>
      <c r="K142" s="31">
        <f>VLOOKUP($B142&amp;$C$136&amp;$G142,$E$6:$U$129,K$133,FALSE)*VLOOKUP($B142,Weighting!$D$5:$G$9,MATCH(Segmented!$C$136,Weighting!$E$5:$H$5,0)+1,FALSE)+VLOOKUP($B142&amp;$D$136&amp;$G142,$E$6:$U$129,K$133,FALSE)*VLOOKUP($B142,Weighting!$D$5:$G$9,MATCH(Segmented!$D$136,Weighting!$E$5:$H$5,0)+1,FALSE)+VLOOKUP($B142&amp;$E$136&amp;$G142,$E$6:$U$129,K$133,FALSE)*VLOOKUP($B142,Weighting!$D$5:$G$9,MATCH(Segmented!$E$136,Weighting!$E$5:$H$5,0)+1,FALSE)</f>
        <v>0</v>
      </c>
      <c r="L142" t="str">
        <f t="shared" si="4"/>
        <v>ResSHWX</v>
      </c>
      <c r="M142" s="31">
        <f>VLOOKUP($B142&amp;$C$136&amp;$G142,$E$6:$U$129,M$133,FALSE)*VLOOKUP($B142,Weighting!$D$5:$G$9,MATCH(Segmented!$C$136,Weighting!$E$5:$H$5,0)+1,FALSE)+VLOOKUP($B142&amp;$D$136&amp;$G142,$E$6:$U$129,M$133,FALSE)*VLOOKUP($B142,Weighting!$D$5:$G$9,MATCH(Segmented!$D$136,Weighting!$E$5:$H$5,0)+1,FALSE)+VLOOKUP($B142&amp;$E$136&amp;$G142,$E$6:$U$129,M$133,FALSE)*VLOOKUP($B142,Weighting!$D$5:$G$9,MATCH(Segmented!$E$136,Weighting!$E$5:$H$5,0)+1,FALSE)</f>
        <v>0</v>
      </c>
      <c r="N142" s="31">
        <f>VLOOKUP($B142&amp;$C$136&amp;$G142,$E$6:$U$129,N$133,FALSE)*VLOOKUP($B142,Weighting!$D$5:$G$9,MATCH(Segmented!$C$136,Weighting!$E$5:$H$5,0)+1,FALSE)+VLOOKUP($B142&amp;$D$136&amp;$G142,$E$6:$U$129,N$133,FALSE)*VLOOKUP($B142,Weighting!$D$5:$G$9,MATCH(Segmented!$D$136,Weighting!$E$5:$H$5,0)+1,FALSE)+VLOOKUP($B142&amp;$E$136&amp;$G142,$E$6:$U$129,N$133,FALSE)*VLOOKUP($B142,Weighting!$D$5:$G$9,MATCH(Segmented!$E$136,Weighting!$E$5:$H$5,0)+1,FALSE)</f>
        <v>0</v>
      </c>
      <c r="O142">
        <f t="shared" si="5"/>
        <v>0</v>
      </c>
      <c r="P142" s="31">
        <f>VLOOKUP($B142&amp;$C$136&amp;$G142,$E$6:$U$129,P$133,FALSE)*VLOOKUP($B142,Weighting!$D$5:$G$9,MATCH(Segmented!$C$136,Weighting!$E$5:$H$5,0)+1,FALSE)+VLOOKUP($B142&amp;$D$136&amp;$G142,$E$6:$U$129,P$133,FALSE)*VLOOKUP($B142,Weighting!$D$5:$G$9,MATCH(Segmented!$D$136,Weighting!$E$5:$H$5,0)+1,FALSE)+VLOOKUP($B142&amp;$E$136&amp;$G142,$E$6:$U$129,P$133,FALSE)*VLOOKUP($B142,Weighting!$D$5:$G$9,MATCH(Segmented!$E$136,Weighting!$E$5:$H$5,0)+1,FALSE)</f>
        <v>0</v>
      </c>
      <c r="Q142">
        <f t="shared" si="6"/>
        <v>0</v>
      </c>
      <c r="R142" s="31">
        <f>VLOOKUP($B142&amp;$C$136&amp;$G142,$E$6:$U$129,R$133,FALSE)*VLOOKUP($B142,Weighting!$D$5:$G$9,MATCH(Segmented!$C$136,Weighting!$E$5:$H$5,0)+1,FALSE)+VLOOKUP($B142&amp;$D$136&amp;$G142,$E$6:$U$129,R$133,FALSE)*VLOOKUP($B142,Weighting!$D$5:$G$9,MATCH(Segmented!$D$136,Weighting!$E$5:$H$5,0)+1,FALSE)+VLOOKUP($B142&amp;$E$136&amp;$G142,$E$6:$U$129,R$133,FALSE)*VLOOKUP($B142,Weighting!$D$5:$G$9,MATCH(Segmented!$E$136,Weighting!$E$5:$H$5,0)+1,FALSE)</f>
        <v>0</v>
      </c>
      <c r="S142">
        <f t="shared" si="7"/>
        <v>0</v>
      </c>
      <c r="T142" s="31">
        <f>VLOOKUP($B142&amp;$C$136&amp;$G142,$E$6:$U$129,T$133,FALSE)*VLOOKUP($B142,Weighting!$D$5:$G$9,MATCH(Segmented!$C$136,Weighting!$E$5:$H$5,0)+1,FALSE)+VLOOKUP($B142&amp;$D$136&amp;$G142,$E$6:$U$129,T$133,FALSE)*VLOOKUP($B142,Weighting!$D$5:$G$9,MATCH(Segmented!$D$136,Weighting!$E$5:$H$5,0)+1,FALSE)+VLOOKUP($B142&amp;$E$136&amp;$G142,$E$6:$U$129,T$133,FALSE)*VLOOKUP($B142,Weighting!$D$5:$G$9,MATCH(Segmented!$E$136,Weighting!$E$5:$H$5,0)+1,FALSE)</f>
        <v>0</v>
      </c>
    </row>
    <row r="143" spans="1:21">
      <c r="B143" t="s">
        <v>77</v>
      </c>
      <c r="F143" s="55" t="str">
        <f t="shared" si="8"/>
        <v>ATTIC R19 - R38_Electric Zonal</v>
      </c>
      <c r="G143" s="31" t="s">
        <v>67</v>
      </c>
      <c r="H143" s="31">
        <f>VLOOKUP($B143&amp;$C$136&amp;$G143,$E$6:$U$129,H$133,FALSE)*VLOOKUP($B143,Weighting!$D$5:$G$9,MATCH(Segmented!$C$136,Weighting!$E$5:$H$5,0)+1,FALSE)+VLOOKUP($B143&amp;$D$136&amp;$G143,$E$6:$U$129,H$133,FALSE)*VLOOKUP($B143,Weighting!$D$5:$G$9,MATCH(Segmented!$D$136,Weighting!$E$5:$H$5,0)+1,FALSE)+VLOOKUP($B143&amp;$E$136&amp;$G143,$E$6:$U$129,H$133,FALSE)*VLOOKUP($B143,Weighting!$D$5:$G$9,MATCH(Segmented!$E$136,Weighting!$E$5:$H$5,0)+1,FALSE)</f>
        <v>67.720566368354085</v>
      </c>
      <c r="I143">
        <f t="shared" si="3"/>
        <v>45</v>
      </c>
      <c r="J143" s="31">
        <f>VLOOKUP($B143&amp;$C$136&amp;$G143,$E$6:$U$129,J$133,FALSE)*VLOOKUP($B143,Weighting!$D$5:$G$9,MATCH(Segmented!$C$136,Weighting!$E$5:$H$5,0)+1,FALSE)+VLOOKUP($B143&amp;$D$136&amp;$G143,$E$6:$U$129,J$133,FALSE)*VLOOKUP($B143,Weighting!$D$5:$G$9,MATCH(Segmented!$D$136,Weighting!$E$5:$H$5,0)+1,FALSE)+VLOOKUP($B143&amp;$E$136&amp;$G143,$E$6:$U$129,J$133,FALSE)*VLOOKUP($B143,Weighting!$D$5:$G$9,MATCH(Segmented!$E$136,Weighting!$E$5:$H$5,0)+1,FALSE)</f>
        <v>239.1087012654321</v>
      </c>
      <c r="K143" s="31">
        <f>VLOOKUP($B143&amp;$C$136&amp;$G143,$E$6:$U$129,K$133,FALSE)*VLOOKUP($B143,Weighting!$D$5:$G$9,MATCH(Segmented!$C$136,Weighting!$E$5:$H$5,0)+1,FALSE)+VLOOKUP($B143&amp;$D$136&amp;$G143,$E$6:$U$129,K$133,FALSE)*VLOOKUP($B143,Weighting!$D$5:$G$9,MATCH(Segmented!$D$136,Weighting!$E$5:$H$5,0)+1,FALSE)+VLOOKUP($B143&amp;$E$136&amp;$G143,$E$6:$U$129,K$133,FALSE)*VLOOKUP($B143,Weighting!$D$5:$G$9,MATCH(Segmented!$E$136,Weighting!$E$5:$H$5,0)+1,FALSE)</f>
        <v>0</v>
      </c>
      <c r="L143" t="str">
        <f t="shared" si="4"/>
        <v>ResSHWX</v>
      </c>
      <c r="M143" s="31">
        <f>VLOOKUP($B143&amp;$C$136&amp;$G143,$E$6:$U$129,M$133,FALSE)*VLOOKUP($B143,Weighting!$D$5:$G$9,MATCH(Segmented!$C$136,Weighting!$E$5:$H$5,0)+1,FALSE)+VLOOKUP($B143&amp;$D$136&amp;$G143,$E$6:$U$129,M$133,FALSE)*VLOOKUP($B143,Weighting!$D$5:$G$9,MATCH(Segmented!$D$136,Weighting!$E$5:$H$5,0)+1,FALSE)+VLOOKUP($B143&amp;$E$136&amp;$G143,$E$6:$U$129,M$133,FALSE)*VLOOKUP($B143,Weighting!$D$5:$G$9,MATCH(Segmented!$E$136,Weighting!$E$5:$H$5,0)+1,FALSE)</f>
        <v>0</v>
      </c>
      <c r="N143" s="31">
        <f>VLOOKUP($B143&amp;$C$136&amp;$G143,$E$6:$U$129,N$133,FALSE)*VLOOKUP($B143,Weighting!$D$5:$G$9,MATCH(Segmented!$C$136,Weighting!$E$5:$H$5,0)+1,FALSE)+VLOOKUP($B143&amp;$D$136&amp;$G143,$E$6:$U$129,N$133,FALSE)*VLOOKUP($B143,Weighting!$D$5:$G$9,MATCH(Segmented!$D$136,Weighting!$E$5:$H$5,0)+1,FALSE)+VLOOKUP($B143&amp;$E$136&amp;$G143,$E$6:$U$129,N$133,FALSE)*VLOOKUP($B143,Weighting!$D$5:$G$9,MATCH(Segmented!$E$136,Weighting!$E$5:$H$5,0)+1,FALSE)</f>
        <v>0</v>
      </c>
      <c r="O143">
        <f t="shared" si="5"/>
        <v>0</v>
      </c>
      <c r="P143" s="31">
        <f>VLOOKUP($B143&amp;$C$136&amp;$G143,$E$6:$U$129,P$133,FALSE)*VLOOKUP($B143,Weighting!$D$5:$G$9,MATCH(Segmented!$C$136,Weighting!$E$5:$H$5,0)+1,FALSE)+VLOOKUP($B143&amp;$D$136&amp;$G143,$E$6:$U$129,P$133,FALSE)*VLOOKUP($B143,Weighting!$D$5:$G$9,MATCH(Segmented!$D$136,Weighting!$E$5:$H$5,0)+1,FALSE)+VLOOKUP($B143&amp;$E$136&amp;$G143,$E$6:$U$129,P$133,FALSE)*VLOOKUP($B143,Weighting!$D$5:$G$9,MATCH(Segmented!$E$136,Weighting!$E$5:$H$5,0)+1,FALSE)</f>
        <v>0</v>
      </c>
      <c r="Q143">
        <f t="shared" si="6"/>
        <v>0</v>
      </c>
      <c r="R143" s="31">
        <f>VLOOKUP($B143&amp;$C$136&amp;$G143,$E$6:$U$129,R$133,FALSE)*VLOOKUP($B143,Weighting!$D$5:$G$9,MATCH(Segmented!$C$136,Weighting!$E$5:$H$5,0)+1,FALSE)+VLOOKUP($B143&amp;$D$136&amp;$G143,$E$6:$U$129,R$133,FALSE)*VLOOKUP($B143,Weighting!$D$5:$G$9,MATCH(Segmented!$D$136,Weighting!$E$5:$H$5,0)+1,FALSE)+VLOOKUP($B143&amp;$E$136&amp;$G143,$E$6:$U$129,R$133,FALSE)*VLOOKUP($B143,Weighting!$D$5:$G$9,MATCH(Segmented!$E$136,Weighting!$E$5:$H$5,0)+1,FALSE)</f>
        <v>0</v>
      </c>
      <c r="S143">
        <f t="shared" si="7"/>
        <v>0</v>
      </c>
      <c r="T143" s="31">
        <f>VLOOKUP($B143&amp;$C$136&amp;$G143,$E$6:$U$129,T$133,FALSE)*VLOOKUP($B143,Weighting!$D$5:$G$9,MATCH(Segmented!$C$136,Weighting!$E$5:$H$5,0)+1,FALSE)+VLOOKUP($B143&amp;$D$136&amp;$G143,$E$6:$U$129,T$133,FALSE)*VLOOKUP($B143,Weighting!$D$5:$G$9,MATCH(Segmented!$D$136,Weighting!$E$5:$H$5,0)+1,FALSE)+VLOOKUP($B143&amp;$E$136&amp;$G143,$E$6:$U$129,T$133,FALSE)*VLOOKUP($B143,Weighting!$D$5:$G$9,MATCH(Segmented!$E$136,Weighting!$E$5:$H$5,0)+1,FALSE)</f>
        <v>0</v>
      </c>
    </row>
    <row r="144" spans="1:21">
      <c r="B144" t="s">
        <v>77</v>
      </c>
      <c r="F144" s="55" t="str">
        <f t="shared" si="8"/>
        <v>ATTIC R19 - R49_Electric Zonal</v>
      </c>
      <c r="G144" s="31" t="s">
        <v>68</v>
      </c>
      <c r="H144" s="31">
        <f>VLOOKUP($B144&amp;$C$136&amp;$G144,$E$6:$U$129,H$133,FALSE)*VLOOKUP($B144,Weighting!$D$5:$G$9,MATCH(Segmented!$C$136,Weighting!$E$5:$H$5,0)+1,FALSE)+VLOOKUP($B144&amp;$D$136&amp;$G144,$E$6:$U$129,H$133,FALSE)*VLOOKUP($B144,Weighting!$D$5:$G$9,MATCH(Segmented!$D$136,Weighting!$E$5:$H$5,0)+1,FALSE)+VLOOKUP($B144&amp;$E$136&amp;$G144,$E$6:$U$129,H$133,FALSE)*VLOOKUP($B144,Weighting!$D$5:$G$9,MATCH(Segmented!$E$136,Weighting!$E$5:$H$5,0)+1,FALSE)</f>
        <v>83.408724270247603</v>
      </c>
      <c r="I144">
        <f t="shared" si="3"/>
        <v>45</v>
      </c>
      <c r="J144" s="31">
        <f>VLOOKUP($B144&amp;$C$136&amp;$G144,$E$6:$U$129,J$133,FALSE)*VLOOKUP($B144,Weighting!$D$5:$G$9,MATCH(Segmented!$C$136,Weighting!$E$5:$H$5,0)+1,FALSE)+VLOOKUP($B144&amp;$D$136&amp;$G144,$E$6:$U$129,J$133,FALSE)*VLOOKUP($B144,Weighting!$D$5:$G$9,MATCH(Segmented!$D$136,Weighting!$E$5:$H$5,0)+1,FALSE)+VLOOKUP($B144&amp;$E$136&amp;$G144,$E$6:$U$129,J$133,FALSE)*VLOOKUP($B144,Weighting!$D$5:$G$9,MATCH(Segmented!$E$136,Weighting!$E$5:$H$5,0)+1,FALSE)</f>
        <v>377.54005462962965</v>
      </c>
      <c r="K144" s="31">
        <f>VLOOKUP($B144&amp;$C$136&amp;$G144,$E$6:$U$129,K$133,FALSE)*VLOOKUP($B144,Weighting!$D$5:$G$9,MATCH(Segmented!$C$136,Weighting!$E$5:$H$5,0)+1,FALSE)+VLOOKUP($B144&amp;$D$136&amp;$G144,$E$6:$U$129,K$133,FALSE)*VLOOKUP($B144,Weighting!$D$5:$G$9,MATCH(Segmented!$D$136,Weighting!$E$5:$H$5,0)+1,FALSE)+VLOOKUP($B144&amp;$E$136&amp;$G144,$E$6:$U$129,K$133,FALSE)*VLOOKUP($B144,Weighting!$D$5:$G$9,MATCH(Segmented!$E$136,Weighting!$E$5:$H$5,0)+1,FALSE)</f>
        <v>0</v>
      </c>
      <c r="L144" t="str">
        <f t="shared" si="4"/>
        <v>ResSHWX</v>
      </c>
      <c r="M144" s="31">
        <f>VLOOKUP($B144&amp;$C$136&amp;$G144,$E$6:$U$129,M$133,FALSE)*VLOOKUP($B144,Weighting!$D$5:$G$9,MATCH(Segmented!$C$136,Weighting!$E$5:$H$5,0)+1,FALSE)+VLOOKUP($B144&amp;$D$136&amp;$G144,$E$6:$U$129,M$133,FALSE)*VLOOKUP($B144,Weighting!$D$5:$G$9,MATCH(Segmented!$D$136,Weighting!$E$5:$H$5,0)+1,FALSE)+VLOOKUP($B144&amp;$E$136&amp;$G144,$E$6:$U$129,M$133,FALSE)*VLOOKUP($B144,Weighting!$D$5:$G$9,MATCH(Segmented!$E$136,Weighting!$E$5:$H$5,0)+1,FALSE)</f>
        <v>0</v>
      </c>
      <c r="N144" s="31">
        <f>VLOOKUP($B144&amp;$C$136&amp;$G144,$E$6:$U$129,N$133,FALSE)*VLOOKUP($B144,Weighting!$D$5:$G$9,MATCH(Segmented!$C$136,Weighting!$E$5:$H$5,0)+1,FALSE)+VLOOKUP($B144&amp;$D$136&amp;$G144,$E$6:$U$129,N$133,FALSE)*VLOOKUP($B144,Weighting!$D$5:$G$9,MATCH(Segmented!$D$136,Weighting!$E$5:$H$5,0)+1,FALSE)+VLOOKUP($B144&amp;$E$136&amp;$G144,$E$6:$U$129,N$133,FALSE)*VLOOKUP($B144,Weighting!$D$5:$G$9,MATCH(Segmented!$E$136,Weighting!$E$5:$H$5,0)+1,FALSE)</f>
        <v>0</v>
      </c>
      <c r="O144">
        <f t="shared" si="5"/>
        <v>0</v>
      </c>
      <c r="P144" s="31">
        <f>VLOOKUP($B144&amp;$C$136&amp;$G144,$E$6:$U$129,P$133,FALSE)*VLOOKUP($B144,Weighting!$D$5:$G$9,MATCH(Segmented!$C$136,Weighting!$E$5:$H$5,0)+1,FALSE)+VLOOKUP($B144&amp;$D$136&amp;$G144,$E$6:$U$129,P$133,FALSE)*VLOOKUP($B144,Weighting!$D$5:$G$9,MATCH(Segmented!$D$136,Weighting!$E$5:$H$5,0)+1,FALSE)+VLOOKUP($B144&amp;$E$136&amp;$G144,$E$6:$U$129,P$133,FALSE)*VLOOKUP($B144,Weighting!$D$5:$G$9,MATCH(Segmented!$E$136,Weighting!$E$5:$H$5,0)+1,FALSE)</f>
        <v>0</v>
      </c>
      <c r="Q144">
        <f t="shared" si="6"/>
        <v>0</v>
      </c>
      <c r="R144" s="31">
        <f>VLOOKUP($B144&amp;$C$136&amp;$G144,$E$6:$U$129,R$133,FALSE)*VLOOKUP($B144,Weighting!$D$5:$G$9,MATCH(Segmented!$C$136,Weighting!$E$5:$H$5,0)+1,FALSE)+VLOOKUP($B144&amp;$D$136&amp;$G144,$E$6:$U$129,R$133,FALSE)*VLOOKUP($B144,Weighting!$D$5:$G$9,MATCH(Segmented!$D$136,Weighting!$E$5:$H$5,0)+1,FALSE)+VLOOKUP($B144&amp;$E$136&amp;$G144,$E$6:$U$129,R$133,FALSE)*VLOOKUP($B144,Weighting!$D$5:$G$9,MATCH(Segmented!$E$136,Weighting!$E$5:$H$5,0)+1,FALSE)</f>
        <v>0</v>
      </c>
      <c r="S144">
        <f t="shared" si="7"/>
        <v>0</v>
      </c>
      <c r="T144" s="31">
        <f>VLOOKUP($B144&amp;$C$136&amp;$G144,$E$6:$U$129,T$133,FALSE)*VLOOKUP($B144,Weighting!$D$5:$G$9,MATCH(Segmented!$C$136,Weighting!$E$5:$H$5,0)+1,FALSE)+VLOOKUP($B144&amp;$D$136&amp;$G144,$E$6:$U$129,T$133,FALSE)*VLOOKUP($B144,Weighting!$D$5:$G$9,MATCH(Segmented!$D$136,Weighting!$E$5:$H$5,0)+1,FALSE)+VLOOKUP($B144&amp;$E$136&amp;$G144,$E$6:$U$129,T$133,FALSE)*VLOOKUP($B144,Weighting!$D$5:$G$9,MATCH(Segmented!$E$136,Weighting!$E$5:$H$5,0)+1,FALSE)</f>
        <v>0</v>
      </c>
    </row>
    <row r="145" spans="2:20">
      <c r="B145" t="s">
        <v>77</v>
      </c>
      <c r="F145" s="55" t="str">
        <f t="shared" si="8"/>
        <v>WINDOW CL22 Prime Window Replacement of Single Pane Base_Electric Zonal</v>
      </c>
      <c r="G145" s="31" t="s">
        <v>74</v>
      </c>
      <c r="H145" s="31">
        <f>VLOOKUP($B145&amp;$C$136&amp;$G145,$E$6:$U$129,H$133,FALSE)*VLOOKUP($B145,Weighting!$D$5:$G$9,MATCH(Segmented!$C$136,Weighting!$E$5:$H$5,0)+1,FALSE)+VLOOKUP($B145&amp;$D$136&amp;$G145,$E$6:$U$129,H$133,FALSE)*VLOOKUP($B145,Weighting!$D$5:$G$9,MATCH(Segmented!$D$136,Weighting!$E$5:$H$5,0)+1,FALSE)+VLOOKUP($B145&amp;$E$136&amp;$G145,$E$6:$U$129,H$133,FALSE)*VLOOKUP($B145,Weighting!$D$5:$G$9,MATCH(Segmented!$E$136,Weighting!$E$5:$H$5,0)+1,FALSE)</f>
        <v>4603.3966563064459</v>
      </c>
      <c r="I145">
        <f t="shared" si="3"/>
        <v>45</v>
      </c>
      <c r="J145" s="31">
        <f>VLOOKUP($B145&amp;$C$136&amp;$G145,$E$6:$U$129,J$133,FALSE)*VLOOKUP($B145,Weighting!$D$5:$G$9,MATCH(Segmented!$C$136,Weighting!$E$5:$H$5,0)+1,FALSE)+VLOOKUP($B145&amp;$D$136&amp;$G145,$E$6:$U$129,J$133,FALSE)*VLOOKUP($B145,Weighting!$D$5:$G$9,MATCH(Segmented!$D$136,Weighting!$E$5:$H$5,0)+1,FALSE)+VLOOKUP($B145&amp;$E$136&amp;$G145,$E$6:$U$129,J$133,FALSE)*VLOOKUP($B145,Weighting!$D$5:$G$9,MATCH(Segmented!$E$136,Weighting!$E$5:$H$5,0)+1,FALSE)</f>
        <v>4101.7368570659019</v>
      </c>
      <c r="K145" s="31">
        <f>VLOOKUP($B145&amp;$C$136&amp;$G145,$E$6:$U$129,K$133,FALSE)*VLOOKUP($B145,Weighting!$D$5:$G$9,MATCH(Segmented!$C$136,Weighting!$E$5:$H$5,0)+1,FALSE)+VLOOKUP($B145&amp;$D$136&amp;$G145,$E$6:$U$129,K$133,FALSE)*VLOOKUP($B145,Weighting!$D$5:$G$9,MATCH(Segmented!$D$136,Weighting!$E$5:$H$5,0)+1,FALSE)+VLOOKUP($B145&amp;$E$136&amp;$G145,$E$6:$U$129,K$133,FALSE)*VLOOKUP($B145,Weighting!$D$5:$G$9,MATCH(Segmented!$E$136,Weighting!$E$5:$H$5,0)+1,FALSE)</f>
        <v>0</v>
      </c>
      <c r="L145" t="str">
        <f t="shared" si="4"/>
        <v>ResSHWX</v>
      </c>
      <c r="M145" s="31">
        <f>VLOOKUP($B145&amp;$C$136&amp;$G145,$E$6:$U$129,M$133,FALSE)*VLOOKUP($B145,Weighting!$D$5:$G$9,MATCH(Segmented!$C$136,Weighting!$E$5:$H$5,0)+1,FALSE)+VLOOKUP($B145&amp;$D$136&amp;$G145,$E$6:$U$129,M$133,FALSE)*VLOOKUP($B145,Weighting!$D$5:$G$9,MATCH(Segmented!$D$136,Weighting!$E$5:$H$5,0)+1,FALSE)+VLOOKUP($B145&amp;$E$136&amp;$G145,$E$6:$U$129,M$133,FALSE)*VLOOKUP($B145,Weighting!$D$5:$G$9,MATCH(Segmented!$E$136,Weighting!$E$5:$H$5,0)+1,FALSE)</f>
        <v>0</v>
      </c>
      <c r="N145" s="31">
        <f>VLOOKUP($B145&amp;$C$136&amp;$G145,$E$6:$U$129,N$133,FALSE)*VLOOKUP($B145,Weighting!$D$5:$G$9,MATCH(Segmented!$C$136,Weighting!$E$5:$H$5,0)+1,FALSE)+VLOOKUP($B145&amp;$D$136&amp;$G145,$E$6:$U$129,N$133,FALSE)*VLOOKUP($B145,Weighting!$D$5:$G$9,MATCH(Segmented!$D$136,Weighting!$E$5:$H$5,0)+1,FALSE)+VLOOKUP($B145&amp;$E$136&amp;$G145,$E$6:$U$129,N$133,FALSE)*VLOOKUP($B145,Weighting!$D$5:$G$9,MATCH(Segmented!$E$136,Weighting!$E$5:$H$5,0)+1,FALSE)</f>
        <v>0</v>
      </c>
      <c r="O145">
        <f t="shared" si="5"/>
        <v>0</v>
      </c>
      <c r="P145" s="31">
        <f>VLOOKUP($B145&amp;$C$136&amp;$G145,$E$6:$U$129,P$133,FALSE)*VLOOKUP($B145,Weighting!$D$5:$G$9,MATCH(Segmented!$C$136,Weighting!$E$5:$H$5,0)+1,FALSE)+VLOOKUP($B145&amp;$D$136&amp;$G145,$E$6:$U$129,P$133,FALSE)*VLOOKUP($B145,Weighting!$D$5:$G$9,MATCH(Segmented!$D$136,Weighting!$E$5:$H$5,0)+1,FALSE)+VLOOKUP($B145&amp;$E$136&amp;$G145,$E$6:$U$129,P$133,FALSE)*VLOOKUP($B145,Weighting!$D$5:$G$9,MATCH(Segmented!$E$136,Weighting!$E$5:$H$5,0)+1,FALSE)</f>
        <v>0</v>
      </c>
      <c r="Q145">
        <f t="shared" si="6"/>
        <v>0</v>
      </c>
      <c r="R145" s="31">
        <f>VLOOKUP($B145&amp;$C$136&amp;$G145,$E$6:$U$129,R$133,FALSE)*VLOOKUP($B145,Weighting!$D$5:$G$9,MATCH(Segmented!$C$136,Weighting!$E$5:$H$5,0)+1,FALSE)+VLOOKUP($B145&amp;$D$136&amp;$G145,$E$6:$U$129,R$133,FALSE)*VLOOKUP($B145,Weighting!$D$5:$G$9,MATCH(Segmented!$D$136,Weighting!$E$5:$H$5,0)+1,FALSE)+VLOOKUP($B145&amp;$E$136&amp;$G145,$E$6:$U$129,R$133,FALSE)*VLOOKUP($B145,Weighting!$D$5:$G$9,MATCH(Segmented!$E$136,Weighting!$E$5:$H$5,0)+1,FALSE)</f>
        <v>0</v>
      </c>
      <c r="S145">
        <f t="shared" si="7"/>
        <v>0</v>
      </c>
      <c r="T145" s="31">
        <f>VLOOKUP($B145&amp;$C$136&amp;$G145,$E$6:$U$129,T$133,FALSE)*VLOOKUP($B145,Weighting!$D$5:$G$9,MATCH(Segmented!$C$136,Weighting!$E$5:$H$5,0)+1,FALSE)+VLOOKUP($B145&amp;$D$136&amp;$G145,$E$6:$U$129,T$133,FALSE)*VLOOKUP($B145,Weighting!$D$5:$G$9,MATCH(Segmented!$D$136,Weighting!$E$5:$H$5,0)+1,FALSE)+VLOOKUP($B145&amp;$E$136&amp;$G145,$E$6:$U$129,T$133,FALSE)*VLOOKUP($B145,Weighting!$D$5:$G$9,MATCH(Segmented!$E$136,Weighting!$E$5:$H$5,0)+1,FALSE)</f>
        <v>0</v>
      </c>
    </row>
    <row r="146" spans="2:20">
      <c r="B146" t="s">
        <v>77</v>
      </c>
      <c r="F146" s="55" t="str">
        <f t="shared" si="8"/>
        <v>WINDOW CL22 Prime Window Replacement of Double Pane Base_Electric Zonal</v>
      </c>
      <c r="G146" s="31" t="s">
        <v>75</v>
      </c>
      <c r="H146" s="31">
        <f>VLOOKUP($B146&amp;$C$136&amp;$G146,$E$6:$U$129,H$133,FALSE)*VLOOKUP($B146,Weighting!$D$5:$G$9,MATCH(Segmented!$C$136,Weighting!$E$5:$H$5,0)+1,FALSE)+VLOOKUP($B146&amp;$D$136&amp;$G146,$E$6:$U$129,H$133,FALSE)*VLOOKUP($B146,Weighting!$D$5:$G$9,MATCH(Segmented!$D$136,Weighting!$E$5:$H$5,0)+1,FALSE)+VLOOKUP($B146&amp;$E$136&amp;$G146,$E$6:$U$129,H$133,FALSE)*VLOOKUP($B146,Weighting!$D$5:$G$9,MATCH(Segmented!$E$136,Weighting!$E$5:$H$5,0)+1,FALSE)</f>
        <v>2715.9795695095759</v>
      </c>
      <c r="I146">
        <f t="shared" si="3"/>
        <v>45</v>
      </c>
      <c r="J146" s="31">
        <f>VLOOKUP($B146&amp;$C$136&amp;$G146,$E$6:$U$129,J$133,FALSE)*VLOOKUP($B146,Weighting!$D$5:$G$9,MATCH(Segmented!$C$136,Weighting!$E$5:$H$5,0)+1,FALSE)+VLOOKUP($B146&amp;$D$136&amp;$G146,$E$6:$U$129,J$133,FALSE)*VLOOKUP($B146,Weighting!$D$5:$G$9,MATCH(Segmented!$D$136,Weighting!$E$5:$H$5,0)+1,FALSE)+VLOOKUP($B146&amp;$E$136&amp;$G146,$E$6:$U$129,J$133,FALSE)*VLOOKUP($B146,Weighting!$D$5:$G$9,MATCH(Segmented!$E$136,Weighting!$E$5:$H$5,0)+1,FALSE)</f>
        <v>4101.7368570659019</v>
      </c>
      <c r="K146" s="31">
        <f>VLOOKUP($B146&amp;$C$136&amp;$G146,$E$6:$U$129,K$133,FALSE)*VLOOKUP($B146,Weighting!$D$5:$G$9,MATCH(Segmented!$C$136,Weighting!$E$5:$H$5,0)+1,FALSE)+VLOOKUP($B146&amp;$D$136&amp;$G146,$E$6:$U$129,K$133,FALSE)*VLOOKUP($B146,Weighting!$D$5:$G$9,MATCH(Segmented!$D$136,Weighting!$E$5:$H$5,0)+1,FALSE)+VLOOKUP($B146&amp;$E$136&amp;$G146,$E$6:$U$129,K$133,FALSE)*VLOOKUP($B146,Weighting!$D$5:$G$9,MATCH(Segmented!$E$136,Weighting!$E$5:$H$5,0)+1,FALSE)</f>
        <v>0</v>
      </c>
      <c r="L146" t="str">
        <f t="shared" si="4"/>
        <v>ResSHWX</v>
      </c>
      <c r="M146" s="31">
        <f>VLOOKUP($B146&amp;$C$136&amp;$G146,$E$6:$U$129,M$133,FALSE)*VLOOKUP($B146,Weighting!$D$5:$G$9,MATCH(Segmented!$C$136,Weighting!$E$5:$H$5,0)+1,FALSE)+VLOOKUP($B146&amp;$D$136&amp;$G146,$E$6:$U$129,M$133,FALSE)*VLOOKUP($B146,Weighting!$D$5:$G$9,MATCH(Segmented!$D$136,Weighting!$E$5:$H$5,0)+1,FALSE)+VLOOKUP($B146&amp;$E$136&amp;$G146,$E$6:$U$129,M$133,FALSE)*VLOOKUP($B146,Weighting!$D$5:$G$9,MATCH(Segmented!$E$136,Weighting!$E$5:$H$5,0)+1,FALSE)</f>
        <v>0</v>
      </c>
      <c r="N146" s="31">
        <f>VLOOKUP($B146&amp;$C$136&amp;$G146,$E$6:$U$129,N$133,FALSE)*VLOOKUP($B146,Weighting!$D$5:$G$9,MATCH(Segmented!$C$136,Weighting!$E$5:$H$5,0)+1,FALSE)+VLOOKUP($B146&amp;$D$136&amp;$G146,$E$6:$U$129,N$133,FALSE)*VLOOKUP($B146,Weighting!$D$5:$G$9,MATCH(Segmented!$D$136,Weighting!$E$5:$H$5,0)+1,FALSE)+VLOOKUP($B146&amp;$E$136&amp;$G146,$E$6:$U$129,N$133,FALSE)*VLOOKUP($B146,Weighting!$D$5:$G$9,MATCH(Segmented!$E$136,Weighting!$E$5:$H$5,0)+1,FALSE)</f>
        <v>0</v>
      </c>
      <c r="O146">
        <f t="shared" si="5"/>
        <v>0</v>
      </c>
      <c r="P146" s="31">
        <f>VLOOKUP($B146&amp;$C$136&amp;$G146,$E$6:$U$129,P$133,FALSE)*VLOOKUP($B146,Weighting!$D$5:$G$9,MATCH(Segmented!$C$136,Weighting!$E$5:$H$5,0)+1,FALSE)+VLOOKUP($B146&amp;$D$136&amp;$G146,$E$6:$U$129,P$133,FALSE)*VLOOKUP($B146,Weighting!$D$5:$G$9,MATCH(Segmented!$D$136,Weighting!$E$5:$H$5,0)+1,FALSE)+VLOOKUP($B146&amp;$E$136&amp;$G146,$E$6:$U$129,P$133,FALSE)*VLOOKUP($B146,Weighting!$D$5:$G$9,MATCH(Segmented!$E$136,Weighting!$E$5:$H$5,0)+1,FALSE)</f>
        <v>0</v>
      </c>
      <c r="Q146">
        <f t="shared" si="6"/>
        <v>0</v>
      </c>
      <c r="R146" s="31">
        <f>VLOOKUP($B146&amp;$C$136&amp;$G146,$E$6:$U$129,R$133,FALSE)*VLOOKUP($B146,Weighting!$D$5:$G$9,MATCH(Segmented!$C$136,Weighting!$E$5:$H$5,0)+1,FALSE)+VLOOKUP($B146&amp;$D$136&amp;$G146,$E$6:$U$129,R$133,FALSE)*VLOOKUP($B146,Weighting!$D$5:$G$9,MATCH(Segmented!$D$136,Weighting!$E$5:$H$5,0)+1,FALSE)+VLOOKUP($B146&amp;$E$136&amp;$G146,$E$6:$U$129,R$133,FALSE)*VLOOKUP($B146,Weighting!$D$5:$G$9,MATCH(Segmented!$E$136,Weighting!$E$5:$H$5,0)+1,FALSE)</f>
        <v>0</v>
      </c>
      <c r="S146">
        <f t="shared" si="7"/>
        <v>0</v>
      </c>
      <c r="T146" s="31">
        <f>VLOOKUP($B146&amp;$C$136&amp;$G146,$E$6:$U$129,T$133,FALSE)*VLOOKUP($B146,Weighting!$D$5:$G$9,MATCH(Segmented!$C$136,Weighting!$E$5:$H$5,0)+1,FALSE)+VLOOKUP($B146&amp;$D$136&amp;$G146,$E$6:$U$129,T$133,FALSE)*VLOOKUP($B146,Weighting!$D$5:$G$9,MATCH(Segmented!$D$136,Weighting!$E$5:$H$5,0)+1,FALSE)+VLOOKUP($B146&amp;$E$136&amp;$G146,$E$6:$U$129,T$133,FALSE)*VLOOKUP($B146,Weighting!$D$5:$G$9,MATCH(Segmented!$E$136,Weighting!$E$5:$H$5,0)+1,FALSE)</f>
        <v>0</v>
      </c>
    </row>
    <row r="147" spans="2:20">
      <c r="B147" t="s">
        <v>77</v>
      </c>
      <c r="F147" s="55" t="str">
        <f t="shared" si="8"/>
        <v>WINDOW CL30 Prime Window Replacement of Single Pane Base_Electric Zonal</v>
      </c>
      <c r="G147" s="31" t="s">
        <v>72</v>
      </c>
      <c r="H147" s="31">
        <f>VLOOKUP($B147&amp;$C$136&amp;$G147,$E$6:$U$129,H$133,FALSE)*VLOOKUP($B147,Weighting!$D$5:$G$9,MATCH(Segmented!$C$136,Weighting!$E$5:$H$5,0)+1,FALSE)+VLOOKUP($B147&amp;$D$136&amp;$G147,$E$6:$U$129,H$133,FALSE)*VLOOKUP($B147,Weighting!$D$5:$G$9,MATCH(Segmented!$D$136,Weighting!$E$5:$H$5,0)+1,FALSE)+VLOOKUP($B147&amp;$E$136&amp;$G147,$E$6:$U$129,H$133,FALSE)*VLOOKUP($B147,Weighting!$D$5:$G$9,MATCH(Segmented!$E$136,Weighting!$E$5:$H$5,0)+1,FALSE)</f>
        <v>4233.5666119273837</v>
      </c>
      <c r="I147">
        <f t="shared" si="3"/>
        <v>45</v>
      </c>
      <c r="J147" s="31">
        <f>VLOOKUP($B147&amp;$C$136&amp;$G147,$E$6:$U$129,J$133,FALSE)*VLOOKUP($B147,Weighting!$D$5:$G$9,MATCH(Segmented!$C$136,Weighting!$E$5:$H$5,0)+1,FALSE)+VLOOKUP($B147&amp;$D$136&amp;$G147,$E$6:$U$129,J$133,FALSE)*VLOOKUP($B147,Weighting!$D$5:$G$9,MATCH(Segmented!$D$136,Weighting!$E$5:$H$5,0)+1,FALSE)+VLOOKUP($B147&amp;$E$136&amp;$G147,$E$6:$U$129,J$133,FALSE)*VLOOKUP($B147,Weighting!$D$5:$G$9,MATCH(Segmented!$E$136,Weighting!$E$5:$H$5,0)+1,FALSE)</f>
        <v>3865.0968570659024</v>
      </c>
      <c r="K147" s="31">
        <f>VLOOKUP($B147&amp;$C$136&amp;$G147,$E$6:$U$129,K$133,FALSE)*VLOOKUP($B147,Weighting!$D$5:$G$9,MATCH(Segmented!$C$136,Weighting!$E$5:$H$5,0)+1,FALSE)+VLOOKUP($B147&amp;$D$136&amp;$G147,$E$6:$U$129,K$133,FALSE)*VLOOKUP($B147,Weighting!$D$5:$G$9,MATCH(Segmented!$D$136,Weighting!$E$5:$H$5,0)+1,FALSE)+VLOOKUP($B147&amp;$E$136&amp;$G147,$E$6:$U$129,K$133,FALSE)*VLOOKUP($B147,Weighting!$D$5:$G$9,MATCH(Segmented!$E$136,Weighting!$E$5:$H$5,0)+1,FALSE)</f>
        <v>0</v>
      </c>
      <c r="L147" t="str">
        <f t="shared" si="4"/>
        <v>ResSHWX</v>
      </c>
      <c r="M147" s="31">
        <f>VLOOKUP($B147&amp;$C$136&amp;$G147,$E$6:$U$129,M$133,FALSE)*VLOOKUP($B147,Weighting!$D$5:$G$9,MATCH(Segmented!$C$136,Weighting!$E$5:$H$5,0)+1,FALSE)+VLOOKUP($B147&amp;$D$136&amp;$G147,$E$6:$U$129,M$133,FALSE)*VLOOKUP($B147,Weighting!$D$5:$G$9,MATCH(Segmented!$D$136,Weighting!$E$5:$H$5,0)+1,FALSE)+VLOOKUP($B147&amp;$E$136&amp;$G147,$E$6:$U$129,M$133,FALSE)*VLOOKUP($B147,Weighting!$D$5:$G$9,MATCH(Segmented!$E$136,Weighting!$E$5:$H$5,0)+1,FALSE)</f>
        <v>0</v>
      </c>
      <c r="N147" s="31">
        <f>VLOOKUP($B147&amp;$C$136&amp;$G147,$E$6:$U$129,N$133,FALSE)*VLOOKUP($B147,Weighting!$D$5:$G$9,MATCH(Segmented!$C$136,Weighting!$E$5:$H$5,0)+1,FALSE)+VLOOKUP($B147&amp;$D$136&amp;$G147,$E$6:$U$129,N$133,FALSE)*VLOOKUP($B147,Weighting!$D$5:$G$9,MATCH(Segmented!$D$136,Weighting!$E$5:$H$5,0)+1,FALSE)+VLOOKUP($B147&amp;$E$136&amp;$G147,$E$6:$U$129,N$133,FALSE)*VLOOKUP($B147,Weighting!$D$5:$G$9,MATCH(Segmented!$E$136,Weighting!$E$5:$H$5,0)+1,FALSE)</f>
        <v>0</v>
      </c>
      <c r="O147">
        <f t="shared" si="5"/>
        <v>0</v>
      </c>
      <c r="P147" s="31">
        <f>VLOOKUP($B147&amp;$C$136&amp;$G147,$E$6:$U$129,P$133,FALSE)*VLOOKUP($B147,Weighting!$D$5:$G$9,MATCH(Segmented!$C$136,Weighting!$E$5:$H$5,0)+1,FALSE)+VLOOKUP($B147&amp;$D$136&amp;$G147,$E$6:$U$129,P$133,FALSE)*VLOOKUP($B147,Weighting!$D$5:$G$9,MATCH(Segmented!$D$136,Weighting!$E$5:$H$5,0)+1,FALSE)+VLOOKUP($B147&amp;$E$136&amp;$G147,$E$6:$U$129,P$133,FALSE)*VLOOKUP($B147,Weighting!$D$5:$G$9,MATCH(Segmented!$E$136,Weighting!$E$5:$H$5,0)+1,FALSE)</f>
        <v>0</v>
      </c>
      <c r="Q147">
        <f t="shared" si="6"/>
        <v>0</v>
      </c>
      <c r="R147" s="31">
        <f>VLOOKUP($B147&amp;$C$136&amp;$G147,$E$6:$U$129,R$133,FALSE)*VLOOKUP($B147,Weighting!$D$5:$G$9,MATCH(Segmented!$C$136,Weighting!$E$5:$H$5,0)+1,FALSE)+VLOOKUP($B147&amp;$D$136&amp;$G147,$E$6:$U$129,R$133,FALSE)*VLOOKUP($B147,Weighting!$D$5:$G$9,MATCH(Segmented!$D$136,Weighting!$E$5:$H$5,0)+1,FALSE)+VLOOKUP($B147&amp;$E$136&amp;$G147,$E$6:$U$129,R$133,FALSE)*VLOOKUP($B147,Weighting!$D$5:$G$9,MATCH(Segmented!$E$136,Weighting!$E$5:$H$5,0)+1,FALSE)</f>
        <v>0</v>
      </c>
      <c r="S147">
        <f t="shared" si="7"/>
        <v>0</v>
      </c>
      <c r="T147" s="31">
        <f>VLOOKUP($B147&amp;$C$136&amp;$G147,$E$6:$U$129,T$133,FALSE)*VLOOKUP($B147,Weighting!$D$5:$G$9,MATCH(Segmented!$C$136,Weighting!$E$5:$H$5,0)+1,FALSE)+VLOOKUP($B147&amp;$D$136&amp;$G147,$E$6:$U$129,T$133,FALSE)*VLOOKUP($B147,Weighting!$D$5:$G$9,MATCH(Segmented!$D$136,Weighting!$E$5:$H$5,0)+1,FALSE)+VLOOKUP($B147&amp;$E$136&amp;$G147,$E$6:$U$129,T$133,FALSE)*VLOOKUP($B147,Weighting!$D$5:$G$9,MATCH(Segmented!$E$136,Weighting!$E$5:$H$5,0)+1,FALSE)</f>
        <v>0</v>
      </c>
    </row>
    <row r="148" spans="2:20">
      <c r="B148" t="s">
        <v>77</v>
      </c>
      <c r="F148" s="55" t="str">
        <f t="shared" si="8"/>
        <v>WINDOW CL30 Prime Window Replacement of Double Pane Base_Electric Zonal</v>
      </c>
      <c r="G148" s="31" t="s">
        <v>73</v>
      </c>
      <c r="H148" s="31">
        <f>VLOOKUP($B148&amp;$C$136&amp;$G148,$E$6:$U$129,H$133,FALSE)*VLOOKUP($B148,Weighting!$D$5:$G$9,MATCH(Segmented!$C$136,Weighting!$E$5:$H$5,0)+1,FALSE)+VLOOKUP($B148&amp;$D$136&amp;$G148,$E$6:$U$129,H$133,FALSE)*VLOOKUP($B148,Weighting!$D$5:$G$9,MATCH(Segmented!$D$136,Weighting!$E$5:$H$5,0)+1,FALSE)+VLOOKUP($B148&amp;$E$136&amp;$G148,$E$6:$U$129,H$133,FALSE)*VLOOKUP($B148,Weighting!$D$5:$G$9,MATCH(Segmented!$E$136,Weighting!$E$5:$H$5,0)+1,FALSE)</f>
        <v>2346.1495251305123</v>
      </c>
      <c r="I148">
        <f t="shared" si="3"/>
        <v>45</v>
      </c>
      <c r="J148" s="31">
        <f>VLOOKUP($B148&amp;$C$136&amp;$G148,$E$6:$U$129,J$133,FALSE)*VLOOKUP($B148,Weighting!$D$5:$G$9,MATCH(Segmented!$C$136,Weighting!$E$5:$H$5,0)+1,FALSE)+VLOOKUP($B148&amp;$D$136&amp;$G148,$E$6:$U$129,J$133,FALSE)*VLOOKUP($B148,Weighting!$D$5:$G$9,MATCH(Segmented!$D$136,Weighting!$E$5:$H$5,0)+1,FALSE)+VLOOKUP($B148&amp;$E$136&amp;$G148,$E$6:$U$129,J$133,FALSE)*VLOOKUP($B148,Weighting!$D$5:$G$9,MATCH(Segmented!$E$136,Weighting!$E$5:$H$5,0)+1,FALSE)</f>
        <v>3865.0968570659024</v>
      </c>
      <c r="K148" s="31">
        <f>VLOOKUP($B148&amp;$C$136&amp;$G148,$E$6:$U$129,K$133,FALSE)*VLOOKUP($B148,Weighting!$D$5:$G$9,MATCH(Segmented!$C$136,Weighting!$E$5:$H$5,0)+1,FALSE)+VLOOKUP($B148&amp;$D$136&amp;$G148,$E$6:$U$129,K$133,FALSE)*VLOOKUP($B148,Weighting!$D$5:$G$9,MATCH(Segmented!$D$136,Weighting!$E$5:$H$5,0)+1,FALSE)+VLOOKUP($B148&amp;$E$136&amp;$G148,$E$6:$U$129,K$133,FALSE)*VLOOKUP($B148,Weighting!$D$5:$G$9,MATCH(Segmented!$E$136,Weighting!$E$5:$H$5,0)+1,FALSE)</f>
        <v>0</v>
      </c>
      <c r="L148" t="str">
        <f t="shared" si="4"/>
        <v>ResSHWX</v>
      </c>
      <c r="M148" s="31">
        <f>VLOOKUP($B148&amp;$C$136&amp;$G148,$E$6:$U$129,M$133,FALSE)*VLOOKUP($B148,Weighting!$D$5:$G$9,MATCH(Segmented!$C$136,Weighting!$E$5:$H$5,0)+1,FALSE)+VLOOKUP($B148&amp;$D$136&amp;$G148,$E$6:$U$129,M$133,FALSE)*VLOOKUP($B148,Weighting!$D$5:$G$9,MATCH(Segmented!$D$136,Weighting!$E$5:$H$5,0)+1,FALSE)+VLOOKUP($B148&amp;$E$136&amp;$G148,$E$6:$U$129,M$133,FALSE)*VLOOKUP($B148,Weighting!$D$5:$G$9,MATCH(Segmented!$E$136,Weighting!$E$5:$H$5,0)+1,FALSE)</f>
        <v>0</v>
      </c>
      <c r="N148" s="31">
        <f>VLOOKUP($B148&amp;$C$136&amp;$G148,$E$6:$U$129,N$133,FALSE)*VLOOKUP($B148,Weighting!$D$5:$G$9,MATCH(Segmented!$C$136,Weighting!$E$5:$H$5,0)+1,FALSE)+VLOOKUP($B148&amp;$D$136&amp;$G148,$E$6:$U$129,N$133,FALSE)*VLOOKUP($B148,Weighting!$D$5:$G$9,MATCH(Segmented!$D$136,Weighting!$E$5:$H$5,0)+1,FALSE)+VLOOKUP($B148&amp;$E$136&amp;$G148,$E$6:$U$129,N$133,FALSE)*VLOOKUP($B148,Weighting!$D$5:$G$9,MATCH(Segmented!$E$136,Weighting!$E$5:$H$5,0)+1,FALSE)</f>
        <v>0</v>
      </c>
      <c r="O148">
        <f t="shared" si="5"/>
        <v>0</v>
      </c>
      <c r="P148" s="31">
        <f>VLOOKUP($B148&amp;$C$136&amp;$G148,$E$6:$U$129,P$133,FALSE)*VLOOKUP($B148,Weighting!$D$5:$G$9,MATCH(Segmented!$C$136,Weighting!$E$5:$H$5,0)+1,FALSE)+VLOOKUP($B148&amp;$D$136&amp;$G148,$E$6:$U$129,P$133,FALSE)*VLOOKUP($B148,Weighting!$D$5:$G$9,MATCH(Segmented!$D$136,Weighting!$E$5:$H$5,0)+1,FALSE)+VLOOKUP($B148&amp;$E$136&amp;$G148,$E$6:$U$129,P$133,FALSE)*VLOOKUP($B148,Weighting!$D$5:$G$9,MATCH(Segmented!$E$136,Weighting!$E$5:$H$5,0)+1,FALSE)</f>
        <v>0</v>
      </c>
      <c r="Q148">
        <f t="shared" si="6"/>
        <v>0</v>
      </c>
      <c r="R148" s="31">
        <f>VLOOKUP($B148&amp;$C$136&amp;$G148,$E$6:$U$129,R$133,FALSE)*VLOOKUP($B148,Weighting!$D$5:$G$9,MATCH(Segmented!$C$136,Weighting!$E$5:$H$5,0)+1,FALSE)+VLOOKUP($B148&amp;$D$136&amp;$G148,$E$6:$U$129,R$133,FALSE)*VLOOKUP($B148,Weighting!$D$5:$G$9,MATCH(Segmented!$D$136,Weighting!$E$5:$H$5,0)+1,FALSE)+VLOOKUP($B148&amp;$E$136&amp;$G148,$E$6:$U$129,R$133,FALSE)*VLOOKUP($B148,Weighting!$D$5:$G$9,MATCH(Segmented!$E$136,Weighting!$E$5:$H$5,0)+1,FALSE)</f>
        <v>0</v>
      </c>
      <c r="S148">
        <f t="shared" si="7"/>
        <v>0</v>
      </c>
      <c r="T148" s="31">
        <f>VLOOKUP($B148&amp;$C$136&amp;$G148,$E$6:$U$129,T$133,FALSE)*VLOOKUP($B148,Weighting!$D$5:$G$9,MATCH(Segmented!$C$136,Weighting!$E$5:$H$5,0)+1,FALSE)+VLOOKUP($B148&amp;$D$136&amp;$G148,$E$6:$U$129,T$133,FALSE)*VLOOKUP($B148,Weighting!$D$5:$G$9,MATCH(Segmented!$D$136,Weighting!$E$5:$H$5,0)+1,FALSE)+VLOOKUP($B148&amp;$E$136&amp;$G148,$E$6:$U$129,T$133,FALSE)*VLOOKUP($B148,Weighting!$D$5:$G$9,MATCH(Segmented!$E$136,Weighting!$E$5:$H$5,0)+1,FALSE)</f>
        <v>0</v>
      </c>
    </row>
    <row r="149" spans="2:20">
      <c r="B149" t="s">
        <v>76</v>
      </c>
      <c r="F149" s="55" t="str">
        <f t="shared" si="8"/>
        <v>WALL R0 - R11_Electric FAF</v>
      </c>
      <c r="G149" s="31" t="s">
        <v>69</v>
      </c>
      <c r="H149" s="31">
        <f>VLOOKUP($B149&amp;$C$136&amp;$G149,$E$6:$U$129,H$133,FALSE)*VLOOKUP($B149,Weighting!$D$5:$G$9,MATCH(Segmented!$C$136,Weighting!$E$5:$H$5,0)+1,FALSE)+VLOOKUP($B149&amp;$D$136&amp;$G149,$E$6:$U$129,H$133,FALSE)*VLOOKUP($B149,Weighting!$D$5:$G$9,MATCH(Segmented!$D$136,Weighting!$E$5:$H$5,0)+1,FALSE)+VLOOKUP($B149&amp;$E$136&amp;$G149,$E$6:$U$129,H$133,FALSE)*VLOOKUP($B149,Weighting!$D$5:$G$9,MATCH(Segmented!$E$136,Weighting!$E$5:$H$5,0)+1,FALSE)</f>
        <v>623.13432819793707</v>
      </c>
      <c r="I149">
        <f t="shared" si="3"/>
        <v>45</v>
      </c>
      <c r="J149" s="31">
        <f>VLOOKUP($B149&amp;$C$136&amp;$G149,$E$6:$U$129,J$133,FALSE)*VLOOKUP($B149,Weighting!$D$5:$G$9,MATCH(Segmented!$C$136,Weighting!$E$5:$H$5,0)+1,FALSE)+VLOOKUP($B149&amp;$D$136&amp;$G149,$E$6:$U$129,J$133,FALSE)*VLOOKUP($B149,Weighting!$D$5:$G$9,MATCH(Segmented!$D$136,Weighting!$E$5:$H$5,0)+1,FALSE)+VLOOKUP($B149&amp;$E$136&amp;$G149,$E$6:$U$129,J$133,FALSE)*VLOOKUP($B149,Weighting!$D$5:$G$9,MATCH(Segmented!$E$136,Weighting!$E$5:$H$5,0)+1,FALSE)</f>
        <v>414.11354893012168</v>
      </c>
      <c r="K149" s="31">
        <f>VLOOKUP($B149&amp;$C$136&amp;$G149,$E$6:$U$129,K$133,FALSE)*VLOOKUP($B149,Weighting!$D$5:$G$9,MATCH(Segmented!$C$136,Weighting!$E$5:$H$5,0)+1,FALSE)+VLOOKUP($B149&amp;$D$136&amp;$G149,$E$6:$U$129,K$133,FALSE)*VLOOKUP($B149,Weighting!$D$5:$G$9,MATCH(Segmented!$D$136,Weighting!$E$5:$H$5,0)+1,FALSE)+VLOOKUP($B149&amp;$E$136&amp;$G149,$E$6:$U$129,K$133,FALSE)*VLOOKUP($B149,Weighting!$D$5:$G$9,MATCH(Segmented!$E$136,Weighting!$E$5:$H$5,0)+1,FALSE)</f>
        <v>0</v>
      </c>
      <c r="L149" t="str">
        <f t="shared" si="4"/>
        <v>ResSHWX</v>
      </c>
      <c r="M149" s="31">
        <f>VLOOKUP($B149&amp;$C$136&amp;$G149,$E$6:$U$129,M$133,FALSE)*VLOOKUP($B149,Weighting!$D$5:$G$9,MATCH(Segmented!$C$136,Weighting!$E$5:$H$5,0)+1,FALSE)+VLOOKUP($B149&amp;$D$136&amp;$G149,$E$6:$U$129,M$133,FALSE)*VLOOKUP($B149,Weighting!$D$5:$G$9,MATCH(Segmented!$D$136,Weighting!$E$5:$H$5,0)+1,FALSE)+VLOOKUP($B149&amp;$E$136&amp;$G149,$E$6:$U$129,M$133,FALSE)*VLOOKUP($B149,Weighting!$D$5:$G$9,MATCH(Segmented!$E$136,Weighting!$E$5:$H$5,0)+1,FALSE)</f>
        <v>0</v>
      </c>
      <c r="N149" s="31">
        <f>VLOOKUP($B149&amp;$C$136&amp;$G149,$E$6:$U$129,N$133,FALSE)*VLOOKUP($B149,Weighting!$D$5:$G$9,MATCH(Segmented!$C$136,Weighting!$E$5:$H$5,0)+1,FALSE)+VLOOKUP($B149&amp;$D$136&amp;$G149,$E$6:$U$129,N$133,FALSE)*VLOOKUP($B149,Weighting!$D$5:$G$9,MATCH(Segmented!$D$136,Weighting!$E$5:$H$5,0)+1,FALSE)+VLOOKUP($B149&amp;$E$136&amp;$G149,$E$6:$U$129,N$133,FALSE)*VLOOKUP($B149,Weighting!$D$5:$G$9,MATCH(Segmented!$E$136,Weighting!$E$5:$H$5,0)+1,FALSE)</f>
        <v>0</v>
      </c>
      <c r="O149">
        <f t="shared" si="5"/>
        <v>0</v>
      </c>
      <c r="P149" s="31">
        <f>VLOOKUP($B149&amp;$C$136&amp;$G149,$E$6:$U$129,P$133,FALSE)*VLOOKUP($B149,Weighting!$D$5:$G$9,MATCH(Segmented!$C$136,Weighting!$E$5:$H$5,0)+1,FALSE)+VLOOKUP($B149&amp;$D$136&amp;$G149,$E$6:$U$129,P$133,FALSE)*VLOOKUP($B149,Weighting!$D$5:$G$9,MATCH(Segmented!$D$136,Weighting!$E$5:$H$5,0)+1,FALSE)+VLOOKUP($B149&amp;$E$136&amp;$G149,$E$6:$U$129,P$133,FALSE)*VLOOKUP($B149,Weighting!$D$5:$G$9,MATCH(Segmented!$E$136,Weighting!$E$5:$H$5,0)+1,FALSE)</f>
        <v>0</v>
      </c>
      <c r="Q149">
        <f t="shared" si="6"/>
        <v>0</v>
      </c>
      <c r="R149" s="31">
        <f>VLOOKUP($B149&amp;$C$136&amp;$G149,$E$6:$U$129,R$133,FALSE)*VLOOKUP($B149,Weighting!$D$5:$G$9,MATCH(Segmented!$C$136,Weighting!$E$5:$H$5,0)+1,FALSE)+VLOOKUP($B149&amp;$D$136&amp;$G149,$E$6:$U$129,R$133,FALSE)*VLOOKUP($B149,Weighting!$D$5:$G$9,MATCH(Segmented!$D$136,Weighting!$E$5:$H$5,0)+1,FALSE)+VLOOKUP($B149&amp;$E$136&amp;$G149,$E$6:$U$129,R$133,FALSE)*VLOOKUP($B149,Weighting!$D$5:$G$9,MATCH(Segmented!$E$136,Weighting!$E$5:$H$5,0)+1,FALSE)</f>
        <v>0</v>
      </c>
      <c r="S149">
        <f t="shared" si="7"/>
        <v>0</v>
      </c>
      <c r="T149" s="31">
        <f>VLOOKUP($B149&amp;$C$136&amp;$G149,$E$6:$U$129,T$133,FALSE)*VLOOKUP($B149,Weighting!$D$5:$G$9,MATCH(Segmented!$C$136,Weighting!$E$5:$H$5,0)+1,FALSE)+VLOOKUP($B149&amp;$D$136&amp;$G149,$E$6:$U$129,T$133,FALSE)*VLOOKUP($B149,Weighting!$D$5:$G$9,MATCH(Segmented!$D$136,Weighting!$E$5:$H$5,0)+1,FALSE)+VLOOKUP($B149&amp;$E$136&amp;$G149,$E$6:$U$129,T$133,FALSE)*VLOOKUP($B149,Weighting!$D$5:$G$9,MATCH(Segmented!$E$136,Weighting!$E$5:$H$5,0)+1,FALSE)</f>
        <v>0</v>
      </c>
    </row>
    <row r="150" spans="2:20">
      <c r="B150" t="s">
        <v>76</v>
      </c>
      <c r="F150" s="55" t="str">
        <f t="shared" si="8"/>
        <v>FLOOR R0 - R19_Electric FAF</v>
      </c>
      <c r="G150" s="31" t="s">
        <v>70</v>
      </c>
      <c r="H150" s="31">
        <f>VLOOKUP($B150&amp;$C$136&amp;$G150,$E$6:$U$129,H$133,FALSE)*VLOOKUP($B150,Weighting!$D$5:$G$9,MATCH(Segmented!$C$136,Weighting!$E$5:$H$5,0)+1,FALSE)+VLOOKUP($B150&amp;$D$136&amp;$G150,$E$6:$U$129,H$133,FALSE)*VLOOKUP($B150,Weighting!$D$5:$G$9,MATCH(Segmented!$D$136,Weighting!$E$5:$H$5,0)+1,FALSE)+VLOOKUP($B150&amp;$E$136&amp;$G150,$E$6:$U$129,H$133,FALSE)*VLOOKUP($B150,Weighting!$D$5:$G$9,MATCH(Segmented!$E$136,Weighting!$E$5:$H$5,0)+1,FALSE)</f>
        <v>214.47042744325265</v>
      </c>
      <c r="I150">
        <f t="shared" si="3"/>
        <v>45</v>
      </c>
      <c r="J150" s="31">
        <f>VLOOKUP($B150&amp;$C$136&amp;$G150,$E$6:$U$129,J$133,FALSE)*VLOOKUP($B150,Weighting!$D$5:$G$9,MATCH(Segmented!$C$136,Weighting!$E$5:$H$5,0)+1,FALSE)+VLOOKUP($B150&amp;$D$136&amp;$G150,$E$6:$U$129,J$133,FALSE)*VLOOKUP($B150,Weighting!$D$5:$G$9,MATCH(Segmented!$D$136,Weighting!$E$5:$H$5,0)+1,FALSE)+VLOOKUP($B150&amp;$E$136&amp;$G150,$E$6:$U$129,J$133,FALSE)*VLOOKUP($B150,Weighting!$D$5:$G$9,MATCH(Segmented!$E$136,Weighting!$E$5:$H$5,0)+1,FALSE)</f>
        <v>436.41697398915824</v>
      </c>
      <c r="K150" s="31">
        <f>VLOOKUP($B150&amp;$C$136&amp;$G150,$E$6:$U$129,K$133,FALSE)*VLOOKUP($B150,Weighting!$D$5:$G$9,MATCH(Segmented!$C$136,Weighting!$E$5:$H$5,0)+1,FALSE)+VLOOKUP($B150&amp;$D$136&amp;$G150,$E$6:$U$129,K$133,FALSE)*VLOOKUP($B150,Weighting!$D$5:$G$9,MATCH(Segmented!$D$136,Weighting!$E$5:$H$5,0)+1,FALSE)+VLOOKUP($B150&amp;$E$136&amp;$G150,$E$6:$U$129,K$133,FALSE)*VLOOKUP($B150,Weighting!$D$5:$G$9,MATCH(Segmented!$E$136,Weighting!$E$5:$H$5,0)+1,FALSE)</f>
        <v>0</v>
      </c>
      <c r="L150" t="str">
        <f t="shared" si="4"/>
        <v>ResSHWX</v>
      </c>
      <c r="M150" s="31">
        <f>VLOOKUP($B150&amp;$C$136&amp;$G150,$E$6:$U$129,M$133,FALSE)*VLOOKUP($B150,Weighting!$D$5:$G$9,MATCH(Segmented!$C$136,Weighting!$E$5:$H$5,0)+1,FALSE)+VLOOKUP($B150&amp;$D$136&amp;$G150,$E$6:$U$129,M$133,FALSE)*VLOOKUP($B150,Weighting!$D$5:$G$9,MATCH(Segmented!$D$136,Weighting!$E$5:$H$5,0)+1,FALSE)+VLOOKUP($B150&amp;$E$136&amp;$G150,$E$6:$U$129,M$133,FALSE)*VLOOKUP($B150,Weighting!$D$5:$G$9,MATCH(Segmented!$E$136,Weighting!$E$5:$H$5,0)+1,FALSE)</f>
        <v>0</v>
      </c>
      <c r="N150" s="31">
        <f>VLOOKUP($B150&amp;$C$136&amp;$G150,$E$6:$U$129,N$133,FALSE)*VLOOKUP($B150,Weighting!$D$5:$G$9,MATCH(Segmented!$C$136,Weighting!$E$5:$H$5,0)+1,FALSE)+VLOOKUP($B150&amp;$D$136&amp;$G150,$E$6:$U$129,N$133,FALSE)*VLOOKUP($B150,Weighting!$D$5:$G$9,MATCH(Segmented!$D$136,Weighting!$E$5:$H$5,0)+1,FALSE)+VLOOKUP($B150&amp;$E$136&amp;$G150,$E$6:$U$129,N$133,FALSE)*VLOOKUP($B150,Weighting!$D$5:$G$9,MATCH(Segmented!$E$136,Weighting!$E$5:$H$5,0)+1,FALSE)</f>
        <v>0</v>
      </c>
      <c r="O150">
        <f t="shared" si="5"/>
        <v>0</v>
      </c>
      <c r="P150" s="31">
        <f>VLOOKUP($B150&amp;$C$136&amp;$G150,$E$6:$U$129,P$133,FALSE)*VLOOKUP($B150,Weighting!$D$5:$G$9,MATCH(Segmented!$C$136,Weighting!$E$5:$H$5,0)+1,FALSE)+VLOOKUP($B150&amp;$D$136&amp;$G150,$E$6:$U$129,P$133,FALSE)*VLOOKUP($B150,Weighting!$D$5:$G$9,MATCH(Segmented!$D$136,Weighting!$E$5:$H$5,0)+1,FALSE)+VLOOKUP($B150&amp;$E$136&amp;$G150,$E$6:$U$129,P$133,FALSE)*VLOOKUP($B150,Weighting!$D$5:$G$9,MATCH(Segmented!$E$136,Weighting!$E$5:$H$5,0)+1,FALSE)</f>
        <v>0</v>
      </c>
      <c r="Q150">
        <f t="shared" si="6"/>
        <v>0</v>
      </c>
      <c r="R150" s="31">
        <f>VLOOKUP($B150&amp;$C$136&amp;$G150,$E$6:$U$129,R$133,FALSE)*VLOOKUP($B150,Weighting!$D$5:$G$9,MATCH(Segmented!$C$136,Weighting!$E$5:$H$5,0)+1,FALSE)+VLOOKUP($B150&amp;$D$136&amp;$G150,$E$6:$U$129,R$133,FALSE)*VLOOKUP($B150,Weighting!$D$5:$G$9,MATCH(Segmented!$D$136,Weighting!$E$5:$H$5,0)+1,FALSE)+VLOOKUP($B150&amp;$E$136&amp;$G150,$E$6:$U$129,R$133,FALSE)*VLOOKUP($B150,Weighting!$D$5:$G$9,MATCH(Segmented!$E$136,Weighting!$E$5:$H$5,0)+1,FALSE)</f>
        <v>0</v>
      </c>
      <c r="S150">
        <f t="shared" si="7"/>
        <v>0</v>
      </c>
      <c r="T150" s="31">
        <f>VLOOKUP($B150&amp;$C$136&amp;$G150,$E$6:$U$129,T$133,FALSE)*VLOOKUP($B150,Weighting!$D$5:$G$9,MATCH(Segmented!$C$136,Weighting!$E$5:$H$5,0)+1,FALSE)+VLOOKUP($B150&amp;$D$136&amp;$G150,$E$6:$U$129,T$133,FALSE)*VLOOKUP($B150,Weighting!$D$5:$G$9,MATCH(Segmented!$D$136,Weighting!$E$5:$H$5,0)+1,FALSE)+VLOOKUP($B150&amp;$E$136&amp;$G150,$E$6:$U$129,T$133,FALSE)*VLOOKUP($B150,Weighting!$D$5:$G$9,MATCH(Segmented!$E$136,Weighting!$E$5:$H$5,0)+1,FALSE)</f>
        <v>0</v>
      </c>
    </row>
    <row r="151" spans="2:20">
      <c r="B151" t="s">
        <v>76</v>
      </c>
      <c r="F151" s="55" t="str">
        <f t="shared" si="8"/>
        <v>FLOOR R0 - R30_Electric FAF</v>
      </c>
      <c r="G151" s="31" t="s">
        <v>71</v>
      </c>
      <c r="H151" s="31">
        <f>VLOOKUP($B151&amp;$C$136&amp;$G151,$E$6:$U$129,H$133,FALSE)*VLOOKUP($B151,Weighting!$D$5:$G$9,MATCH(Segmented!$C$136,Weighting!$E$5:$H$5,0)+1,FALSE)+VLOOKUP($B151&amp;$D$136&amp;$G151,$E$6:$U$129,H$133,FALSE)*VLOOKUP($B151,Weighting!$D$5:$G$9,MATCH(Segmented!$D$136,Weighting!$E$5:$H$5,0)+1,FALSE)+VLOOKUP($B151&amp;$E$136&amp;$G151,$E$6:$U$129,H$133,FALSE)*VLOOKUP($B151,Weighting!$D$5:$G$9,MATCH(Segmented!$E$136,Weighting!$E$5:$H$5,0)+1,FALSE)</f>
        <v>278.87595778559358</v>
      </c>
      <c r="I151">
        <f t="shared" si="3"/>
        <v>45</v>
      </c>
      <c r="J151" s="31">
        <f>VLOOKUP($B151&amp;$C$136&amp;$G151,$E$6:$U$129,J$133,FALSE)*VLOOKUP($B151,Weighting!$D$5:$G$9,MATCH(Segmented!$C$136,Weighting!$E$5:$H$5,0)+1,FALSE)+VLOOKUP($B151&amp;$D$136&amp;$G151,$E$6:$U$129,J$133,FALSE)*VLOOKUP($B151,Weighting!$D$5:$G$9,MATCH(Segmented!$D$136,Weighting!$E$5:$H$5,0)+1,FALSE)+VLOOKUP($B151&amp;$E$136&amp;$G151,$E$6:$U$129,J$133,FALSE)*VLOOKUP($B151,Weighting!$D$5:$G$9,MATCH(Segmented!$E$136,Weighting!$E$5:$H$5,0)+1,FALSE)</f>
        <v>689.07943261446042</v>
      </c>
      <c r="K151" s="31">
        <f>VLOOKUP($B151&amp;$C$136&amp;$G151,$E$6:$U$129,K$133,FALSE)*VLOOKUP($B151,Weighting!$D$5:$G$9,MATCH(Segmented!$C$136,Weighting!$E$5:$H$5,0)+1,FALSE)+VLOOKUP($B151&amp;$D$136&amp;$G151,$E$6:$U$129,K$133,FALSE)*VLOOKUP($B151,Weighting!$D$5:$G$9,MATCH(Segmented!$D$136,Weighting!$E$5:$H$5,0)+1,FALSE)+VLOOKUP($B151&amp;$E$136&amp;$G151,$E$6:$U$129,K$133,FALSE)*VLOOKUP($B151,Weighting!$D$5:$G$9,MATCH(Segmented!$E$136,Weighting!$E$5:$H$5,0)+1,FALSE)</f>
        <v>0</v>
      </c>
      <c r="L151" t="str">
        <f t="shared" si="4"/>
        <v>ResSHWX</v>
      </c>
      <c r="M151" s="31">
        <f>VLOOKUP($B151&amp;$C$136&amp;$G151,$E$6:$U$129,M$133,FALSE)*VLOOKUP($B151,Weighting!$D$5:$G$9,MATCH(Segmented!$C$136,Weighting!$E$5:$H$5,0)+1,FALSE)+VLOOKUP($B151&amp;$D$136&amp;$G151,$E$6:$U$129,M$133,FALSE)*VLOOKUP($B151,Weighting!$D$5:$G$9,MATCH(Segmented!$D$136,Weighting!$E$5:$H$5,0)+1,FALSE)+VLOOKUP($B151&amp;$E$136&amp;$G151,$E$6:$U$129,M$133,FALSE)*VLOOKUP($B151,Weighting!$D$5:$G$9,MATCH(Segmented!$E$136,Weighting!$E$5:$H$5,0)+1,FALSE)</f>
        <v>0</v>
      </c>
      <c r="N151" s="31">
        <f>VLOOKUP($B151&amp;$C$136&amp;$G151,$E$6:$U$129,N$133,FALSE)*VLOOKUP($B151,Weighting!$D$5:$G$9,MATCH(Segmented!$C$136,Weighting!$E$5:$H$5,0)+1,FALSE)+VLOOKUP($B151&amp;$D$136&amp;$G151,$E$6:$U$129,N$133,FALSE)*VLOOKUP($B151,Weighting!$D$5:$G$9,MATCH(Segmented!$D$136,Weighting!$E$5:$H$5,0)+1,FALSE)+VLOOKUP($B151&amp;$E$136&amp;$G151,$E$6:$U$129,N$133,FALSE)*VLOOKUP($B151,Weighting!$D$5:$G$9,MATCH(Segmented!$E$136,Weighting!$E$5:$H$5,0)+1,FALSE)</f>
        <v>0</v>
      </c>
      <c r="O151">
        <f t="shared" si="5"/>
        <v>0</v>
      </c>
      <c r="P151" s="31">
        <f>VLOOKUP($B151&amp;$C$136&amp;$G151,$E$6:$U$129,P$133,FALSE)*VLOOKUP($B151,Weighting!$D$5:$G$9,MATCH(Segmented!$C$136,Weighting!$E$5:$H$5,0)+1,FALSE)+VLOOKUP($B151&amp;$D$136&amp;$G151,$E$6:$U$129,P$133,FALSE)*VLOOKUP($B151,Weighting!$D$5:$G$9,MATCH(Segmented!$D$136,Weighting!$E$5:$H$5,0)+1,FALSE)+VLOOKUP($B151&amp;$E$136&amp;$G151,$E$6:$U$129,P$133,FALSE)*VLOOKUP($B151,Weighting!$D$5:$G$9,MATCH(Segmented!$E$136,Weighting!$E$5:$H$5,0)+1,FALSE)</f>
        <v>0</v>
      </c>
      <c r="Q151">
        <f t="shared" si="6"/>
        <v>0</v>
      </c>
      <c r="R151" s="31">
        <f>VLOOKUP($B151&amp;$C$136&amp;$G151,$E$6:$U$129,R$133,FALSE)*VLOOKUP($B151,Weighting!$D$5:$G$9,MATCH(Segmented!$C$136,Weighting!$E$5:$H$5,0)+1,FALSE)+VLOOKUP($B151&amp;$D$136&amp;$G151,$E$6:$U$129,R$133,FALSE)*VLOOKUP($B151,Weighting!$D$5:$G$9,MATCH(Segmented!$D$136,Weighting!$E$5:$H$5,0)+1,FALSE)+VLOOKUP($B151&amp;$E$136&amp;$G151,$E$6:$U$129,R$133,FALSE)*VLOOKUP($B151,Weighting!$D$5:$G$9,MATCH(Segmented!$E$136,Weighting!$E$5:$H$5,0)+1,FALSE)</f>
        <v>0</v>
      </c>
      <c r="S151">
        <f t="shared" si="7"/>
        <v>0</v>
      </c>
      <c r="T151" s="31">
        <f>VLOOKUP($B151&amp;$C$136&amp;$G151,$E$6:$U$129,T$133,FALSE)*VLOOKUP($B151,Weighting!$D$5:$G$9,MATCH(Segmented!$C$136,Weighting!$E$5:$H$5,0)+1,FALSE)+VLOOKUP($B151&amp;$D$136&amp;$G151,$E$6:$U$129,T$133,FALSE)*VLOOKUP($B151,Weighting!$D$5:$G$9,MATCH(Segmented!$D$136,Weighting!$E$5:$H$5,0)+1,FALSE)+VLOOKUP($B151&amp;$E$136&amp;$G151,$E$6:$U$129,T$133,FALSE)*VLOOKUP($B151,Weighting!$D$5:$G$9,MATCH(Segmented!$E$136,Weighting!$E$5:$H$5,0)+1,FALSE)</f>
        <v>0</v>
      </c>
    </row>
    <row r="152" spans="2:20">
      <c r="B152" t="s">
        <v>76</v>
      </c>
      <c r="F152" s="55" t="str">
        <f t="shared" si="8"/>
        <v>ATTIC R0 - R19_Electric FAF</v>
      </c>
      <c r="G152" s="31" t="s">
        <v>1201</v>
      </c>
      <c r="H152" s="31">
        <f>VLOOKUP($B152&amp;$C$136&amp;$G152,$E$6:$U$129,H$133,FALSE)*VLOOKUP($B152,Weighting!$D$5:$G$9,MATCH(Segmented!$C$136,Weighting!$E$5:$H$5,0)+1,FALSE)+VLOOKUP($B152&amp;$D$136&amp;$G152,$E$6:$U$129,H$133,FALSE)*VLOOKUP($B152,Weighting!$D$5:$G$9,MATCH(Segmented!$D$136,Weighting!$E$5:$H$5,0)+1,FALSE)+VLOOKUP($B152&amp;$E$136&amp;$G152,$E$6:$U$129,H$133,FALSE)*VLOOKUP($B152,Weighting!$D$5:$G$9,MATCH(Segmented!$E$136,Weighting!$E$5:$H$5,0)+1,FALSE)</f>
        <v>189.74921960577254</v>
      </c>
      <c r="I152">
        <f t="shared" si="3"/>
        <v>45</v>
      </c>
      <c r="J152" s="31">
        <f>VLOOKUP($B152&amp;$C$136&amp;$G152,$E$6:$U$129,J$133,FALSE)*VLOOKUP($B152,Weighting!$D$5:$G$9,MATCH(Segmented!$C$136,Weighting!$E$5:$H$5,0)+1,FALSE)+VLOOKUP($B152&amp;$D$136&amp;$G152,$E$6:$U$129,J$133,FALSE)*VLOOKUP($B152,Weighting!$D$5:$G$9,MATCH(Segmented!$D$136,Weighting!$E$5:$H$5,0)+1,FALSE)+VLOOKUP($B152&amp;$E$136&amp;$G152,$E$6:$U$129,J$133,FALSE)*VLOOKUP($B152,Weighting!$D$5:$G$9,MATCH(Segmented!$E$136,Weighting!$E$5:$H$5,0)+1,FALSE)</f>
        <v>239.1087012654321</v>
      </c>
      <c r="K152" s="31">
        <f>VLOOKUP($B152&amp;$C$136&amp;$G152,$E$6:$U$129,K$133,FALSE)*VLOOKUP($B152,Weighting!$D$5:$G$9,MATCH(Segmented!$C$136,Weighting!$E$5:$H$5,0)+1,FALSE)+VLOOKUP($B152&amp;$D$136&amp;$G152,$E$6:$U$129,K$133,FALSE)*VLOOKUP($B152,Weighting!$D$5:$G$9,MATCH(Segmented!$D$136,Weighting!$E$5:$H$5,0)+1,FALSE)+VLOOKUP($B152&amp;$E$136&amp;$G152,$E$6:$U$129,K$133,FALSE)*VLOOKUP($B152,Weighting!$D$5:$G$9,MATCH(Segmented!$E$136,Weighting!$E$5:$H$5,0)+1,FALSE)</f>
        <v>0</v>
      </c>
      <c r="L152" t="str">
        <f t="shared" si="4"/>
        <v>ResSHWX</v>
      </c>
      <c r="M152" s="31">
        <f>VLOOKUP($B152&amp;$C$136&amp;$G152,$E$6:$U$129,M$133,FALSE)*VLOOKUP($B152,Weighting!$D$5:$G$9,MATCH(Segmented!$C$136,Weighting!$E$5:$H$5,0)+1,FALSE)+VLOOKUP($B152&amp;$D$136&amp;$G152,$E$6:$U$129,M$133,FALSE)*VLOOKUP($B152,Weighting!$D$5:$G$9,MATCH(Segmented!$D$136,Weighting!$E$5:$H$5,0)+1,FALSE)+VLOOKUP($B152&amp;$E$136&amp;$G152,$E$6:$U$129,M$133,FALSE)*VLOOKUP($B152,Weighting!$D$5:$G$9,MATCH(Segmented!$E$136,Weighting!$E$5:$H$5,0)+1,FALSE)</f>
        <v>0</v>
      </c>
      <c r="N152" s="31">
        <f>VLOOKUP($B152&amp;$C$136&amp;$G152,$E$6:$U$129,N$133,FALSE)*VLOOKUP($B152,Weighting!$D$5:$G$9,MATCH(Segmented!$C$136,Weighting!$E$5:$H$5,0)+1,FALSE)+VLOOKUP($B152&amp;$D$136&amp;$G152,$E$6:$U$129,N$133,FALSE)*VLOOKUP($B152,Weighting!$D$5:$G$9,MATCH(Segmented!$D$136,Weighting!$E$5:$H$5,0)+1,FALSE)+VLOOKUP($B152&amp;$E$136&amp;$G152,$E$6:$U$129,N$133,FALSE)*VLOOKUP($B152,Weighting!$D$5:$G$9,MATCH(Segmented!$E$136,Weighting!$E$5:$H$5,0)+1,FALSE)</f>
        <v>0</v>
      </c>
      <c r="O152">
        <f t="shared" si="5"/>
        <v>0</v>
      </c>
      <c r="P152" s="31">
        <f>VLOOKUP($B152&amp;$C$136&amp;$G152,$E$6:$U$129,P$133,FALSE)*VLOOKUP($B152,Weighting!$D$5:$G$9,MATCH(Segmented!$C$136,Weighting!$E$5:$H$5,0)+1,FALSE)+VLOOKUP($B152&amp;$D$136&amp;$G152,$E$6:$U$129,P$133,FALSE)*VLOOKUP($B152,Weighting!$D$5:$G$9,MATCH(Segmented!$D$136,Weighting!$E$5:$H$5,0)+1,FALSE)+VLOOKUP($B152&amp;$E$136&amp;$G152,$E$6:$U$129,P$133,FALSE)*VLOOKUP($B152,Weighting!$D$5:$G$9,MATCH(Segmented!$E$136,Weighting!$E$5:$H$5,0)+1,FALSE)</f>
        <v>0</v>
      </c>
      <c r="Q152">
        <f t="shared" si="6"/>
        <v>0</v>
      </c>
      <c r="R152" s="31">
        <f>VLOOKUP($B152&amp;$C$136&amp;$G152,$E$6:$U$129,R$133,FALSE)*VLOOKUP($B152,Weighting!$D$5:$G$9,MATCH(Segmented!$C$136,Weighting!$E$5:$H$5,0)+1,FALSE)+VLOOKUP($B152&amp;$D$136&amp;$G152,$E$6:$U$129,R$133,FALSE)*VLOOKUP($B152,Weighting!$D$5:$G$9,MATCH(Segmented!$D$136,Weighting!$E$5:$H$5,0)+1,FALSE)+VLOOKUP($B152&amp;$E$136&amp;$G152,$E$6:$U$129,R$133,FALSE)*VLOOKUP($B152,Weighting!$D$5:$G$9,MATCH(Segmented!$E$136,Weighting!$E$5:$H$5,0)+1,FALSE)</f>
        <v>0</v>
      </c>
      <c r="S152">
        <f t="shared" si="7"/>
        <v>0</v>
      </c>
      <c r="T152" s="31">
        <f>VLOOKUP($B152&amp;$C$136&amp;$G152,$E$6:$U$129,T$133,FALSE)*VLOOKUP($B152,Weighting!$D$5:$G$9,MATCH(Segmented!$C$136,Weighting!$E$5:$H$5,0)+1,FALSE)+VLOOKUP($B152&amp;$D$136&amp;$G152,$E$6:$U$129,T$133,FALSE)*VLOOKUP($B152,Weighting!$D$5:$G$9,MATCH(Segmented!$D$136,Weighting!$E$5:$H$5,0)+1,FALSE)+VLOOKUP($B152&amp;$E$136&amp;$G152,$E$6:$U$129,T$133,FALSE)*VLOOKUP($B152,Weighting!$D$5:$G$9,MATCH(Segmented!$E$136,Weighting!$E$5:$H$5,0)+1,FALSE)</f>
        <v>0</v>
      </c>
    </row>
    <row r="153" spans="2:20">
      <c r="B153" t="s">
        <v>76</v>
      </c>
      <c r="F153" s="55" t="str">
        <f t="shared" si="8"/>
        <v>ATTIC R0 - R38_Electric FAF</v>
      </c>
      <c r="G153" s="31" t="s">
        <v>65</v>
      </c>
      <c r="H153" s="31">
        <f>VLOOKUP($B153&amp;$C$136&amp;$G153,$E$6:$U$129,H$133,FALSE)*VLOOKUP($B153,Weighting!$D$5:$G$9,MATCH(Segmented!$C$136,Weighting!$E$5:$H$5,0)+1,FALSE)+VLOOKUP($B153&amp;$D$136&amp;$G153,$E$6:$U$129,H$133,FALSE)*VLOOKUP($B153,Weighting!$D$5:$G$9,MATCH(Segmented!$D$136,Weighting!$E$5:$H$5,0)+1,FALSE)+VLOOKUP($B153&amp;$E$136&amp;$G153,$E$6:$U$129,H$133,FALSE)*VLOOKUP($B153,Weighting!$D$5:$G$9,MATCH(Segmented!$E$136,Weighting!$E$5:$H$5,0)+1,FALSE)</f>
        <v>258.13863950285889</v>
      </c>
      <c r="I153">
        <f t="shared" si="3"/>
        <v>45</v>
      </c>
      <c r="J153" s="31">
        <f>VLOOKUP($B153&amp;$C$136&amp;$G153,$E$6:$U$129,J$133,FALSE)*VLOOKUP($B153,Weighting!$D$5:$G$9,MATCH(Segmented!$C$136,Weighting!$E$5:$H$5,0)+1,FALSE)+VLOOKUP($B153&amp;$D$136&amp;$G153,$E$6:$U$129,J$133,FALSE)*VLOOKUP($B153,Weighting!$D$5:$G$9,MATCH(Segmented!$D$136,Weighting!$E$5:$H$5,0)+1,FALSE)+VLOOKUP($B153&amp;$E$136&amp;$G153,$E$6:$U$129,J$133,FALSE)*VLOOKUP($B153,Weighting!$D$5:$G$9,MATCH(Segmented!$E$136,Weighting!$E$5:$H$5,0)+1,FALSE)</f>
        <v>478.21740253086421</v>
      </c>
      <c r="K153" s="31">
        <f>VLOOKUP($B153&amp;$C$136&amp;$G153,$E$6:$U$129,K$133,FALSE)*VLOOKUP($B153,Weighting!$D$5:$G$9,MATCH(Segmented!$C$136,Weighting!$E$5:$H$5,0)+1,FALSE)+VLOOKUP($B153&amp;$D$136&amp;$G153,$E$6:$U$129,K$133,FALSE)*VLOOKUP($B153,Weighting!$D$5:$G$9,MATCH(Segmented!$D$136,Weighting!$E$5:$H$5,0)+1,FALSE)+VLOOKUP($B153&amp;$E$136&amp;$G153,$E$6:$U$129,K$133,FALSE)*VLOOKUP($B153,Weighting!$D$5:$G$9,MATCH(Segmented!$E$136,Weighting!$E$5:$H$5,0)+1,FALSE)</f>
        <v>0</v>
      </c>
      <c r="L153" t="str">
        <f t="shared" si="4"/>
        <v>ResSHWX</v>
      </c>
      <c r="M153" s="31">
        <f>VLOOKUP($B153&amp;$C$136&amp;$G153,$E$6:$U$129,M$133,FALSE)*VLOOKUP($B153,Weighting!$D$5:$G$9,MATCH(Segmented!$C$136,Weighting!$E$5:$H$5,0)+1,FALSE)+VLOOKUP($B153&amp;$D$136&amp;$G153,$E$6:$U$129,M$133,FALSE)*VLOOKUP($B153,Weighting!$D$5:$G$9,MATCH(Segmented!$D$136,Weighting!$E$5:$H$5,0)+1,FALSE)+VLOOKUP($B153&amp;$E$136&amp;$G153,$E$6:$U$129,M$133,FALSE)*VLOOKUP($B153,Weighting!$D$5:$G$9,MATCH(Segmented!$E$136,Weighting!$E$5:$H$5,0)+1,FALSE)</f>
        <v>0</v>
      </c>
      <c r="N153" s="31">
        <f>VLOOKUP($B153&amp;$C$136&amp;$G153,$E$6:$U$129,N$133,FALSE)*VLOOKUP($B153,Weighting!$D$5:$G$9,MATCH(Segmented!$C$136,Weighting!$E$5:$H$5,0)+1,FALSE)+VLOOKUP($B153&amp;$D$136&amp;$G153,$E$6:$U$129,N$133,FALSE)*VLOOKUP($B153,Weighting!$D$5:$G$9,MATCH(Segmented!$D$136,Weighting!$E$5:$H$5,0)+1,FALSE)+VLOOKUP($B153&amp;$E$136&amp;$G153,$E$6:$U$129,N$133,FALSE)*VLOOKUP($B153,Weighting!$D$5:$G$9,MATCH(Segmented!$E$136,Weighting!$E$5:$H$5,0)+1,FALSE)</f>
        <v>0</v>
      </c>
      <c r="O153">
        <f t="shared" si="5"/>
        <v>0</v>
      </c>
      <c r="P153" s="31">
        <f>VLOOKUP($B153&amp;$C$136&amp;$G153,$E$6:$U$129,P$133,FALSE)*VLOOKUP($B153,Weighting!$D$5:$G$9,MATCH(Segmented!$C$136,Weighting!$E$5:$H$5,0)+1,FALSE)+VLOOKUP($B153&amp;$D$136&amp;$G153,$E$6:$U$129,P$133,FALSE)*VLOOKUP($B153,Weighting!$D$5:$G$9,MATCH(Segmented!$D$136,Weighting!$E$5:$H$5,0)+1,FALSE)+VLOOKUP($B153&amp;$E$136&amp;$G153,$E$6:$U$129,P$133,FALSE)*VLOOKUP($B153,Weighting!$D$5:$G$9,MATCH(Segmented!$E$136,Weighting!$E$5:$H$5,0)+1,FALSE)</f>
        <v>0</v>
      </c>
      <c r="Q153">
        <f t="shared" si="6"/>
        <v>0</v>
      </c>
      <c r="R153" s="31">
        <f>VLOOKUP($B153&amp;$C$136&amp;$G153,$E$6:$U$129,R$133,FALSE)*VLOOKUP($B153,Weighting!$D$5:$G$9,MATCH(Segmented!$C$136,Weighting!$E$5:$H$5,0)+1,FALSE)+VLOOKUP($B153&amp;$D$136&amp;$G153,$E$6:$U$129,R$133,FALSE)*VLOOKUP($B153,Weighting!$D$5:$G$9,MATCH(Segmented!$D$136,Weighting!$E$5:$H$5,0)+1,FALSE)+VLOOKUP($B153&amp;$E$136&amp;$G153,$E$6:$U$129,R$133,FALSE)*VLOOKUP($B153,Weighting!$D$5:$G$9,MATCH(Segmented!$E$136,Weighting!$E$5:$H$5,0)+1,FALSE)</f>
        <v>0</v>
      </c>
      <c r="S153">
        <f t="shared" si="7"/>
        <v>0</v>
      </c>
      <c r="T153" s="31">
        <f>VLOOKUP($B153&amp;$C$136&amp;$G153,$E$6:$U$129,T$133,FALSE)*VLOOKUP($B153,Weighting!$D$5:$G$9,MATCH(Segmented!$C$136,Weighting!$E$5:$H$5,0)+1,FALSE)+VLOOKUP($B153&amp;$D$136&amp;$G153,$E$6:$U$129,T$133,FALSE)*VLOOKUP($B153,Weighting!$D$5:$G$9,MATCH(Segmented!$D$136,Weighting!$E$5:$H$5,0)+1,FALSE)+VLOOKUP($B153&amp;$E$136&amp;$G153,$E$6:$U$129,T$133,FALSE)*VLOOKUP($B153,Weighting!$D$5:$G$9,MATCH(Segmented!$E$136,Weighting!$E$5:$H$5,0)+1,FALSE)</f>
        <v>0</v>
      </c>
    </row>
    <row r="154" spans="2:20">
      <c r="B154" t="s">
        <v>76</v>
      </c>
      <c r="F154" s="55" t="str">
        <f t="shared" si="8"/>
        <v>ATTIC R0 - R49_Electric FAF</v>
      </c>
      <c r="G154" s="31" t="s">
        <v>66</v>
      </c>
      <c r="H154" s="31">
        <f>VLOOKUP($B154&amp;$C$136&amp;$G154,$E$6:$U$129,H$133,FALSE)*VLOOKUP($B154,Weighting!$D$5:$G$9,MATCH(Segmented!$C$136,Weighting!$E$5:$H$5,0)+1,FALSE)+VLOOKUP($B154&amp;$D$136&amp;$G154,$E$6:$U$129,H$133,FALSE)*VLOOKUP($B154,Weighting!$D$5:$G$9,MATCH(Segmented!$D$136,Weighting!$E$5:$H$5,0)+1,FALSE)+VLOOKUP($B154&amp;$E$136&amp;$G154,$E$6:$U$129,H$133,FALSE)*VLOOKUP($B154,Weighting!$D$5:$G$9,MATCH(Segmented!$E$136,Weighting!$E$5:$H$5,0)+1,FALSE)</f>
        <v>273.95772266662885</v>
      </c>
      <c r="I154">
        <f t="shared" si="3"/>
        <v>45</v>
      </c>
      <c r="J154" s="31">
        <f>VLOOKUP($B154&amp;$C$136&amp;$G154,$E$6:$U$129,J$133,FALSE)*VLOOKUP($B154,Weighting!$D$5:$G$9,MATCH(Segmented!$C$136,Weighting!$E$5:$H$5,0)+1,FALSE)+VLOOKUP($B154&amp;$D$136&amp;$G154,$E$6:$U$129,J$133,FALSE)*VLOOKUP($B154,Weighting!$D$5:$G$9,MATCH(Segmented!$D$136,Weighting!$E$5:$H$5,0)+1,FALSE)+VLOOKUP($B154&amp;$E$136&amp;$G154,$E$6:$U$129,J$133,FALSE)*VLOOKUP($B154,Weighting!$D$5:$G$9,MATCH(Segmented!$E$136,Weighting!$E$5:$H$5,0)+1,FALSE)</f>
        <v>616.64875589506175</v>
      </c>
      <c r="K154" s="31">
        <f>VLOOKUP($B154&amp;$C$136&amp;$G154,$E$6:$U$129,K$133,FALSE)*VLOOKUP($B154,Weighting!$D$5:$G$9,MATCH(Segmented!$C$136,Weighting!$E$5:$H$5,0)+1,FALSE)+VLOOKUP($B154&amp;$D$136&amp;$G154,$E$6:$U$129,K$133,FALSE)*VLOOKUP($B154,Weighting!$D$5:$G$9,MATCH(Segmented!$D$136,Weighting!$E$5:$H$5,0)+1,FALSE)+VLOOKUP($B154&amp;$E$136&amp;$G154,$E$6:$U$129,K$133,FALSE)*VLOOKUP($B154,Weighting!$D$5:$G$9,MATCH(Segmented!$E$136,Weighting!$E$5:$H$5,0)+1,FALSE)</f>
        <v>0</v>
      </c>
      <c r="L154" t="str">
        <f t="shared" si="4"/>
        <v>ResSHWX</v>
      </c>
      <c r="M154" s="31">
        <f>VLOOKUP($B154&amp;$C$136&amp;$G154,$E$6:$U$129,M$133,FALSE)*VLOOKUP($B154,Weighting!$D$5:$G$9,MATCH(Segmented!$C$136,Weighting!$E$5:$H$5,0)+1,FALSE)+VLOOKUP($B154&amp;$D$136&amp;$G154,$E$6:$U$129,M$133,FALSE)*VLOOKUP($B154,Weighting!$D$5:$G$9,MATCH(Segmented!$D$136,Weighting!$E$5:$H$5,0)+1,FALSE)+VLOOKUP($B154&amp;$E$136&amp;$G154,$E$6:$U$129,M$133,FALSE)*VLOOKUP($B154,Weighting!$D$5:$G$9,MATCH(Segmented!$E$136,Weighting!$E$5:$H$5,0)+1,FALSE)</f>
        <v>0</v>
      </c>
      <c r="N154" s="31">
        <f>VLOOKUP($B154&amp;$C$136&amp;$G154,$E$6:$U$129,N$133,FALSE)*VLOOKUP($B154,Weighting!$D$5:$G$9,MATCH(Segmented!$C$136,Weighting!$E$5:$H$5,0)+1,FALSE)+VLOOKUP($B154&amp;$D$136&amp;$G154,$E$6:$U$129,N$133,FALSE)*VLOOKUP($B154,Weighting!$D$5:$G$9,MATCH(Segmented!$D$136,Weighting!$E$5:$H$5,0)+1,FALSE)+VLOOKUP($B154&amp;$E$136&amp;$G154,$E$6:$U$129,N$133,FALSE)*VLOOKUP($B154,Weighting!$D$5:$G$9,MATCH(Segmented!$E$136,Weighting!$E$5:$H$5,0)+1,FALSE)</f>
        <v>0</v>
      </c>
      <c r="O154">
        <f t="shared" si="5"/>
        <v>0</v>
      </c>
      <c r="P154" s="31">
        <f>VLOOKUP($B154&amp;$C$136&amp;$G154,$E$6:$U$129,P$133,FALSE)*VLOOKUP($B154,Weighting!$D$5:$G$9,MATCH(Segmented!$C$136,Weighting!$E$5:$H$5,0)+1,FALSE)+VLOOKUP($B154&amp;$D$136&amp;$G154,$E$6:$U$129,P$133,FALSE)*VLOOKUP($B154,Weighting!$D$5:$G$9,MATCH(Segmented!$D$136,Weighting!$E$5:$H$5,0)+1,FALSE)+VLOOKUP($B154&amp;$E$136&amp;$G154,$E$6:$U$129,P$133,FALSE)*VLOOKUP($B154,Weighting!$D$5:$G$9,MATCH(Segmented!$E$136,Weighting!$E$5:$H$5,0)+1,FALSE)</f>
        <v>0</v>
      </c>
      <c r="Q154">
        <f t="shared" si="6"/>
        <v>0</v>
      </c>
      <c r="R154" s="31">
        <f>VLOOKUP($B154&amp;$C$136&amp;$G154,$E$6:$U$129,R$133,FALSE)*VLOOKUP($B154,Weighting!$D$5:$G$9,MATCH(Segmented!$C$136,Weighting!$E$5:$H$5,0)+1,FALSE)+VLOOKUP($B154&amp;$D$136&amp;$G154,$E$6:$U$129,R$133,FALSE)*VLOOKUP($B154,Weighting!$D$5:$G$9,MATCH(Segmented!$D$136,Weighting!$E$5:$H$5,0)+1,FALSE)+VLOOKUP($B154&amp;$E$136&amp;$G154,$E$6:$U$129,R$133,FALSE)*VLOOKUP($B154,Weighting!$D$5:$G$9,MATCH(Segmented!$E$136,Weighting!$E$5:$H$5,0)+1,FALSE)</f>
        <v>0</v>
      </c>
      <c r="S154">
        <f t="shared" si="7"/>
        <v>0</v>
      </c>
      <c r="T154" s="31">
        <f>VLOOKUP($B154&amp;$C$136&amp;$G154,$E$6:$U$129,T$133,FALSE)*VLOOKUP($B154,Weighting!$D$5:$G$9,MATCH(Segmented!$C$136,Weighting!$E$5:$H$5,0)+1,FALSE)+VLOOKUP($B154&amp;$D$136&amp;$G154,$E$6:$U$129,T$133,FALSE)*VLOOKUP($B154,Weighting!$D$5:$G$9,MATCH(Segmented!$D$136,Weighting!$E$5:$H$5,0)+1,FALSE)+VLOOKUP($B154&amp;$E$136&amp;$G154,$E$6:$U$129,T$133,FALSE)*VLOOKUP($B154,Weighting!$D$5:$G$9,MATCH(Segmented!$E$136,Weighting!$E$5:$H$5,0)+1,FALSE)</f>
        <v>0</v>
      </c>
    </row>
    <row r="155" spans="2:20">
      <c r="B155" t="s">
        <v>76</v>
      </c>
      <c r="F155" s="55" t="str">
        <f t="shared" si="8"/>
        <v>ATTIC R19 - R30_Electric FAF</v>
      </c>
      <c r="G155" s="31" t="s">
        <v>1202</v>
      </c>
      <c r="H155" s="31">
        <f>VLOOKUP($B155&amp;$C$136&amp;$G155,$E$6:$U$129,H$133,FALSE)*VLOOKUP($B155,Weighting!$D$5:$G$9,MATCH(Segmented!$C$136,Weighting!$E$5:$H$5,0)+1,FALSE)+VLOOKUP($B155&amp;$D$136&amp;$G155,$E$6:$U$129,H$133,FALSE)*VLOOKUP($B155,Weighting!$D$5:$G$9,MATCH(Segmented!$D$136,Weighting!$E$5:$H$5,0)+1,FALSE)+VLOOKUP($B155&amp;$E$136&amp;$G155,$E$6:$U$129,H$133,FALSE)*VLOOKUP($B155,Weighting!$D$5:$G$9,MATCH(Segmented!$E$136,Weighting!$E$5:$H$5,0)+1,FALSE)</f>
        <v>49.583799360863814</v>
      </c>
      <c r="I155">
        <f t="shared" si="3"/>
        <v>45</v>
      </c>
      <c r="J155" s="31">
        <f>VLOOKUP($B155&amp;$C$136&amp;$G155,$E$6:$U$129,J$133,FALSE)*VLOOKUP($B155,Weighting!$D$5:$G$9,MATCH(Segmented!$C$136,Weighting!$E$5:$H$5,0)+1,FALSE)+VLOOKUP($B155&amp;$D$136&amp;$G155,$E$6:$U$129,J$133,FALSE)*VLOOKUP($B155,Weighting!$D$5:$G$9,MATCH(Segmented!$D$136,Weighting!$E$5:$H$5,0)+1,FALSE)+VLOOKUP($B155&amp;$E$136&amp;$G155,$E$6:$U$129,J$133,FALSE)*VLOOKUP($B155,Weighting!$D$5:$G$9,MATCH(Segmented!$E$136,Weighting!$E$5:$H$5,0)+1,FALSE)</f>
        <v>138.43135336419752</v>
      </c>
      <c r="K155" s="31">
        <f>VLOOKUP($B155&amp;$C$136&amp;$G155,$E$6:$U$129,K$133,FALSE)*VLOOKUP($B155,Weighting!$D$5:$G$9,MATCH(Segmented!$C$136,Weighting!$E$5:$H$5,0)+1,FALSE)+VLOOKUP($B155&amp;$D$136&amp;$G155,$E$6:$U$129,K$133,FALSE)*VLOOKUP($B155,Weighting!$D$5:$G$9,MATCH(Segmented!$D$136,Weighting!$E$5:$H$5,0)+1,FALSE)+VLOOKUP($B155&amp;$E$136&amp;$G155,$E$6:$U$129,K$133,FALSE)*VLOOKUP($B155,Weighting!$D$5:$G$9,MATCH(Segmented!$E$136,Weighting!$E$5:$H$5,0)+1,FALSE)</f>
        <v>0</v>
      </c>
      <c r="L155" t="str">
        <f t="shared" si="4"/>
        <v>ResSHWX</v>
      </c>
      <c r="M155" s="31">
        <f>VLOOKUP($B155&amp;$C$136&amp;$G155,$E$6:$U$129,M$133,FALSE)*VLOOKUP($B155,Weighting!$D$5:$G$9,MATCH(Segmented!$C$136,Weighting!$E$5:$H$5,0)+1,FALSE)+VLOOKUP($B155&amp;$D$136&amp;$G155,$E$6:$U$129,M$133,FALSE)*VLOOKUP($B155,Weighting!$D$5:$G$9,MATCH(Segmented!$D$136,Weighting!$E$5:$H$5,0)+1,FALSE)+VLOOKUP($B155&amp;$E$136&amp;$G155,$E$6:$U$129,M$133,FALSE)*VLOOKUP($B155,Weighting!$D$5:$G$9,MATCH(Segmented!$E$136,Weighting!$E$5:$H$5,0)+1,FALSE)</f>
        <v>0</v>
      </c>
      <c r="N155" s="31">
        <f>VLOOKUP($B155&amp;$C$136&amp;$G155,$E$6:$U$129,N$133,FALSE)*VLOOKUP($B155,Weighting!$D$5:$G$9,MATCH(Segmented!$C$136,Weighting!$E$5:$H$5,0)+1,FALSE)+VLOOKUP($B155&amp;$D$136&amp;$G155,$E$6:$U$129,N$133,FALSE)*VLOOKUP($B155,Weighting!$D$5:$G$9,MATCH(Segmented!$D$136,Weighting!$E$5:$H$5,0)+1,FALSE)+VLOOKUP($B155&amp;$E$136&amp;$G155,$E$6:$U$129,N$133,FALSE)*VLOOKUP($B155,Weighting!$D$5:$G$9,MATCH(Segmented!$E$136,Weighting!$E$5:$H$5,0)+1,FALSE)</f>
        <v>0</v>
      </c>
      <c r="O155">
        <f t="shared" si="5"/>
        <v>0</v>
      </c>
      <c r="P155" s="31">
        <f>VLOOKUP($B155&amp;$C$136&amp;$G155,$E$6:$U$129,P$133,FALSE)*VLOOKUP($B155,Weighting!$D$5:$G$9,MATCH(Segmented!$C$136,Weighting!$E$5:$H$5,0)+1,FALSE)+VLOOKUP($B155&amp;$D$136&amp;$G155,$E$6:$U$129,P$133,FALSE)*VLOOKUP($B155,Weighting!$D$5:$G$9,MATCH(Segmented!$D$136,Weighting!$E$5:$H$5,0)+1,FALSE)+VLOOKUP($B155&amp;$E$136&amp;$G155,$E$6:$U$129,P$133,FALSE)*VLOOKUP($B155,Weighting!$D$5:$G$9,MATCH(Segmented!$E$136,Weighting!$E$5:$H$5,0)+1,FALSE)</f>
        <v>0</v>
      </c>
      <c r="Q155">
        <f t="shared" si="6"/>
        <v>0</v>
      </c>
      <c r="R155" s="31">
        <f>VLOOKUP($B155&amp;$C$136&amp;$G155,$E$6:$U$129,R$133,FALSE)*VLOOKUP($B155,Weighting!$D$5:$G$9,MATCH(Segmented!$C$136,Weighting!$E$5:$H$5,0)+1,FALSE)+VLOOKUP($B155&amp;$D$136&amp;$G155,$E$6:$U$129,R$133,FALSE)*VLOOKUP($B155,Weighting!$D$5:$G$9,MATCH(Segmented!$D$136,Weighting!$E$5:$H$5,0)+1,FALSE)+VLOOKUP($B155&amp;$E$136&amp;$G155,$E$6:$U$129,R$133,FALSE)*VLOOKUP($B155,Weighting!$D$5:$G$9,MATCH(Segmented!$E$136,Weighting!$E$5:$H$5,0)+1,FALSE)</f>
        <v>0</v>
      </c>
      <c r="S155">
        <f t="shared" si="7"/>
        <v>0</v>
      </c>
      <c r="T155" s="31">
        <f>VLOOKUP($B155&amp;$C$136&amp;$G155,$E$6:$U$129,T$133,FALSE)*VLOOKUP($B155,Weighting!$D$5:$G$9,MATCH(Segmented!$C$136,Weighting!$E$5:$H$5,0)+1,FALSE)+VLOOKUP($B155&amp;$D$136&amp;$G155,$E$6:$U$129,T$133,FALSE)*VLOOKUP($B155,Weighting!$D$5:$G$9,MATCH(Segmented!$D$136,Weighting!$E$5:$H$5,0)+1,FALSE)+VLOOKUP($B155&amp;$E$136&amp;$G155,$E$6:$U$129,T$133,FALSE)*VLOOKUP($B155,Weighting!$D$5:$G$9,MATCH(Segmented!$E$136,Weighting!$E$5:$H$5,0)+1,FALSE)</f>
        <v>0</v>
      </c>
    </row>
    <row r="156" spans="2:20">
      <c r="B156" t="s">
        <v>76</v>
      </c>
      <c r="F156" s="55" t="str">
        <f t="shared" si="8"/>
        <v>ATTIC R19 - R38_Electric FAF</v>
      </c>
      <c r="G156" s="31" t="s">
        <v>67</v>
      </c>
      <c r="H156" s="31">
        <f>VLOOKUP($B156&amp;$C$136&amp;$G156,$E$6:$U$129,H$133,FALSE)*VLOOKUP($B156,Weighting!$D$5:$G$9,MATCH(Segmented!$C$136,Weighting!$E$5:$H$5,0)+1,FALSE)+VLOOKUP($B156&amp;$D$136&amp;$G156,$E$6:$U$129,H$133,FALSE)*VLOOKUP($B156,Weighting!$D$5:$G$9,MATCH(Segmented!$D$136,Weighting!$E$5:$H$5,0)+1,FALSE)+VLOOKUP($B156&amp;$E$136&amp;$G156,$E$6:$U$129,H$133,FALSE)*VLOOKUP($B156,Weighting!$D$5:$G$9,MATCH(Segmented!$E$136,Weighting!$E$5:$H$5,0)+1,FALSE)</f>
        <v>68.389419897086313</v>
      </c>
      <c r="I156">
        <f t="shared" si="3"/>
        <v>45</v>
      </c>
      <c r="J156" s="31">
        <f>VLOOKUP($B156&amp;$C$136&amp;$G156,$E$6:$U$129,J$133,FALSE)*VLOOKUP($B156,Weighting!$D$5:$G$9,MATCH(Segmented!$C$136,Weighting!$E$5:$H$5,0)+1,FALSE)+VLOOKUP($B156&amp;$D$136&amp;$G156,$E$6:$U$129,J$133,FALSE)*VLOOKUP($B156,Weighting!$D$5:$G$9,MATCH(Segmented!$D$136,Weighting!$E$5:$H$5,0)+1,FALSE)+VLOOKUP($B156&amp;$E$136&amp;$G156,$E$6:$U$129,J$133,FALSE)*VLOOKUP($B156,Weighting!$D$5:$G$9,MATCH(Segmented!$E$136,Weighting!$E$5:$H$5,0)+1,FALSE)</f>
        <v>239.1087012654321</v>
      </c>
      <c r="K156" s="31">
        <f>VLOOKUP($B156&amp;$C$136&amp;$G156,$E$6:$U$129,K$133,FALSE)*VLOOKUP($B156,Weighting!$D$5:$G$9,MATCH(Segmented!$C$136,Weighting!$E$5:$H$5,0)+1,FALSE)+VLOOKUP($B156&amp;$D$136&amp;$G156,$E$6:$U$129,K$133,FALSE)*VLOOKUP($B156,Weighting!$D$5:$G$9,MATCH(Segmented!$D$136,Weighting!$E$5:$H$5,0)+1,FALSE)+VLOOKUP($B156&amp;$E$136&amp;$G156,$E$6:$U$129,K$133,FALSE)*VLOOKUP($B156,Weighting!$D$5:$G$9,MATCH(Segmented!$E$136,Weighting!$E$5:$H$5,0)+1,FALSE)</f>
        <v>0</v>
      </c>
      <c r="L156" t="str">
        <f t="shared" si="4"/>
        <v>ResSHWX</v>
      </c>
      <c r="M156" s="31">
        <f>VLOOKUP($B156&amp;$C$136&amp;$G156,$E$6:$U$129,M$133,FALSE)*VLOOKUP($B156,Weighting!$D$5:$G$9,MATCH(Segmented!$C$136,Weighting!$E$5:$H$5,0)+1,FALSE)+VLOOKUP($B156&amp;$D$136&amp;$G156,$E$6:$U$129,M$133,FALSE)*VLOOKUP($B156,Weighting!$D$5:$G$9,MATCH(Segmented!$D$136,Weighting!$E$5:$H$5,0)+1,FALSE)+VLOOKUP($B156&amp;$E$136&amp;$G156,$E$6:$U$129,M$133,FALSE)*VLOOKUP($B156,Weighting!$D$5:$G$9,MATCH(Segmented!$E$136,Weighting!$E$5:$H$5,0)+1,FALSE)</f>
        <v>0</v>
      </c>
      <c r="N156" s="31">
        <f>VLOOKUP($B156&amp;$C$136&amp;$G156,$E$6:$U$129,N$133,FALSE)*VLOOKUP($B156,Weighting!$D$5:$G$9,MATCH(Segmented!$C$136,Weighting!$E$5:$H$5,0)+1,FALSE)+VLOOKUP($B156&amp;$D$136&amp;$G156,$E$6:$U$129,N$133,FALSE)*VLOOKUP($B156,Weighting!$D$5:$G$9,MATCH(Segmented!$D$136,Weighting!$E$5:$H$5,0)+1,FALSE)+VLOOKUP($B156&amp;$E$136&amp;$G156,$E$6:$U$129,N$133,FALSE)*VLOOKUP($B156,Weighting!$D$5:$G$9,MATCH(Segmented!$E$136,Weighting!$E$5:$H$5,0)+1,FALSE)</f>
        <v>0</v>
      </c>
      <c r="O156">
        <f t="shared" si="5"/>
        <v>0</v>
      </c>
      <c r="P156" s="31">
        <f>VLOOKUP($B156&amp;$C$136&amp;$G156,$E$6:$U$129,P$133,FALSE)*VLOOKUP($B156,Weighting!$D$5:$G$9,MATCH(Segmented!$C$136,Weighting!$E$5:$H$5,0)+1,FALSE)+VLOOKUP($B156&amp;$D$136&amp;$G156,$E$6:$U$129,P$133,FALSE)*VLOOKUP($B156,Weighting!$D$5:$G$9,MATCH(Segmented!$D$136,Weighting!$E$5:$H$5,0)+1,FALSE)+VLOOKUP($B156&amp;$E$136&amp;$G156,$E$6:$U$129,P$133,FALSE)*VLOOKUP($B156,Weighting!$D$5:$G$9,MATCH(Segmented!$E$136,Weighting!$E$5:$H$5,0)+1,FALSE)</f>
        <v>0</v>
      </c>
      <c r="Q156">
        <f t="shared" si="6"/>
        <v>0</v>
      </c>
      <c r="R156" s="31">
        <f>VLOOKUP($B156&amp;$C$136&amp;$G156,$E$6:$U$129,R$133,FALSE)*VLOOKUP($B156,Weighting!$D$5:$G$9,MATCH(Segmented!$C$136,Weighting!$E$5:$H$5,0)+1,FALSE)+VLOOKUP($B156&amp;$D$136&amp;$G156,$E$6:$U$129,R$133,FALSE)*VLOOKUP($B156,Weighting!$D$5:$G$9,MATCH(Segmented!$D$136,Weighting!$E$5:$H$5,0)+1,FALSE)+VLOOKUP($B156&amp;$E$136&amp;$G156,$E$6:$U$129,R$133,FALSE)*VLOOKUP($B156,Weighting!$D$5:$G$9,MATCH(Segmented!$E$136,Weighting!$E$5:$H$5,0)+1,FALSE)</f>
        <v>0</v>
      </c>
      <c r="S156">
        <f t="shared" si="7"/>
        <v>0</v>
      </c>
      <c r="T156" s="31">
        <f>VLOOKUP($B156&amp;$C$136&amp;$G156,$E$6:$U$129,T$133,FALSE)*VLOOKUP($B156,Weighting!$D$5:$G$9,MATCH(Segmented!$C$136,Weighting!$E$5:$H$5,0)+1,FALSE)+VLOOKUP($B156&amp;$D$136&amp;$G156,$E$6:$U$129,T$133,FALSE)*VLOOKUP($B156,Weighting!$D$5:$G$9,MATCH(Segmented!$D$136,Weighting!$E$5:$H$5,0)+1,FALSE)+VLOOKUP($B156&amp;$E$136&amp;$G156,$E$6:$U$129,T$133,FALSE)*VLOOKUP($B156,Weighting!$D$5:$G$9,MATCH(Segmented!$E$136,Weighting!$E$5:$H$5,0)+1,FALSE)</f>
        <v>0</v>
      </c>
    </row>
    <row r="157" spans="2:20">
      <c r="B157" t="s">
        <v>76</v>
      </c>
      <c r="F157" s="55" t="str">
        <f t="shared" si="8"/>
        <v>ATTIC R19 - R49_Electric FAF</v>
      </c>
      <c r="G157" s="31" t="s">
        <v>68</v>
      </c>
      <c r="H157" s="31">
        <f>VLOOKUP($B157&amp;$C$136&amp;$G157,$E$6:$U$129,H$133,FALSE)*VLOOKUP($B157,Weighting!$D$5:$G$9,MATCH(Segmented!$C$136,Weighting!$E$5:$H$5,0)+1,FALSE)+VLOOKUP($B157&amp;$D$136&amp;$G157,$E$6:$U$129,H$133,FALSE)*VLOOKUP($B157,Weighting!$D$5:$G$9,MATCH(Segmented!$D$136,Weighting!$E$5:$H$5,0)+1,FALSE)+VLOOKUP($B157&amp;$E$136&amp;$G157,$E$6:$U$129,H$133,FALSE)*VLOOKUP($B157,Weighting!$D$5:$G$9,MATCH(Segmented!$E$136,Weighting!$E$5:$H$5,0)+1,FALSE)</f>
        <v>84.208503060856287</v>
      </c>
      <c r="I157">
        <f t="shared" si="3"/>
        <v>45</v>
      </c>
      <c r="J157" s="31">
        <f>VLOOKUP($B157&amp;$C$136&amp;$G157,$E$6:$U$129,J$133,FALSE)*VLOOKUP($B157,Weighting!$D$5:$G$9,MATCH(Segmented!$C$136,Weighting!$E$5:$H$5,0)+1,FALSE)+VLOOKUP($B157&amp;$D$136&amp;$G157,$E$6:$U$129,J$133,FALSE)*VLOOKUP($B157,Weighting!$D$5:$G$9,MATCH(Segmented!$D$136,Weighting!$E$5:$H$5,0)+1,FALSE)+VLOOKUP($B157&amp;$E$136&amp;$G157,$E$6:$U$129,J$133,FALSE)*VLOOKUP($B157,Weighting!$D$5:$G$9,MATCH(Segmented!$E$136,Weighting!$E$5:$H$5,0)+1,FALSE)</f>
        <v>377.54005462962965</v>
      </c>
      <c r="K157" s="31">
        <f>VLOOKUP($B157&amp;$C$136&amp;$G157,$E$6:$U$129,K$133,FALSE)*VLOOKUP($B157,Weighting!$D$5:$G$9,MATCH(Segmented!$C$136,Weighting!$E$5:$H$5,0)+1,FALSE)+VLOOKUP($B157&amp;$D$136&amp;$G157,$E$6:$U$129,K$133,FALSE)*VLOOKUP($B157,Weighting!$D$5:$G$9,MATCH(Segmented!$D$136,Weighting!$E$5:$H$5,0)+1,FALSE)+VLOOKUP($B157&amp;$E$136&amp;$G157,$E$6:$U$129,K$133,FALSE)*VLOOKUP($B157,Weighting!$D$5:$G$9,MATCH(Segmented!$E$136,Weighting!$E$5:$H$5,0)+1,FALSE)</f>
        <v>0</v>
      </c>
      <c r="L157" t="str">
        <f t="shared" si="4"/>
        <v>ResSHWX</v>
      </c>
      <c r="M157" s="31">
        <f>VLOOKUP($B157&amp;$C$136&amp;$G157,$E$6:$U$129,M$133,FALSE)*VLOOKUP($B157,Weighting!$D$5:$G$9,MATCH(Segmented!$C$136,Weighting!$E$5:$H$5,0)+1,FALSE)+VLOOKUP($B157&amp;$D$136&amp;$G157,$E$6:$U$129,M$133,FALSE)*VLOOKUP($B157,Weighting!$D$5:$G$9,MATCH(Segmented!$D$136,Weighting!$E$5:$H$5,0)+1,FALSE)+VLOOKUP($B157&amp;$E$136&amp;$G157,$E$6:$U$129,M$133,FALSE)*VLOOKUP($B157,Weighting!$D$5:$G$9,MATCH(Segmented!$E$136,Weighting!$E$5:$H$5,0)+1,FALSE)</f>
        <v>0</v>
      </c>
      <c r="N157" s="31">
        <f>VLOOKUP($B157&amp;$C$136&amp;$G157,$E$6:$U$129,N$133,FALSE)*VLOOKUP($B157,Weighting!$D$5:$G$9,MATCH(Segmented!$C$136,Weighting!$E$5:$H$5,0)+1,FALSE)+VLOOKUP($B157&amp;$D$136&amp;$G157,$E$6:$U$129,N$133,FALSE)*VLOOKUP($B157,Weighting!$D$5:$G$9,MATCH(Segmented!$D$136,Weighting!$E$5:$H$5,0)+1,FALSE)+VLOOKUP($B157&amp;$E$136&amp;$G157,$E$6:$U$129,N$133,FALSE)*VLOOKUP($B157,Weighting!$D$5:$G$9,MATCH(Segmented!$E$136,Weighting!$E$5:$H$5,0)+1,FALSE)</f>
        <v>0</v>
      </c>
      <c r="O157">
        <f t="shared" si="5"/>
        <v>0</v>
      </c>
      <c r="P157" s="31">
        <f>VLOOKUP($B157&amp;$C$136&amp;$G157,$E$6:$U$129,P$133,FALSE)*VLOOKUP($B157,Weighting!$D$5:$G$9,MATCH(Segmented!$C$136,Weighting!$E$5:$H$5,0)+1,FALSE)+VLOOKUP($B157&amp;$D$136&amp;$G157,$E$6:$U$129,P$133,FALSE)*VLOOKUP($B157,Weighting!$D$5:$G$9,MATCH(Segmented!$D$136,Weighting!$E$5:$H$5,0)+1,FALSE)+VLOOKUP($B157&amp;$E$136&amp;$G157,$E$6:$U$129,P$133,FALSE)*VLOOKUP($B157,Weighting!$D$5:$G$9,MATCH(Segmented!$E$136,Weighting!$E$5:$H$5,0)+1,FALSE)</f>
        <v>0</v>
      </c>
      <c r="Q157">
        <f t="shared" si="6"/>
        <v>0</v>
      </c>
      <c r="R157" s="31">
        <f>VLOOKUP($B157&amp;$C$136&amp;$G157,$E$6:$U$129,R$133,FALSE)*VLOOKUP($B157,Weighting!$D$5:$G$9,MATCH(Segmented!$C$136,Weighting!$E$5:$H$5,0)+1,FALSE)+VLOOKUP($B157&amp;$D$136&amp;$G157,$E$6:$U$129,R$133,FALSE)*VLOOKUP($B157,Weighting!$D$5:$G$9,MATCH(Segmented!$D$136,Weighting!$E$5:$H$5,0)+1,FALSE)+VLOOKUP($B157&amp;$E$136&amp;$G157,$E$6:$U$129,R$133,FALSE)*VLOOKUP($B157,Weighting!$D$5:$G$9,MATCH(Segmented!$E$136,Weighting!$E$5:$H$5,0)+1,FALSE)</f>
        <v>0</v>
      </c>
      <c r="S157">
        <f t="shared" si="7"/>
        <v>0</v>
      </c>
      <c r="T157" s="31">
        <f>VLOOKUP($B157&amp;$C$136&amp;$G157,$E$6:$U$129,T$133,FALSE)*VLOOKUP($B157,Weighting!$D$5:$G$9,MATCH(Segmented!$C$136,Weighting!$E$5:$H$5,0)+1,FALSE)+VLOOKUP($B157&amp;$D$136&amp;$G157,$E$6:$U$129,T$133,FALSE)*VLOOKUP($B157,Weighting!$D$5:$G$9,MATCH(Segmented!$D$136,Weighting!$E$5:$H$5,0)+1,FALSE)+VLOOKUP($B157&amp;$E$136&amp;$G157,$E$6:$U$129,T$133,FALSE)*VLOOKUP($B157,Weighting!$D$5:$G$9,MATCH(Segmented!$E$136,Weighting!$E$5:$H$5,0)+1,FALSE)</f>
        <v>0</v>
      </c>
    </row>
    <row r="158" spans="2:20">
      <c r="B158" t="s">
        <v>76</v>
      </c>
      <c r="F158" s="55" t="str">
        <f t="shared" si="8"/>
        <v>WINDOW CL22 Prime Window Replacement of Single Pane Base_Electric FAF</v>
      </c>
      <c r="G158" s="31" t="s">
        <v>74</v>
      </c>
      <c r="H158" s="31">
        <f>VLOOKUP($B158&amp;$C$136&amp;$G158,$E$6:$U$129,H$133,FALSE)*VLOOKUP($B158,Weighting!$D$5:$G$9,MATCH(Segmented!$C$136,Weighting!$E$5:$H$5,0)+1,FALSE)+VLOOKUP($B158&amp;$D$136&amp;$G158,$E$6:$U$129,H$133,FALSE)*VLOOKUP($B158,Weighting!$D$5:$G$9,MATCH(Segmented!$D$136,Weighting!$E$5:$H$5,0)+1,FALSE)+VLOOKUP($B158&amp;$E$136&amp;$G158,$E$6:$U$129,H$133,FALSE)*VLOOKUP($B158,Weighting!$D$5:$G$9,MATCH(Segmented!$E$136,Weighting!$E$5:$H$5,0)+1,FALSE)</f>
        <v>4065.806191421078</v>
      </c>
      <c r="I158">
        <f t="shared" si="3"/>
        <v>45</v>
      </c>
      <c r="J158" s="31">
        <f>VLOOKUP($B158&amp;$C$136&amp;$G158,$E$6:$U$129,J$133,FALSE)*VLOOKUP($B158,Weighting!$D$5:$G$9,MATCH(Segmented!$C$136,Weighting!$E$5:$H$5,0)+1,FALSE)+VLOOKUP($B158&amp;$D$136&amp;$G158,$E$6:$U$129,J$133,FALSE)*VLOOKUP($B158,Weighting!$D$5:$G$9,MATCH(Segmented!$D$136,Weighting!$E$5:$H$5,0)+1,FALSE)+VLOOKUP($B158&amp;$E$136&amp;$G158,$E$6:$U$129,J$133,FALSE)*VLOOKUP($B158,Weighting!$D$5:$G$9,MATCH(Segmented!$E$136,Weighting!$E$5:$H$5,0)+1,FALSE)</f>
        <v>4101.7368570659019</v>
      </c>
      <c r="K158" s="31">
        <f>VLOOKUP($B158&amp;$C$136&amp;$G158,$E$6:$U$129,K$133,FALSE)*VLOOKUP($B158,Weighting!$D$5:$G$9,MATCH(Segmented!$C$136,Weighting!$E$5:$H$5,0)+1,FALSE)+VLOOKUP($B158&amp;$D$136&amp;$G158,$E$6:$U$129,K$133,FALSE)*VLOOKUP($B158,Weighting!$D$5:$G$9,MATCH(Segmented!$D$136,Weighting!$E$5:$H$5,0)+1,FALSE)+VLOOKUP($B158&amp;$E$136&amp;$G158,$E$6:$U$129,K$133,FALSE)*VLOOKUP($B158,Weighting!$D$5:$G$9,MATCH(Segmented!$E$136,Weighting!$E$5:$H$5,0)+1,FALSE)</f>
        <v>0</v>
      </c>
      <c r="L158" t="str">
        <f t="shared" si="4"/>
        <v>ResSHWX</v>
      </c>
      <c r="M158" s="31">
        <f>VLOOKUP($B158&amp;$C$136&amp;$G158,$E$6:$U$129,M$133,FALSE)*VLOOKUP($B158,Weighting!$D$5:$G$9,MATCH(Segmented!$C$136,Weighting!$E$5:$H$5,0)+1,FALSE)+VLOOKUP($B158&amp;$D$136&amp;$G158,$E$6:$U$129,M$133,FALSE)*VLOOKUP($B158,Weighting!$D$5:$G$9,MATCH(Segmented!$D$136,Weighting!$E$5:$H$5,0)+1,FALSE)+VLOOKUP($B158&amp;$E$136&amp;$G158,$E$6:$U$129,M$133,FALSE)*VLOOKUP($B158,Weighting!$D$5:$G$9,MATCH(Segmented!$E$136,Weighting!$E$5:$H$5,0)+1,FALSE)</f>
        <v>0</v>
      </c>
      <c r="N158" s="31">
        <f>VLOOKUP($B158&amp;$C$136&amp;$G158,$E$6:$U$129,N$133,FALSE)*VLOOKUP($B158,Weighting!$D$5:$G$9,MATCH(Segmented!$C$136,Weighting!$E$5:$H$5,0)+1,FALSE)+VLOOKUP($B158&amp;$D$136&amp;$G158,$E$6:$U$129,N$133,FALSE)*VLOOKUP($B158,Weighting!$D$5:$G$9,MATCH(Segmented!$D$136,Weighting!$E$5:$H$5,0)+1,FALSE)+VLOOKUP($B158&amp;$E$136&amp;$G158,$E$6:$U$129,N$133,FALSE)*VLOOKUP($B158,Weighting!$D$5:$G$9,MATCH(Segmented!$E$136,Weighting!$E$5:$H$5,0)+1,FALSE)</f>
        <v>0</v>
      </c>
      <c r="O158">
        <f t="shared" si="5"/>
        <v>0</v>
      </c>
      <c r="P158" s="31">
        <f>VLOOKUP($B158&amp;$C$136&amp;$G158,$E$6:$U$129,P$133,FALSE)*VLOOKUP($B158,Weighting!$D$5:$G$9,MATCH(Segmented!$C$136,Weighting!$E$5:$H$5,0)+1,FALSE)+VLOOKUP($B158&amp;$D$136&amp;$G158,$E$6:$U$129,P$133,FALSE)*VLOOKUP($B158,Weighting!$D$5:$G$9,MATCH(Segmented!$D$136,Weighting!$E$5:$H$5,0)+1,FALSE)+VLOOKUP($B158&amp;$E$136&amp;$G158,$E$6:$U$129,P$133,FALSE)*VLOOKUP($B158,Weighting!$D$5:$G$9,MATCH(Segmented!$E$136,Weighting!$E$5:$H$5,0)+1,FALSE)</f>
        <v>0</v>
      </c>
      <c r="Q158">
        <f t="shared" si="6"/>
        <v>0</v>
      </c>
      <c r="R158" s="31">
        <f>VLOOKUP($B158&amp;$C$136&amp;$G158,$E$6:$U$129,R$133,FALSE)*VLOOKUP($B158,Weighting!$D$5:$G$9,MATCH(Segmented!$C$136,Weighting!$E$5:$H$5,0)+1,FALSE)+VLOOKUP($B158&amp;$D$136&amp;$G158,$E$6:$U$129,R$133,FALSE)*VLOOKUP($B158,Weighting!$D$5:$G$9,MATCH(Segmented!$D$136,Weighting!$E$5:$H$5,0)+1,FALSE)+VLOOKUP($B158&amp;$E$136&amp;$G158,$E$6:$U$129,R$133,FALSE)*VLOOKUP($B158,Weighting!$D$5:$G$9,MATCH(Segmented!$E$136,Weighting!$E$5:$H$5,0)+1,FALSE)</f>
        <v>0</v>
      </c>
      <c r="S158">
        <f t="shared" si="7"/>
        <v>0</v>
      </c>
      <c r="T158" s="31">
        <f>VLOOKUP($B158&amp;$C$136&amp;$G158,$E$6:$U$129,T$133,FALSE)*VLOOKUP($B158,Weighting!$D$5:$G$9,MATCH(Segmented!$C$136,Weighting!$E$5:$H$5,0)+1,FALSE)+VLOOKUP($B158&amp;$D$136&amp;$G158,$E$6:$U$129,T$133,FALSE)*VLOOKUP($B158,Weighting!$D$5:$G$9,MATCH(Segmented!$D$136,Weighting!$E$5:$H$5,0)+1,FALSE)+VLOOKUP($B158&amp;$E$136&amp;$G158,$E$6:$U$129,T$133,FALSE)*VLOOKUP($B158,Weighting!$D$5:$G$9,MATCH(Segmented!$E$136,Weighting!$E$5:$H$5,0)+1,FALSE)</f>
        <v>0</v>
      </c>
    </row>
    <row r="159" spans="2:20">
      <c r="B159" t="s">
        <v>76</v>
      </c>
      <c r="F159" s="55" t="str">
        <f t="shared" si="8"/>
        <v>WINDOW CL22 Prime Window Replacement of Double Pane Base_Electric FAF</v>
      </c>
      <c r="G159" s="31" t="s">
        <v>75</v>
      </c>
      <c r="H159" s="31">
        <f>VLOOKUP($B159&amp;$C$136&amp;$G159,$E$6:$U$129,H$133,FALSE)*VLOOKUP($B159,Weighting!$D$5:$G$9,MATCH(Segmented!$C$136,Weighting!$E$5:$H$5,0)+1,FALSE)+VLOOKUP($B159&amp;$D$136&amp;$G159,$E$6:$U$129,H$133,FALSE)*VLOOKUP($B159,Weighting!$D$5:$G$9,MATCH(Segmented!$D$136,Weighting!$E$5:$H$5,0)+1,FALSE)+VLOOKUP($B159&amp;$E$136&amp;$G159,$E$6:$U$129,H$133,FALSE)*VLOOKUP($B159,Weighting!$D$5:$G$9,MATCH(Segmented!$E$136,Weighting!$E$5:$H$5,0)+1,FALSE)</f>
        <v>2379.0578507099417</v>
      </c>
      <c r="I159">
        <f t="shared" si="3"/>
        <v>45</v>
      </c>
      <c r="J159" s="31">
        <f>VLOOKUP($B159&amp;$C$136&amp;$G159,$E$6:$U$129,J$133,FALSE)*VLOOKUP($B159,Weighting!$D$5:$G$9,MATCH(Segmented!$C$136,Weighting!$E$5:$H$5,0)+1,FALSE)+VLOOKUP($B159&amp;$D$136&amp;$G159,$E$6:$U$129,J$133,FALSE)*VLOOKUP($B159,Weighting!$D$5:$G$9,MATCH(Segmented!$D$136,Weighting!$E$5:$H$5,0)+1,FALSE)+VLOOKUP($B159&amp;$E$136&amp;$G159,$E$6:$U$129,J$133,FALSE)*VLOOKUP($B159,Weighting!$D$5:$G$9,MATCH(Segmented!$E$136,Weighting!$E$5:$H$5,0)+1,FALSE)</f>
        <v>4101.7368570659019</v>
      </c>
      <c r="K159" s="31">
        <f>VLOOKUP($B159&amp;$C$136&amp;$G159,$E$6:$U$129,K$133,FALSE)*VLOOKUP($B159,Weighting!$D$5:$G$9,MATCH(Segmented!$C$136,Weighting!$E$5:$H$5,0)+1,FALSE)+VLOOKUP($B159&amp;$D$136&amp;$G159,$E$6:$U$129,K$133,FALSE)*VLOOKUP($B159,Weighting!$D$5:$G$9,MATCH(Segmented!$D$136,Weighting!$E$5:$H$5,0)+1,FALSE)+VLOOKUP($B159&amp;$E$136&amp;$G159,$E$6:$U$129,K$133,FALSE)*VLOOKUP($B159,Weighting!$D$5:$G$9,MATCH(Segmented!$E$136,Weighting!$E$5:$H$5,0)+1,FALSE)</f>
        <v>0</v>
      </c>
      <c r="L159" t="str">
        <f t="shared" si="4"/>
        <v>ResSHWX</v>
      </c>
      <c r="M159" s="31">
        <f>VLOOKUP($B159&amp;$C$136&amp;$G159,$E$6:$U$129,M$133,FALSE)*VLOOKUP($B159,Weighting!$D$5:$G$9,MATCH(Segmented!$C$136,Weighting!$E$5:$H$5,0)+1,FALSE)+VLOOKUP($B159&amp;$D$136&amp;$G159,$E$6:$U$129,M$133,FALSE)*VLOOKUP($B159,Weighting!$D$5:$G$9,MATCH(Segmented!$D$136,Weighting!$E$5:$H$5,0)+1,FALSE)+VLOOKUP($B159&amp;$E$136&amp;$G159,$E$6:$U$129,M$133,FALSE)*VLOOKUP($B159,Weighting!$D$5:$G$9,MATCH(Segmented!$E$136,Weighting!$E$5:$H$5,0)+1,FALSE)</f>
        <v>0</v>
      </c>
      <c r="N159" s="31">
        <f>VLOOKUP($B159&amp;$C$136&amp;$G159,$E$6:$U$129,N$133,FALSE)*VLOOKUP($B159,Weighting!$D$5:$G$9,MATCH(Segmented!$C$136,Weighting!$E$5:$H$5,0)+1,FALSE)+VLOOKUP($B159&amp;$D$136&amp;$G159,$E$6:$U$129,N$133,FALSE)*VLOOKUP($B159,Weighting!$D$5:$G$9,MATCH(Segmented!$D$136,Weighting!$E$5:$H$5,0)+1,FALSE)+VLOOKUP($B159&amp;$E$136&amp;$G159,$E$6:$U$129,N$133,FALSE)*VLOOKUP($B159,Weighting!$D$5:$G$9,MATCH(Segmented!$E$136,Weighting!$E$5:$H$5,0)+1,FALSE)</f>
        <v>0</v>
      </c>
      <c r="O159">
        <f t="shared" si="5"/>
        <v>0</v>
      </c>
      <c r="P159" s="31">
        <f>VLOOKUP($B159&amp;$C$136&amp;$G159,$E$6:$U$129,P$133,FALSE)*VLOOKUP($B159,Weighting!$D$5:$G$9,MATCH(Segmented!$C$136,Weighting!$E$5:$H$5,0)+1,FALSE)+VLOOKUP($B159&amp;$D$136&amp;$G159,$E$6:$U$129,P$133,FALSE)*VLOOKUP($B159,Weighting!$D$5:$G$9,MATCH(Segmented!$D$136,Weighting!$E$5:$H$5,0)+1,FALSE)+VLOOKUP($B159&amp;$E$136&amp;$G159,$E$6:$U$129,P$133,FALSE)*VLOOKUP($B159,Weighting!$D$5:$G$9,MATCH(Segmented!$E$136,Weighting!$E$5:$H$5,0)+1,FALSE)</f>
        <v>0</v>
      </c>
      <c r="Q159">
        <f t="shared" si="6"/>
        <v>0</v>
      </c>
      <c r="R159" s="31">
        <f>VLOOKUP($B159&amp;$C$136&amp;$G159,$E$6:$U$129,R$133,FALSE)*VLOOKUP($B159,Weighting!$D$5:$G$9,MATCH(Segmented!$C$136,Weighting!$E$5:$H$5,0)+1,FALSE)+VLOOKUP($B159&amp;$D$136&amp;$G159,$E$6:$U$129,R$133,FALSE)*VLOOKUP($B159,Weighting!$D$5:$G$9,MATCH(Segmented!$D$136,Weighting!$E$5:$H$5,0)+1,FALSE)+VLOOKUP($B159&amp;$E$136&amp;$G159,$E$6:$U$129,R$133,FALSE)*VLOOKUP($B159,Weighting!$D$5:$G$9,MATCH(Segmented!$E$136,Weighting!$E$5:$H$5,0)+1,FALSE)</f>
        <v>0</v>
      </c>
      <c r="S159">
        <f t="shared" si="7"/>
        <v>0</v>
      </c>
      <c r="T159" s="31">
        <f>VLOOKUP($B159&amp;$C$136&amp;$G159,$E$6:$U$129,T$133,FALSE)*VLOOKUP($B159,Weighting!$D$5:$G$9,MATCH(Segmented!$C$136,Weighting!$E$5:$H$5,0)+1,FALSE)+VLOOKUP($B159&amp;$D$136&amp;$G159,$E$6:$U$129,T$133,FALSE)*VLOOKUP($B159,Weighting!$D$5:$G$9,MATCH(Segmented!$D$136,Weighting!$E$5:$H$5,0)+1,FALSE)+VLOOKUP($B159&amp;$E$136&amp;$G159,$E$6:$U$129,T$133,FALSE)*VLOOKUP($B159,Weighting!$D$5:$G$9,MATCH(Segmented!$E$136,Weighting!$E$5:$H$5,0)+1,FALSE)</f>
        <v>0</v>
      </c>
    </row>
    <row r="160" spans="2:20">
      <c r="B160" t="s">
        <v>76</v>
      </c>
      <c r="F160" s="55" t="str">
        <f t="shared" si="8"/>
        <v>WINDOW CL30 Prime Window Replacement of Single Pane Base_Electric FAF</v>
      </c>
      <c r="G160" s="31" t="s">
        <v>72</v>
      </c>
      <c r="H160" s="31">
        <f>VLOOKUP($B160&amp;$C$136&amp;$G160,$E$6:$U$129,H$133,FALSE)*VLOOKUP($B160,Weighting!$D$5:$G$9,MATCH(Segmented!$C$136,Weighting!$E$5:$H$5,0)+1,FALSE)+VLOOKUP($B160&amp;$D$136&amp;$G160,$E$6:$U$129,H$133,FALSE)*VLOOKUP($B160,Weighting!$D$5:$G$9,MATCH(Segmented!$D$136,Weighting!$E$5:$H$5,0)+1,FALSE)+VLOOKUP($B160&amp;$E$136&amp;$G160,$E$6:$U$129,H$133,FALSE)*VLOOKUP($B160,Weighting!$D$5:$G$9,MATCH(Segmented!$E$136,Weighting!$E$5:$H$5,0)+1,FALSE)</f>
        <v>3743.6189487666979</v>
      </c>
      <c r="I160">
        <f t="shared" si="3"/>
        <v>45</v>
      </c>
      <c r="J160" s="31">
        <f>VLOOKUP($B160&amp;$C$136&amp;$G160,$E$6:$U$129,J$133,FALSE)*VLOOKUP($B160,Weighting!$D$5:$G$9,MATCH(Segmented!$C$136,Weighting!$E$5:$H$5,0)+1,FALSE)+VLOOKUP($B160&amp;$D$136&amp;$G160,$E$6:$U$129,J$133,FALSE)*VLOOKUP($B160,Weighting!$D$5:$G$9,MATCH(Segmented!$D$136,Weighting!$E$5:$H$5,0)+1,FALSE)+VLOOKUP($B160&amp;$E$136&amp;$G160,$E$6:$U$129,J$133,FALSE)*VLOOKUP($B160,Weighting!$D$5:$G$9,MATCH(Segmented!$E$136,Weighting!$E$5:$H$5,0)+1,FALSE)</f>
        <v>3865.0968570659024</v>
      </c>
      <c r="K160" s="31">
        <f>VLOOKUP($B160&amp;$C$136&amp;$G160,$E$6:$U$129,K$133,FALSE)*VLOOKUP($B160,Weighting!$D$5:$G$9,MATCH(Segmented!$C$136,Weighting!$E$5:$H$5,0)+1,FALSE)+VLOOKUP($B160&amp;$D$136&amp;$G160,$E$6:$U$129,K$133,FALSE)*VLOOKUP($B160,Weighting!$D$5:$G$9,MATCH(Segmented!$D$136,Weighting!$E$5:$H$5,0)+1,FALSE)+VLOOKUP($B160&amp;$E$136&amp;$G160,$E$6:$U$129,K$133,FALSE)*VLOOKUP($B160,Weighting!$D$5:$G$9,MATCH(Segmented!$E$136,Weighting!$E$5:$H$5,0)+1,FALSE)</f>
        <v>0</v>
      </c>
      <c r="L160" t="str">
        <f t="shared" si="4"/>
        <v>ResSHWX</v>
      </c>
      <c r="M160" s="31">
        <f>VLOOKUP($B160&amp;$C$136&amp;$G160,$E$6:$U$129,M$133,FALSE)*VLOOKUP($B160,Weighting!$D$5:$G$9,MATCH(Segmented!$C$136,Weighting!$E$5:$H$5,0)+1,FALSE)+VLOOKUP($B160&amp;$D$136&amp;$G160,$E$6:$U$129,M$133,FALSE)*VLOOKUP($B160,Weighting!$D$5:$G$9,MATCH(Segmented!$D$136,Weighting!$E$5:$H$5,0)+1,FALSE)+VLOOKUP($B160&amp;$E$136&amp;$G160,$E$6:$U$129,M$133,FALSE)*VLOOKUP($B160,Weighting!$D$5:$G$9,MATCH(Segmented!$E$136,Weighting!$E$5:$H$5,0)+1,FALSE)</f>
        <v>0</v>
      </c>
      <c r="N160" s="31">
        <f>VLOOKUP($B160&amp;$C$136&amp;$G160,$E$6:$U$129,N$133,FALSE)*VLOOKUP($B160,Weighting!$D$5:$G$9,MATCH(Segmented!$C$136,Weighting!$E$5:$H$5,0)+1,FALSE)+VLOOKUP($B160&amp;$D$136&amp;$G160,$E$6:$U$129,N$133,FALSE)*VLOOKUP($B160,Weighting!$D$5:$G$9,MATCH(Segmented!$D$136,Weighting!$E$5:$H$5,0)+1,FALSE)+VLOOKUP($B160&amp;$E$136&amp;$G160,$E$6:$U$129,N$133,FALSE)*VLOOKUP($B160,Weighting!$D$5:$G$9,MATCH(Segmented!$E$136,Weighting!$E$5:$H$5,0)+1,FALSE)</f>
        <v>0</v>
      </c>
      <c r="O160">
        <f t="shared" si="5"/>
        <v>0</v>
      </c>
      <c r="P160" s="31">
        <f>VLOOKUP($B160&amp;$C$136&amp;$G160,$E$6:$U$129,P$133,FALSE)*VLOOKUP($B160,Weighting!$D$5:$G$9,MATCH(Segmented!$C$136,Weighting!$E$5:$H$5,0)+1,FALSE)+VLOOKUP($B160&amp;$D$136&amp;$G160,$E$6:$U$129,P$133,FALSE)*VLOOKUP($B160,Weighting!$D$5:$G$9,MATCH(Segmented!$D$136,Weighting!$E$5:$H$5,0)+1,FALSE)+VLOOKUP($B160&amp;$E$136&amp;$G160,$E$6:$U$129,P$133,FALSE)*VLOOKUP($B160,Weighting!$D$5:$G$9,MATCH(Segmented!$E$136,Weighting!$E$5:$H$5,0)+1,FALSE)</f>
        <v>0</v>
      </c>
      <c r="Q160">
        <f t="shared" si="6"/>
        <v>0</v>
      </c>
      <c r="R160" s="31">
        <f>VLOOKUP($B160&amp;$C$136&amp;$G160,$E$6:$U$129,R$133,FALSE)*VLOOKUP($B160,Weighting!$D$5:$G$9,MATCH(Segmented!$C$136,Weighting!$E$5:$H$5,0)+1,FALSE)+VLOOKUP($B160&amp;$D$136&amp;$G160,$E$6:$U$129,R$133,FALSE)*VLOOKUP($B160,Weighting!$D$5:$G$9,MATCH(Segmented!$D$136,Weighting!$E$5:$H$5,0)+1,FALSE)+VLOOKUP($B160&amp;$E$136&amp;$G160,$E$6:$U$129,R$133,FALSE)*VLOOKUP($B160,Weighting!$D$5:$G$9,MATCH(Segmented!$E$136,Weighting!$E$5:$H$5,0)+1,FALSE)</f>
        <v>0</v>
      </c>
      <c r="S160">
        <f t="shared" si="7"/>
        <v>0</v>
      </c>
      <c r="T160" s="31">
        <f>VLOOKUP($B160&amp;$C$136&amp;$G160,$E$6:$U$129,T$133,FALSE)*VLOOKUP($B160,Weighting!$D$5:$G$9,MATCH(Segmented!$C$136,Weighting!$E$5:$H$5,0)+1,FALSE)+VLOOKUP($B160&amp;$D$136&amp;$G160,$E$6:$U$129,T$133,FALSE)*VLOOKUP($B160,Weighting!$D$5:$G$9,MATCH(Segmented!$D$136,Weighting!$E$5:$H$5,0)+1,FALSE)+VLOOKUP($B160&amp;$E$136&amp;$G160,$E$6:$U$129,T$133,FALSE)*VLOOKUP($B160,Weighting!$D$5:$G$9,MATCH(Segmented!$E$136,Weighting!$E$5:$H$5,0)+1,FALSE)</f>
        <v>0</v>
      </c>
    </row>
    <row r="161" spans="2:20">
      <c r="B161" t="s">
        <v>76</v>
      </c>
      <c r="F161" s="55" t="str">
        <f t="shared" si="8"/>
        <v>WINDOW CL30 Prime Window Replacement of Double Pane Base_Electric FAF</v>
      </c>
      <c r="G161" s="31" t="s">
        <v>73</v>
      </c>
      <c r="H161" s="31">
        <f>VLOOKUP($B161&amp;$C$136&amp;$G161,$E$6:$U$129,H$133,FALSE)*VLOOKUP($B161,Weighting!$D$5:$G$9,MATCH(Segmented!$C$136,Weighting!$E$5:$H$5,0)+1,FALSE)+VLOOKUP($B161&amp;$D$136&amp;$G161,$E$6:$U$129,H$133,FALSE)*VLOOKUP($B161,Weighting!$D$5:$G$9,MATCH(Segmented!$D$136,Weighting!$E$5:$H$5,0)+1,FALSE)+VLOOKUP($B161&amp;$E$136&amp;$G161,$E$6:$U$129,H$133,FALSE)*VLOOKUP($B161,Weighting!$D$5:$G$9,MATCH(Segmented!$E$136,Weighting!$E$5:$H$5,0)+1,FALSE)</f>
        <v>2056.8706080555621</v>
      </c>
      <c r="I161">
        <f t="shared" si="3"/>
        <v>45</v>
      </c>
      <c r="J161" s="31">
        <f>VLOOKUP($B161&amp;$C$136&amp;$G161,$E$6:$U$129,J$133,FALSE)*VLOOKUP($B161,Weighting!$D$5:$G$9,MATCH(Segmented!$C$136,Weighting!$E$5:$H$5,0)+1,FALSE)+VLOOKUP($B161&amp;$D$136&amp;$G161,$E$6:$U$129,J$133,FALSE)*VLOOKUP($B161,Weighting!$D$5:$G$9,MATCH(Segmented!$D$136,Weighting!$E$5:$H$5,0)+1,FALSE)+VLOOKUP($B161&amp;$E$136&amp;$G161,$E$6:$U$129,J$133,FALSE)*VLOOKUP($B161,Weighting!$D$5:$G$9,MATCH(Segmented!$E$136,Weighting!$E$5:$H$5,0)+1,FALSE)</f>
        <v>3865.0968570659024</v>
      </c>
      <c r="K161" s="31">
        <f>VLOOKUP($B161&amp;$C$136&amp;$G161,$E$6:$U$129,K$133,FALSE)*VLOOKUP($B161,Weighting!$D$5:$G$9,MATCH(Segmented!$C$136,Weighting!$E$5:$H$5,0)+1,FALSE)+VLOOKUP($B161&amp;$D$136&amp;$G161,$E$6:$U$129,K$133,FALSE)*VLOOKUP($B161,Weighting!$D$5:$G$9,MATCH(Segmented!$D$136,Weighting!$E$5:$H$5,0)+1,FALSE)+VLOOKUP($B161&amp;$E$136&amp;$G161,$E$6:$U$129,K$133,FALSE)*VLOOKUP($B161,Weighting!$D$5:$G$9,MATCH(Segmented!$E$136,Weighting!$E$5:$H$5,0)+1,FALSE)</f>
        <v>0</v>
      </c>
      <c r="L161" t="str">
        <f t="shared" si="4"/>
        <v>ResSHWX</v>
      </c>
      <c r="M161" s="31">
        <f>VLOOKUP($B161&amp;$C$136&amp;$G161,$E$6:$U$129,M$133,FALSE)*VLOOKUP($B161,Weighting!$D$5:$G$9,MATCH(Segmented!$C$136,Weighting!$E$5:$H$5,0)+1,FALSE)+VLOOKUP($B161&amp;$D$136&amp;$G161,$E$6:$U$129,M$133,FALSE)*VLOOKUP($B161,Weighting!$D$5:$G$9,MATCH(Segmented!$D$136,Weighting!$E$5:$H$5,0)+1,FALSE)+VLOOKUP($B161&amp;$E$136&amp;$G161,$E$6:$U$129,M$133,FALSE)*VLOOKUP($B161,Weighting!$D$5:$G$9,MATCH(Segmented!$E$136,Weighting!$E$5:$H$5,0)+1,FALSE)</f>
        <v>0</v>
      </c>
      <c r="N161" s="31">
        <f>VLOOKUP($B161&amp;$C$136&amp;$G161,$E$6:$U$129,N$133,FALSE)*VLOOKUP($B161,Weighting!$D$5:$G$9,MATCH(Segmented!$C$136,Weighting!$E$5:$H$5,0)+1,FALSE)+VLOOKUP($B161&amp;$D$136&amp;$G161,$E$6:$U$129,N$133,FALSE)*VLOOKUP($B161,Weighting!$D$5:$G$9,MATCH(Segmented!$D$136,Weighting!$E$5:$H$5,0)+1,FALSE)+VLOOKUP($B161&amp;$E$136&amp;$G161,$E$6:$U$129,N$133,FALSE)*VLOOKUP($B161,Weighting!$D$5:$G$9,MATCH(Segmented!$E$136,Weighting!$E$5:$H$5,0)+1,FALSE)</f>
        <v>0</v>
      </c>
      <c r="O161">
        <f t="shared" si="5"/>
        <v>0</v>
      </c>
      <c r="P161" s="31">
        <f>VLOOKUP($B161&amp;$C$136&amp;$G161,$E$6:$U$129,P$133,FALSE)*VLOOKUP($B161,Weighting!$D$5:$G$9,MATCH(Segmented!$C$136,Weighting!$E$5:$H$5,0)+1,FALSE)+VLOOKUP($B161&amp;$D$136&amp;$G161,$E$6:$U$129,P$133,FALSE)*VLOOKUP($B161,Weighting!$D$5:$G$9,MATCH(Segmented!$D$136,Weighting!$E$5:$H$5,0)+1,FALSE)+VLOOKUP($B161&amp;$E$136&amp;$G161,$E$6:$U$129,P$133,FALSE)*VLOOKUP($B161,Weighting!$D$5:$G$9,MATCH(Segmented!$E$136,Weighting!$E$5:$H$5,0)+1,FALSE)</f>
        <v>0</v>
      </c>
      <c r="Q161">
        <f t="shared" si="6"/>
        <v>0</v>
      </c>
      <c r="R161" s="31">
        <f>VLOOKUP($B161&amp;$C$136&amp;$G161,$E$6:$U$129,R$133,FALSE)*VLOOKUP($B161,Weighting!$D$5:$G$9,MATCH(Segmented!$C$136,Weighting!$E$5:$H$5,0)+1,FALSE)+VLOOKUP($B161&amp;$D$136&amp;$G161,$E$6:$U$129,R$133,FALSE)*VLOOKUP($B161,Weighting!$D$5:$G$9,MATCH(Segmented!$D$136,Weighting!$E$5:$H$5,0)+1,FALSE)+VLOOKUP($B161&amp;$E$136&amp;$G161,$E$6:$U$129,R$133,FALSE)*VLOOKUP($B161,Weighting!$D$5:$G$9,MATCH(Segmented!$E$136,Weighting!$E$5:$H$5,0)+1,FALSE)</f>
        <v>0</v>
      </c>
      <c r="S161">
        <f t="shared" si="7"/>
        <v>0</v>
      </c>
      <c r="T161" s="31">
        <f>VLOOKUP($B161&amp;$C$136&amp;$G161,$E$6:$U$129,T$133,FALSE)*VLOOKUP($B161,Weighting!$D$5:$G$9,MATCH(Segmented!$C$136,Weighting!$E$5:$H$5,0)+1,FALSE)+VLOOKUP($B161&amp;$D$136&amp;$G161,$E$6:$U$129,T$133,FALSE)*VLOOKUP($B161,Weighting!$D$5:$G$9,MATCH(Segmented!$D$136,Weighting!$E$5:$H$5,0)+1,FALSE)+VLOOKUP($B161&amp;$E$136&amp;$G161,$E$6:$U$129,T$133,FALSE)*VLOOKUP($B161,Weighting!$D$5:$G$9,MATCH(Segmented!$E$136,Weighting!$E$5:$H$5,0)+1,FALSE)</f>
        <v>0</v>
      </c>
    </row>
    <row r="162" spans="2:20">
      <c r="B162" t="s">
        <v>78</v>
      </c>
      <c r="F162" s="55" t="str">
        <f t="shared" si="8"/>
        <v>WALL R0 - R11_Heat Pump</v>
      </c>
      <c r="G162" s="54" t="s">
        <v>69</v>
      </c>
      <c r="H162" s="31">
        <f>VLOOKUP($B162&amp;$C$136&amp;$G162,$E$6:$U$129,H$133,FALSE)*VLOOKUP($B162,Weighting!$D$5:$G$9,MATCH(Segmented!$C$136,Weighting!$E$5:$H$5,0)+1,FALSE)+VLOOKUP($B162&amp;$D$136&amp;$G162,$E$6:$U$129,H$133,FALSE)*VLOOKUP($B162,Weighting!$D$5:$G$9,MATCH(Segmented!$D$136,Weighting!$E$5:$H$5,0)+1,FALSE)+VLOOKUP($B162&amp;$E$136&amp;$G162,$E$6:$U$129,H$133,FALSE)*VLOOKUP($B162,Weighting!$D$5:$G$9,MATCH(Segmented!$E$136,Weighting!$E$5:$H$5,0)+1,FALSE)</f>
        <v>350.13094277933425</v>
      </c>
      <c r="I162">
        <f t="shared" si="3"/>
        <v>45</v>
      </c>
      <c r="J162" s="31">
        <f>VLOOKUP($B162&amp;$C$136&amp;$G162,$E$6:$U$129,J$133,FALSE)*VLOOKUP($B162,Weighting!$D$5:$G$9,MATCH(Segmented!$C$136,Weighting!$E$5:$H$5,0)+1,FALSE)+VLOOKUP($B162&amp;$D$136&amp;$G162,$E$6:$U$129,J$133,FALSE)*VLOOKUP($B162,Weighting!$D$5:$G$9,MATCH(Segmented!$D$136,Weighting!$E$5:$H$5,0)+1,FALSE)+VLOOKUP($B162&amp;$E$136&amp;$G162,$E$6:$U$129,J$133,FALSE)*VLOOKUP($B162,Weighting!$D$5:$G$9,MATCH(Segmented!$E$136,Weighting!$E$5:$H$5,0)+1,FALSE)</f>
        <v>414.11354893012162</v>
      </c>
      <c r="K162" s="31">
        <f>VLOOKUP($B162&amp;$C$136&amp;$G162,$E$6:$U$129,K$133,FALSE)*VLOOKUP($B162,Weighting!$D$5:$G$9,MATCH(Segmented!$C$136,Weighting!$E$5:$H$5,0)+1,FALSE)+VLOOKUP($B162&amp;$D$136&amp;$G162,$E$6:$U$129,K$133,FALSE)*VLOOKUP($B162,Weighting!$D$5:$G$9,MATCH(Segmented!$D$136,Weighting!$E$5:$H$5,0)+1,FALSE)+VLOOKUP($B162&amp;$E$136&amp;$G162,$E$6:$U$129,K$133,FALSE)*VLOOKUP($B162,Weighting!$D$5:$G$9,MATCH(Segmented!$E$136,Weighting!$E$5:$H$5,0)+1,FALSE)</f>
        <v>0</v>
      </c>
      <c r="L162" t="str">
        <f t="shared" si="4"/>
        <v>ResSHWX</v>
      </c>
      <c r="M162" s="31">
        <f>VLOOKUP($B162&amp;$C$136&amp;$G162,$E$6:$U$129,M$133,FALSE)*VLOOKUP($B162,Weighting!$D$5:$G$9,MATCH(Segmented!$C$136,Weighting!$E$5:$H$5,0)+1,FALSE)+VLOOKUP($B162&amp;$D$136&amp;$G162,$E$6:$U$129,M$133,FALSE)*VLOOKUP($B162,Weighting!$D$5:$G$9,MATCH(Segmented!$D$136,Weighting!$E$5:$H$5,0)+1,FALSE)+VLOOKUP($B162&amp;$E$136&amp;$G162,$E$6:$U$129,M$133,FALSE)*VLOOKUP($B162,Weighting!$D$5:$G$9,MATCH(Segmented!$E$136,Weighting!$E$5:$H$5,0)+1,FALSE)</f>
        <v>0</v>
      </c>
      <c r="N162" s="31">
        <f>VLOOKUP($B162&amp;$C$136&amp;$G162,$E$6:$U$129,N$133,FALSE)*VLOOKUP($B162,Weighting!$D$5:$G$9,MATCH(Segmented!$C$136,Weighting!$E$5:$H$5,0)+1,FALSE)+VLOOKUP($B162&amp;$D$136&amp;$G162,$E$6:$U$129,N$133,FALSE)*VLOOKUP($B162,Weighting!$D$5:$G$9,MATCH(Segmented!$D$136,Weighting!$E$5:$H$5,0)+1,FALSE)+VLOOKUP($B162&amp;$E$136&amp;$G162,$E$6:$U$129,N$133,FALSE)*VLOOKUP($B162,Weighting!$D$5:$G$9,MATCH(Segmented!$E$136,Weighting!$E$5:$H$5,0)+1,FALSE)</f>
        <v>0</v>
      </c>
      <c r="O162">
        <f t="shared" si="5"/>
        <v>0</v>
      </c>
      <c r="P162" s="31">
        <f>VLOOKUP($B162&amp;$C$136&amp;$G162,$E$6:$U$129,P$133,FALSE)*VLOOKUP($B162,Weighting!$D$5:$G$9,MATCH(Segmented!$C$136,Weighting!$E$5:$H$5,0)+1,FALSE)+VLOOKUP($B162&amp;$D$136&amp;$G162,$E$6:$U$129,P$133,FALSE)*VLOOKUP($B162,Weighting!$D$5:$G$9,MATCH(Segmented!$D$136,Weighting!$E$5:$H$5,0)+1,FALSE)+VLOOKUP($B162&amp;$E$136&amp;$G162,$E$6:$U$129,P$133,FALSE)*VLOOKUP($B162,Weighting!$D$5:$G$9,MATCH(Segmented!$E$136,Weighting!$E$5:$H$5,0)+1,FALSE)</f>
        <v>0</v>
      </c>
      <c r="Q162">
        <f t="shared" si="6"/>
        <v>0</v>
      </c>
      <c r="R162" s="31">
        <f>VLOOKUP($B162&amp;$C$136&amp;$G162,$E$6:$U$129,R$133,FALSE)*VLOOKUP($B162,Weighting!$D$5:$G$9,MATCH(Segmented!$C$136,Weighting!$E$5:$H$5,0)+1,FALSE)+VLOOKUP($B162&amp;$D$136&amp;$G162,$E$6:$U$129,R$133,FALSE)*VLOOKUP($B162,Weighting!$D$5:$G$9,MATCH(Segmented!$D$136,Weighting!$E$5:$H$5,0)+1,FALSE)+VLOOKUP($B162&amp;$E$136&amp;$G162,$E$6:$U$129,R$133,FALSE)*VLOOKUP($B162,Weighting!$D$5:$G$9,MATCH(Segmented!$E$136,Weighting!$E$5:$H$5,0)+1,FALSE)</f>
        <v>0</v>
      </c>
      <c r="S162">
        <f t="shared" si="7"/>
        <v>0</v>
      </c>
      <c r="T162" s="31">
        <f>VLOOKUP($B162&amp;$C$136&amp;$G162,$E$6:$U$129,T$133,FALSE)*VLOOKUP($B162,Weighting!$D$5:$G$9,MATCH(Segmented!$C$136,Weighting!$E$5:$H$5,0)+1,FALSE)+VLOOKUP($B162&amp;$D$136&amp;$G162,$E$6:$U$129,T$133,FALSE)*VLOOKUP($B162,Weighting!$D$5:$G$9,MATCH(Segmented!$D$136,Weighting!$E$5:$H$5,0)+1,FALSE)+VLOOKUP($B162&amp;$E$136&amp;$G162,$E$6:$U$129,T$133,FALSE)*VLOOKUP($B162,Weighting!$D$5:$G$9,MATCH(Segmented!$E$136,Weighting!$E$5:$H$5,0)+1,FALSE)</f>
        <v>0</v>
      </c>
    </row>
    <row r="163" spans="2:20">
      <c r="B163" t="s">
        <v>78</v>
      </c>
      <c r="F163" s="55" t="str">
        <f t="shared" si="8"/>
        <v>FLOOR R0 - R19_Heat Pump</v>
      </c>
      <c r="G163" s="54" t="s">
        <v>70</v>
      </c>
      <c r="H163" s="31">
        <f>VLOOKUP($B163&amp;$C$136&amp;$G163,$E$6:$U$129,H$133,FALSE)*VLOOKUP($B163,Weighting!$D$5:$G$9,MATCH(Segmented!$C$136,Weighting!$E$5:$H$5,0)+1,FALSE)+VLOOKUP($B163&amp;$D$136&amp;$G163,$E$6:$U$129,H$133,FALSE)*VLOOKUP($B163,Weighting!$D$5:$G$9,MATCH(Segmented!$D$136,Weighting!$E$5:$H$5,0)+1,FALSE)+VLOOKUP($B163&amp;$E$136&amp;$G163,$E$6:$U$129,H$133,FALSE)*VLOOKUP($B163,Weighting!$D$5:$G$9,MATCH(Segmented!$E$136,Weighting!$E$5:$H$5,0)+1,FALSE)</f>
        <v>70.759871439695004</v>
      </c>
      <c r="I163">
        <f t="shared" si="3"/>
        <v>45</v>
      </c>
      <c r="J163" s="31">
        <f>VLOOKUP($B163&amp;$C$136&amp;$G163,$E$6:$U$129,J$133,FALSE)*VLOOKUP($B163,Weighting!$D$5:$G$9,MATCH(Segmented!$C$136,Weighting!$E$5:$H$5,0)+1,FALSE)+VLOOKUP($B163&amp;$D$136&amp;$G163,$E$6:$U$129,J$133,FALSE)*VLOOKUP($B163,Weighting!$D$5:$G$9,MATCH(Segmented!$D$136,Weighting!$E$5:$H$5,0)+1,FALSE)+VLOOKUP($B163&amp;$E$136&amp;$G163,$E$6:$U$129,J$133,FALSE)*VLOOKUP($B163,Weighting!$D$5:$G$9,MATCH(Segmented!$E$136,Weighting!$E$5:$H$5,0)+1,FALSE)</f>
        <v>436.41697398915824</v>
      </c>
      <c r="K163" s="31">
        <f>VLOOKUP($B163&amp;$C$136&amp;$G163,$E$6:$U$129,K$133,FALSE)*VLOOKUP($B163,Weighting!$D$5:$G$9,MATCH(Segmented!$C$136,Weighting!$E$5:$H$5,0)+1,FALSE)+VLOOKUP($B163&amp;$D$136&amp;$G163,$E$6:$U$129,K$133,FALSE)*VLOOKUP($B163,Weighting!$D$5:$G$9,MATCH(Segmented!$D$136,Weighting!$E$5:$H$5,0)+1,FALSE)+VLOOKUP($B163&amp;$E$136&amp;$G163,$E$6:$U$129,K$133,FALSE)*VLOOKUP($B163,Weighting!$D$5:$G$9,MATCH(Segmented!$E$136,Weighting!$E$5:$H$5,0)+1,FALSE)</f>
        <v>0</v>
      </c>
      <c r="L163" t="str">
        <f t="shared" si="4"/>
        <v>ResSHWX</v>
      </c>
      <c r="M163" s="31">
        <f>VLOOKUP($B163&amp;$C$136&amp;$G163,$E$6:$U$129,M$133,FALSE)*VLOOKUP($B163,Weighting!$D$5:$G$9,MATCH(Segmented!$C$136,Weighting!$E$5:$H$5,0)+1,FALSE)+VLOOKUP($B163&amp;$D$136&amp;$G163,$E$6:$U$129,M$133,FALSE)*VLOOKUP($B163,Weighting!$D$5:$G$9,MATCH(Segmented!$D$136,Weighting!$E$5:$H$5,0)+1,FALSE)+VLOOKUP($B163&amp;$E$136&amp;$G163,$E$6:$U$129,M$133,FALSE)*VLOOKUP($B163,Weighting!$D$5:$G$9,MATCH(Segmented!$E$136,Weighting!$E$5:$H$5,0)+1,FALSE)</f>
        <v>0</v>
      </c>
      <c r="N163" s="31">
        <f>VLOOKUP($B163&amp;$C$136&amp;$G163,$E$6:$U$129,N$133,FALSE)*VLOOKUP($B163,Weighting!$D$5:$G$9,MATCH(Segmented!$C$136,Weighting!$E$5:$H$5,0)+1,FALSE)+VLOOKUP($B163&amp;$D$136&amp;$G163,$E$6:$U$129,N$133,FALSE)*VLOOKUP($B163,Weighting!$D$5:$G$9,MATCH(Segmented!$D$136,Weighting!$E$5:$H$5,0)+1,FALSE)+VLOOKUP($B163&amp;$E$136&amp;$G163,$E$6:$U$129,N$133,FALSE)*VLOOKUP($B163,Weighting!$D$5:$G$9,MATCH(Segmented!$E$136,Weighting!$E$5:$H$5,0)+1,FALSE)</f>
        <v>0</v>
      </c>
      <c r="O163">
        <f t="shared" si="5"/>
        <v>0</v>
      </c>
      <c r="P163" s="31">
        <f>VLOOKUP($B163&amp;$C$136&amp;$G163,$E$6:$U$129,P$133,FALSE)*VLOOKUP($B163,Weighting!$D$5:$G$9,MATCH(Segmented!$C$136,Weighting!$E$5:$H$5,0)+1,FALSE)+VLOOKUP($B163&amp;$D$136&amp;$G163,$E$6:$U$129,P$133,FALSE)*VLOOKUP($B163,Weighting!$D$5:$G$9,MATCH(Segmented!$D$136,Weighting!$E$5:$H$5,0)+1,FALSE)+VLOOKUP($B163&amp;$E$136&amp;$G163,$E$6:$U$129,P$133,FALSE)*VLOOKUP($B163,Weighting!$D$5:$G$9,MATCH(Segmented!$E$136,Weighting!$E$5:$H$5,0)+1,FALSE)</f>
        <v>0</v>
      </c>
      <c r="Q163">
        <f t="shared" si="6"/>
        <v>0</v>
      </c>
      <c r="R163" s="31">
        <f>VLOOKUP($B163&amp;$C$136&amp;$G163,$E$6:$U$129,R$133,FALSE)*VLOOKUP($B163,Weighting!$D$5:$G$9,MATCH(Segmented!$C$136,Weighting!$E$5:$H$5,0)+1,FALSE)+VLOOKUP($B163&amp;$D$136&amp;$G163,$E$6:$U$129,R$133,FALSE)*VLOOKUP($B163,Weighting!$D$5:$G$9,MATCH(Segmented!$D$136,Weighting!$E$5:$H$5,0)+1,FALSE)+VLOOKUP($B163&amp;$E$136&amp;$G163,$E$6:$U$129,R$133,FALSE)*VLOOKUP($B163,Weighting!$D$5:$G$9,MATCH(Segmented!$E$136,Weighting!$E$5:$H$5,0)+1,FALSE)</f>
        <v>0</v>
      </c>
      <c r="S163">
        <f t="shared" si="7"/>
        <v>0</v>
      </c>
      <c r="T163" s="31">
        <f>VLOOKUP($B163&amp;$C$136&amp;$G163,$E$6:$U$129,T$133,FALSE)*VLOOKUP($B163,Weighting!$D$5:$G$9,MATCH(Segmented!$C$136,Weighting!$E$5:$H$5,0)+1,FALSE)+VLOOKUP($B163&amp;$D$136&amp;$G163,$E$6:$U$129,T$133,FALSE)*VLOOKUP($B163,Weighting!$D$5:$G$9,MATCH(Segmented!$D$136,Weighting!$E$5:$H$5,0)+1,FALSE)+VLOOKUP($B163&amp;$E$136&amp;$G163,$E$6:$U$129,T$133,FALSE)*VLOOKUP($B163,Weighting!$D$5:$G$9,MATCH(Segmented!$E$136,Weighting!$E$5:$H$5,0)+1,FALSE)</f>
        <v>0</v>
      </c>
    </row>
    <row r="164" spans="2:20">
      <c r="B164" t="s">
        <v>78</v>
      </c>
      <c r="F164" s="55" t="str">
        <f t="shared" si="8"/>
        <v>FLOOR R0 - R30_Heat Pump</v>
      </c>
      <c r="G164" s="54" t="s">
        <v>71</v>
      </c>
      <c r="H164" s="31">
        <f>VLOOKUP($B164&amp;$C$136&amp;$G164,$E$6:$U$129,H$133,FALSE)*VLOOKUP($B164,Weighting!$D$5:$G$9,MATCH(Segmented!$C$136,Weighting!$E$5:$H$5,0)+1,FALSE)+VLOOKUP($B164&amp;$D$136&amp;$G164,$E$6:$U$129,H$133,FALSE)*VLOOKUP($B164,Weighting!$D$5:$G$9,MATCH(Segmented!$D$136,Weighting!$E$5:$H$5,0)+1,FALSE)+VLOOKUP($B164&amp;$E$136&amp;$G164,$E$6:$U$129,H$133,FALSE)*VLOOKUP($B164,Weighting!$D$5:$G$9,MATCH(Segmented!$E$136,Weighting!$E$5:$H$5,0)+1,FALSE)</f>
        <v>91.444720355577289</v>
      </c>
      <c r="I164">
        <f t="shared" si="3"/>
        <v>45</v>
      </c>
      <c r="J164" s="31">
        <f>VLOOKUP($B164&amp;$C$136&amp;$G164,$E$6:$U$129,J$133,FALSE)*VLOOKUP($B164,Weighting!$D$5:$G$9,MATCH(Segmented!$C$136,Weighting!$E$5:$H$5,0)+1,FALSE)+VLOOKUP($B164&amp;$D$136&amp;$G164,$E$6:$U$129,J$133,FALSE)*VLOOKUP($B164,Weighting!$D$5:$G$9,MATCH(Segmented!$D$136,Weighting!$E$5:$H$5,0)+1,FALSE)+VLOOKUP($B164&amp;$E$136&amp;$G164,$E$6:$U$129,J$133,FALSE)*VLOOKUP($B164,Weighting!$D$5:$G$9,MATCH(Segmented!$E$136,Weighting!$E$5:$H$5,0)+1,FALSE)</f>
        <v>689.07943261446042</v>
      </c>
      <c r="K164" s="31">
        <f>VLOOKUP($B164&amp;$C$136&amp;$G164,$E$6:$U$129,K$133,FALSE)*VLOOKUP($B164,Weighting!$D$5:$G$9,MATCH(Segmented!$C$136,Weighting!$E$5:$H$5,0)+1,FALSE)+VLOOKUP($B164&amp;$D$136&amp;$G164,$E$6:$U$129,K$133,FALSE)*VLOOKUP($B164,Weighting!$D$5:$G$9,MATCH(Segmented!$D$136,Weighting!$E$5:$H$5,0)+1,FALSE)+VLOOKUP($B164&amp;$E$136&amp;$G164,$E$6:$U$129,K$133,FALSE)*VLOOKUP($B164,Weighting!$D$5:$G$9,MATCH(Segmented!$E$136,Weighting!$E$5:$H$5,0)+1,FALSE)</f>
        <v>0</v>
      </c>
      <c r="L164" t="str">
        <f t="shared" si="4"/>
        <v>ResSHWX</v>
      </c>
      <c r="M164" s="31">
        <f>VLOOKUP($B164&amp;$C$136&amp;$G164,$E$6:$U$129,M$133,FALSE)*VLOOKUP($B164,Weighting!$D$5:$G$9,MATCH(Segmented!$C$136,Weighting!$E$5:$H$5,0)+1,FALSE)+VLOOKUP($B164&amp;$D$136&amp;$G164,$E$6:$U$129,M$133,FALSE)*VLOOKUP($B164,Weighting!$D$5:$G$9,MATCH(Segmented!$D$136,Weighting!$E$5:$H$5,0)+1,FALSE)+VLOOKUP($B164&amp;$E$136&amp;$G164,$E$6:$U$129,M$133,FALSE)*VLOOKUP($B164,Weighting!$D$5:$G$9,MATCH(Segmented!$E$136,Weighting!$E$5:$H$5,0)+1,FALSE)</f>
        <v>0</v>
      </c>
      <c r="N164" s="31">
        <f>VLOOKUP($B164&amp;$C$136&amp;$G164,$E$6:$U$129,N$133,FALSE)*VLOOKUP($B164,Weighting!$D$5:$G$9,MATCH(Segmented!$C$136,Weighting!$E$5:$H$5,0)+1,FALSE)+VLOOKUP($B164&amp;$D$136&amp;$G164,$E$6:$U$129,N$133,FALSE)*VLOOKUP($B164,Weighting!$D$5:$G$9,MATCH(Segmented!$D$136,Weighting!$E$5:$H$5,0)+1,FALSE)+VLOOKUP($B164&amp;$E$136&amp;$G164,$E$6:$U$129,N$133,FALSE)*VLOOKUP($B164,Weighting!$D$5:$G$9,MATCH(Segmented!$E$136,Weighting!$E$5:$H$5,0)+1,FALSE)</f>
        <v>0</v>
      </c>
      <c r="O164">
        <f t="shared" si="5"/>
        <v>0</v>
      </c>
      <c r="P164" s="31">
        <f>VLOOKUP($B164&amp;$C$136&amp;$G164,$E$6:$U$129,P$133,FALSE)*VLOOKUP($B164,Weighting!$D$5:$G$9,MATCH(Segmented!$C$136,Weighting!$E$5:$H$5,0)+1,FALSE)+VLOOKUP($B164&amp;$D$136&amp;$G164,$E$6:$U$129,P$133,FALSE)*VLOOKUP($B164,Weighting!$D$5:$G$9,MATCH(Segmented!$D$136,Weighting!$E$5:$H$5,0)+1,FALSE)+VLOOKUP($B164&amp;$E$136&amp;$G164,$E$6:$U$129,P$133,FALSE)*VLOOKUP($B164,Weighting!$D$5:$G$9,MATCH(Segmented!$E$136,Weighting!$E$5:$H$5,0)+1,FALSE)</f>
        <v>0</v>
      </c>
      <c r="Q164">
        <f t="shared" si="6"/>
        <v>0</v>
      </c>
      <c r="R164" s="31">
        <f>VLOOKUP($B164&amp;$C$136&amp;$G164,$E$6:$U$129,R$133,FALSE)*VLOOKUP($B164,Weighting!$D$5:$G$9,MATCH(Segmented!$C$136,Weighting!$E$5:$H$5,0)+1,FALSE)+VLOOKUP($B164&amp;$D$136&amp;$G164,$E$6:$U$129,R$133,FALSE)*VLOOKUP($B164,Weighting!$D$5:$G$9,MATCH(Segmented!$D$136,Weighting!$E$5:$H$5,0)+1,FALSE)+VLOOKUP($B164&amp;$E$136&amp;$G164,$E$6:$U$129,R$133,FALSE)*VLOOKUP($B164,Weighting!$D$5:$G$9,MATCH(Segmented!$E$136,Weighting!$E$5:$H$5,0)+1,FALSE)</f>
        <v>0</v>
      </c>
      <c r="S164">
        <f t="shared" si="7"/>
        <v>0</v>
      </c>
      <c r="T164" s="31">
        <f>VLOOKUP($B164&amp;$C$136&amp;$G164,$E$6:$U$129,T$133,FALSE)*VLOOKUP($B164,Weighting!$D$5:$G$9,MATCH(Segmented!$C$136,Weighting!$E$5:$H$5,0)+1,FALSE)+VLOOKUP($B164&amp;$D$136&amp;$G164,$E$6:$U$129,T$133,FALSE)*VLOOKUP($B164,Weighting!$D$5:$G$9,MATCH(Segmented!$D$136,Weighting!$E$5:$H$5,0)+1,FALSE)+VLOOKUP($B164&amp;$E$136&amp;$G164,$E$6:$U$129,T$133,FALSE)*VLOOKUP($B164,Weighting!$D$5:$G$9,MATCH(Segmented!$E$136,Weighting!$E$5:$H$5,0)+1,FALSE)</f>
        <v>0</v>
      </c>
    </row>
    <row r="165" spans="2:20">
      <c r="B165" t="s">
        <v>78</v>
      </c>
      <c r="F165" s="55" t="str">
        <f t="shared" si="8"/>
        <v>ATTIC R0 - R19_Heat Pump</v>
      </c>
      <c r="G165" s="54" t="s">
        <v>1201</v>
      </c>
      <c r="H165" s="31">
        <f>VLOOKUP($B165&amp;$C$136&amp;$G165,$E$6:$U$129,H$133,FALSE)*VLOOKUP($B165,Weighting!$D$5:$G$9,MATCH(Segmented!$C$136,Weighting!$E$5:$H$5,0)+1,FALSE)+VLOOKUP($B165&amp;$D$136&amp;$G165,$E$6:$U$129,H$133,FALSE)*VLOOKUP($B165,Weighting!$D$5:$G$9,MATCH(Segmented!$D$136,Weighting!$E$5:$H$5,0)+1,FALSE)+VLOOKUP($B165&amp;$E$136&amp;$G165,$E$6:$U$129,H$133,FALSE)*VLOOKUP($B165,Weighting!$D$5:$G$9,MATCH(Segmented!$E$136,Weighting!$E$5:$H$5,0)+1,FALSE)</f>
        <v>104.85086836591684</v>
      </c>
      <c r="I165">
        <f t="shared" si="3"/>
        <v>45</v>
      </c>
      <c r="J165" s="31">
        <f>VLOOKUP($B165&amp;$C$136&amp;$G165,$E$6:$U$129,J$133,FALSE)*VLOOKUP($B165,Weighting!$D$5:$G$9,MATCH(Segmented!$C$136,Weighting!$E$5:$H$5,0)+1,FALSE)+VLOOKUP($B165&amp;$D$136&amp;$G165,$E$6:$U$129,J$133,FALSE)*VLOOKUP($B165,Weighting!$D$5:$G$9,MATCH(Segmented!$D$136,Weighting!$E$5:$H$5,0)+1,FALSE)+VLOOKUP($B165&amp;$E$136&amp;$G165,$E$6:$U$129,J$133,FALSE)*VLOOKUP($B165,Weighting!$D$5:$G$9,MATCH(Segmented!$E$136,Weighting!$E$5:$H$5,0)+1,FALSE)</f>
        <v>239.1087012654321</v>
      </c>
      <c r="K165" s="31">
        <f>VLOOKUP($B165&amp;$C$136&amp;$G165,$E$6:$U$129,K$133,FALSE)*VLOOKUP($B165,Weighting!$D$5:$G$9,MATCH(Segmented!$C$136,Weighting!$E$5:$H$5,0)+1,FALSE)+VLOOKUP($B165&amp;$D$136&amp;$G165,$E$6:$U$129,K$133,FALSE)*VLOOKUP($B165,Weighting!$D$5:$G$9,MATCH(Segmented!$D$136,Weighting!$E$5:$H$5,0)+1,FALSE)+VLOOKUP($B165&amp;$E$136&amp;$G165,$E$6:$U$129,K$133,FALSE)*VLOOKUP($B165,Weighting!$D$5:$G$9,MATCH(Segmented!$E$136,Weighting!$E$5:$H$5,0)+1,FALSE)</f>
        <v>0</v>
      </c>
      <c r="L165" t="str">
        <f t="shared" si="4"/>
        <v>ResSHWX</v>
      </c>
      <c r="M165" s="31">
        <f>VLOOKUP($B165&amp;$C$136&amp;$G165,$E$6:$U$129,M$133,FALSE)*VLOOKUP($B165,Weighting!$D$5:$G$9,MATCH(Segmented!$C$136,Weighting!$E$5:$H$5,0)+1,FALSE)+VLOOKUP($B165&amp;$D$136&amp;$G165,$E$6:$U$129,M$133,FALSE)*VLOOKUP($B165,Weighting!$D$5:$G$9,MATCH(Segmented!$D$136,Weighting!$E$5:$H$5,0)+1,FALSE)+VLOOKUP($B165&amp;$E$136&amp;$G165,$E$6:$U$129,M$133,FALSE)*VLOOKUP($B165,Weighting!$D$5:$G$9,MATCH(Segmented!$E$136,Weighting!$E$5:$H$5,0)+1,FALSE)</f>
        <v>0</v>
      </c>
      <c r="N165" s="31">
        <f>VLOOKUP($B165&amp;$C$136&amp;$G165,$E$6:$U$129,N$133,FALSE)*VLOOKUP($B165,Weighting!$D$5:$G$9,MATCH(Segmented!$C$136,Weighting!$E$5:$H$5,0)+1,FALSE)+VLOOKUP($B165&amp;$D$136&amp;$G165,$E$6:$U$129,N$133,FALSE)*VLOOKUP($B165,Weighting!$D$5:$G$9,MATCH(Segmented!$D$136,Weighting!$E$5:$H$5,0)+1,FALSE)+VLOOKUP($B165&amp;$E$136&amp;$G165,$E$6:$U$129,N$133,FALSE)*VLOOKUP($B165,Weighting!$D$5:$G$9,MATCH(Segmented!$E$136,Weighting!$E$5:$H$5,0)+1,FALSE)</f>
        <v>0</v>
      </c>
      <c r="O165">
        <f t="shared" si="5"/>
        <v>0</v>
      </c>
      <c r="P165" s="31">
        <f>VLOOKUP($B165&amp;$C$136&amp;$G165,$E$6:$U$129,P$133,FALSE)*VLOOKUP($B165,Weighting!$D$5:$G$9,MATCH(Segmented!$C$136,Weighting!$E$5:$H$5,0)+1,FALSE)+VLOOKUP($B165&amp;$D$136&amp;$G165,$E$6:$U$129,P$133,FALSE)*VLOOKUP($B165,Weighting!$D$5:$G$9,MATCH(Segmented!$D$136,Weighting!$E$5:$H$5,0)+1,FALSE)+VLOOKUP($B165&amp;$E$136&amp;$G165,$E$6:$U$129,P$133,FALSE)*VLOOKUP($B165,Weighting!$D$5:$G$9,MATCH(Segmented!$E$136,Weighting!$E$5:$H$5,0)+1,FALSE)</f>
        <v>0</v>
      </c>
      <c r="Q165">
        <f t="shared" si="6"/>
        <v>0</v>
      </c>
      <c r="R165" s="31">
        <f>VLOOKUP($B165&amp;$C$136&amp;$G165,$E$6:$U$129,R$133,FALSE)*VLOOKUP($B165,Weighting!$D$5:$G$9,MATCH(Segmented!$C$136,Weighting!$E$5:$H$5,0)+1,FALSE)+VLOOKUP($B165&amp;$D$136&amp;$G165,$E$6:$U$129,R$133,FALSE)*VLOOKUP($B165,Weighting!$D$5:$G$9,MATCH(Segmented!$D$136,Weighting!$E$5:$H$5,0)+1,FALSE)+VLOOKUP($B165&amp;$E$136&amp;$G165,$E$6:$U$129,R$133,FALSE)*VLOOKUP($B165,Weighting!$D$5:$G$9,MATCH(Segmented!$E$136,Weighting!$E$5:$H$5,0)+1,FALSE)</f>
        <v>0</v>
      </c>
      <c r="S165">
        <f t="shared" si="7"/>
        <v>0</v>
      </c>
      <c r="T165" s="31">
        <f>VLOOKUP($B165&amp;$C$136&amp;$G165,$E$6:$U$129,T$133,FALSE)*VLOOKUP($B165,Weighting!$D$5:$G$9,MATCH(Segmented!$C$136,Weighting!$E$5:$H$5,0)+1,FALSE)+VLOOKUP($B165&amp;$D$136&amp;$G165,$E$6:$U$129,T$133,FALSE)*VLOOKUP($B165,Weighting!$D$5:$G$9,MATCH(Segmented!$D$136,Weighting!$E$5:$H$5,0)+1,FALSE)+VLOOKUP($B165&amp;$E$136&amp;$G165,$E$6:$U$129,T$133,FALSE)*VLOOKUP($B165,Weighting!$D$5:$G$9,MATCH(Segmented!$E$136,Weighting!$E$5:$H$5,0)+1,FALSE)</f>
        <v>0</v>
      </c>
    </row>
    <row r="166" spans="2:20">
      <c r="B166" t="s">
        <v>78</v>
      </c>
      <c r="F166" s="55" t="str">
        <f t="shared" si="8"/>
        <v>ATTIC R0 - R38_Heat Pump</v>
      </c>
      <c r="G166" s="54" t="s">
        <v>65</v>
      </c>
      <c r="H166" s="31">
        <f>VLOOKUP($B166&amp;$C$136&amp;$G166,$E$6:$U$129,H$133,FALSE)*VLOOKUP($B166,Weighting!$D$5:$G$9,MATCH(Segmented!$C$136,Weighting!$E$5:$H$5,0)+1,FALSE)+VLOOKUP($B166&amp;$D$136&amp;$G166,$E$6:$U$129,H$133,FALSE)*VLOOKUP($B166,Weighting!$D$5:$G$9,MATCH(Segmented!$D$136,Weighting!$E$5:$H$5,0)+1,FALSE)+VLOOKUP($B166&amp;$E$136&amp;$G166,$E$6:$U$129,H$133,FALSE)*VLOOKUP($B166,Weighting!$D$5:$G$9,MATCH(Segmented!$E$136,Weighting!$E$5:$H$5,0)+1,FALSE)</f>
        <v>143.03235276320603</v>
      </c>
      <c r="I166">
        <f t="shared" si="3"/>
        <v>45</v>
      </c>
      <c r="J166" s="31">
        <f>VLOOKUP($B166&amp;$C$136&amp;$G166,$E$6:$U$129,J$133,FALSE)*VLOOKUP($B166,Weighting!$D$5:$G$9,MATCH(Segmented!$C$136,Weighting!$E$5:$H$5,0)+1,FALSE)+VLOOKUP($B166&amp;$D$136&amp;$G166,$E$6:$U$129,J$133,FALSE)*VLOOKUP($B166,Weighting!$D$5:$G$9,MATCH(Segmented!$D$136,Weighting!$E$5:$H$5,0)+1,FALSE)+VLOOKUP($B166&amp;$E$136&amp;$G166,$E$6:$U$129,J$133,FALSE)*VLOOKUP($B166,Weighting!$D$5:$G$9,MATCH(Segmented!$E$136,Weighting!$E$5:$H$5,0)+1,FALSE)</f>
        <v>478.21740253086421</v>
      </c>
      <c r="K166" s="31">
        <f>VLOOKUP($B166&amp;$C$136&amp;$G166,$E$6:$U$129,K$133,FALSE)*VLOOKUP($B166,Weighting!$D$5:$G$9,MATCH(Segmented!$C$136,Weighting!$E$5:$H$5,0)+1,FALSE)+VLOOKUP($B166&amp;$D$136&amp;$G166,$E$6:$U$129,K$133,FALSE)*VLOOKUP($B166,Weighting!$D$5:$G$9,MATCH(Segmented!$D$136,Weighting!$E$5:$H$5,0)+1,FALSE)+VLOOKUP($B166&amp;$E$136&amp;$G166,$E$6:$U$129,K$133,FALSE)*VLOOKUP($B166,Weighting!$D$5:$G$9,MATCH(Segmented!$E$136,Weighting!$E$5:$H$5,0)+1,FALSE)</f>
        <v>0</v>
      </c>
      <c r="L166" t="str">
        <f t="shared" si="4"/>
        <v>ResSHWX</v>
      </c>
      <c r="M166" s="31">
        <f>VLOOKUP($B166&amp;$C$136&amp;$G166,$E$6:$U$129,M$133,FALSE)*VLOOKUP($B166,Weighting!$D$5:$G$9,MATCH(Segmented!$C$136,Weighting!$E$5:$H$5,0)+1,FALSE)+VLOOKUP($B166&amp;$D$136&amp;$G166,$E$6:$U$129,M$133,FALSE)*VLOOKUP($B166,Weighting!$D$5:$G$9,MATCH(Segmented!$D$136,Weighting!$E$5:$H$5,0)+1,FALSE)+VLOOKUP($B166&amp;$E$136&amp;$G166,$E$6:$U$129,M$133,FALSE)*VLOOKUP($B166,Weighting!$D$5:$G$9,MATCH(Segmented!$E$136,Weighting!$E$5:$H$5,0)+1,FALSE)</f>
        <v>0</v>
      </c>
      <c r="N166" s="31">
        <f>VLOOKUP($B166&amp;$C$136&amp;$G166,$E$6:$U$129,N$133,FALSE)*VLOOKUP($B166,Weighting!$D$5:$G$9,MATCH(Segmented!$C$136,Weighting!$E$5:$H$5,0)+1,FALSE)+VLOOKUP($B166&amp;$D$136&amp;$G166,$E$6:$U$129,N$133,FALSE)*VLOOKUP($B166,Weighting!$D$5:$G$9,MATCH(Segmented!$D$136,Weighting!$E$5:$H$5,0)+1,FALSE)+VLOOKUP($B166&amp;$E$136&amp;$G166,$E$6:$U$129,N$133,FALSE)*VLOOKUP($B166,Weighting!$D$5:$G$9,MATCH(Segmented!$E$136,Weighting!$E$5:$H$5,0)+1,FALSE)</f>
        <v>0</v>
      </c>
      <c r="O166">
        <f t="shared" si="5"/>
        <v>0</v>
      </c>
      <c r="P166" s="31">
        <f>VLOOKUP($B166&amp;$C$136&amp;$G166,$E$6:$U$129,P$133,FALSE)*VLOOKUP($B166,Weighting!$D$5:$G$9,MATCH(Segmented!$C$136,Weighting!$E$5:$H$5,0)+1,FALSE)+VLOOKUP($B166&amp;$D$136&amp;$G166,$E$6:$U$129,P$133,FALSE)*VLOOKUP($B166,Weighting!$D$5:$G$9,MATCH(Segmented!$D$136,Weighting!$E$5:$H$5,0)+1,FALSE)+VLOOKUP($B166&amp;$E$136&amp;$G166,$E$6:$U$129,P$133,FALSE)*VLOOKUP($B166,Weighting!$D$5:$G$9,MATCH(Segmented!$E$136,Weighting!$E$5:$H$5,0)+1,FALSE)</f>
        <v>0</v>
      </c>
      <c r="Q166">
        <f t="shared" si="6"/>
        <v>0</v>
      </c>
      <c r="R166" s="31">
        <f>VLOOKUP($B166&amp;$C$136&amp;$G166,$E$6:$U$129,R$133,FALSE)*VLOOKUP($B166,Weighting!$D$5:$G$9,MATCH(Segmented!$C$136,Weighting!$E$5:$H$5,0)+1,FALSE)+VLOOKUP($B166&amp;$D$136&amp;$G166,$E$6:$U$129,R$133,FALSE)*VLOOKUP($B166,Weighting!$D$5:$G$9,MATCH(Segmented!$D$136,Weighting!$E$5:$H$5,0)+1,FALSE)+VLOOKUP($B166&amp;$E$136&amp;$G166,$E$6:$U$129,R$133,FALSE)*VLOOKUP($B166,Weighting!$D$5:$G$9,MATCH(Segmented!$E$136,Weighting!$E$5:$H$5,0)+1,FALSE)</f>
        <v>0</v>
      </c>
      <c r="S166">
        <f t="shared" si="7"/>
        <v>0</v>
      </c>
      <c r="T166" s="31">
        <f>VLOOKUP($B166&amp;$C$136&amp;$G166,$E$6:$U$129,T$133,FALSE)*VLOOKUP($B166,Weighting!$D$5:$G$9,MATCH(Segmented!$C$136,Weighting!$E$5:$H$5,0)+1,FALSE)+VLOOKUP($B166&amp;$D$136&amp;$G166,$E$6:$U$129,T$133,FALSE)*VLOOKUP($B166,Weighting!$D$5:$G$9,MATCH(Segmented!$D$136,Weighting!$E$5:$H$5,0)+1,FALSE)+VLOOKUP($B166&amp;$E$136&amp;$G166,$E$6:$U$129,T$133,FALSE)*VLOOKUP($B166,Weighting!$D$5:$G$9,MATCH(Segmented!$E$136,Weighting!$E$5:$H$5,0)+1,FALSE)</f>
        <v>0</v>
      </c>
    </row>
    <row r="167" spans="2:20">
      <c r="B167" t="s">
        <v>78</v>
      </c>
      <c r="F167" s="55" t="str">
        <f t="shared" si="8"/>
        <v>ATTIC R0 - R49_Heat Pump</v>
      </c>
      <c r="G167" s="54" t="s">
        <v>66</v>
      </c>
      <c r="H167" s="31">
        <f>VLOOKUP($B167&amp;$C$136&amp;$G167,$E$6:$U$129,H$133,FALSE)*VLOOKUP($B167,Weighting!$D$5:$G$9,MATCH(Segmented!$C$136,Weighting!$E$5:$H$5,0)+1,FALSE)+VLOOKUP($B167&amp;$D$136&amp;$G167,$E$6:$U$129,H$133,FALSE)*VLOOKUP($B167,Weighting!$D$5:$G$9,MATCH(Segmented!$D$136,Weighting!$E$5:$H$5,0)+1,FALSE)+VLOOKUP($B167&amp;$E$136&amp;$G167,$E$6:$U$129,H$133,FALSE)*VLOOKUP($B167,Weighting!$D$5:$G$9,MATCH(Segmented!$E$136,Weighting!$E$5:$H$5,0)+1,FALSE)</f>
        <v>151.85277255595079</v>
      </c>
      <c r="I167">
        <f t="shared" si="3"/>
        <v>45</v>
      </c>
      <c r="J167" s="31">
        <f>VLOOKUP($B167&amp;$C$136&amp;$G167,$E$6:$U$129,J$133,FALSE)*VLOOKUP($B167,Weighting!$D$5:$G$9,MATCH(Segmented!$C$136,Weighting!$E$5:$H$5,0)+1,FALSE)+VLOOKUP($B167&amp;$D$136&amp;$G167,$E$6:$U$129,J$133,FALSE)*VLOOKUP($B167,Weighting!$D$5:$G$9,MATCH(Segmented!$D$136,Weighting!$E$5:$H$5,0)+1,FALSE)+VLOOKUP($B167&amp;$E$136&amp;$G167,$E$6:$U$129,J$133,FALSE)*VLOOKUP($B167,Weighting!$D$5:$G$9,MATCH(Segmented!$E$136,Weighting!$E$5:$H$5,0)+1,FALSE)</f>
        <v>616.64875589506164</v>
      </c>
      <c r="K167" s="31">
        <f>VLOOKUP($B167&amp;$C$136&amp;$G167,$E$6:$U$129,K$133,FALSE)*VLOOKUP($B167,Weighting!$D$5:$G$9,MATCH(Segmented!$C$136,Weighting!$E$5:$H$5,0)+1,FALSE)+VLOOKUP($B167&amp;$D$136&amp;$G167,$E$6:$U$129,K$133,FALSE)*VLOOKUP($B167,Weighting!$D$5:$G$9,MATCH(Segmented!$D$136,Weighting!$E$5:$H$5,0)+1,FALSE)+VLOOKUP($B167&amp;$E$136&amp;$G167,$E$6:$U$129,K$133,FALSE)*VLOOKUP($B167,Weighting!$D$5:$G$9,MATCH(Segmented!$E$136,Weighting!$E$5:$H$5,0)+1,FALSE)</f>
        <v>0</v>
      </c>
      <c r="L167" t="str">
        <f t="shared" si="4"/>
        <v>ResSHWX</v>
      </c>
      <c r="M167" s="31">
        <f>VLOOKUP($B167&amp;$C$136&amp;$G167,$E$6:$U$129,M$133,FALSE)*VLOOKUP($B167,Weighting!$D$5:$G$9,MATCH(Segmented!$C$136,Weighting!$E$5:$H$5,0)+1,FALSE)+VLOOKUP($B167&amp;$D$136&amp;$G167,$E$6:$U$129,M$133,FALSE)*VLOOKUP($B167,Weighting!$D$5:$G$9,MATCH(Segmented!$D$136,Weighting!$E$5:$H$5,0)+1,FALSE)+VLOOKUP($B167&amp;$E$136&amp;$G167,$E$6:$U$129,M$133,FALSE)*VLOOKUP($B167,Weighting!$D$5:$G$9,MATCH(Segmented!$E$136,Weighting!$E$5:$H$5,0)+1,FALSE)</f>
        <v>0</v>
      </c>
      <c r="N167" s="31">
        <f>VLOOKUP($B167&amp;$C$136&amp;$G167,$E$6:$U$129,N$133,FALSE)*VLOOKUP($B167,Weighting!$D$5:$G$9,MATCH(Segmented!$C$136,Weighting!$E$5:$H$5,0)+1,FALSE)+VLOOKUP($B167&amp;$D$136&amp;$G167,$E$6:$U$129,N$133,FALSE)*VLOOKUP($B167,Weighting!$D$5:$G$9,MATCH(Segmented!$D$136,Weighting!$E$5:$H$5,0)+1,FALSE)+VLOOKUP($B167&amp;$E$136&amp;$G167,$E$6:$U$129,N$133,FALSE)*VLOOKUP($B167,Weighting!$D$5:$G$9,MATCH(Segmented!$E$136,Weighting!$E$5:$H$5,0)+1,FALSE)</f>
        <v>0</v>
      </c>
      <c r="O167">
        <f t="shared" si="5"/>
        <v>0</v>
      </c>
      <c r="P167" s="31">
        <f>VLOOKUP($B167&amp;$C$136&amp;$G167,$E$6:$U$129,P$133,FALSE)*VLOOKUP($B167,Weighting!$D$5:$G$9,MATCH(Segmented!$C$136,Weighting!$E$5:$H$5,0)+1,FALSE)+VLOOKUP($B167&amp;$D$136&amp;$G167,$E$6:$U$129,P$133,FALSE)*VLOOKUP($B167,Weighting!$D$5:$G$9,MATCH(Segmented!$D$136,Weighting!$E$5:$H$5,0)+1,FALSE)+VLOOKUP($B167&amp;$E$136&amp;$G167,$E$6:$U$129,P$133,FALSE)*VLOOKUP($B167,Weighting!$D$5:$G$9,MATCH(Segmented!$E$136,Weighting!$E$5:$H$5,0)+1,FALSE)</f>
        <v>0</v>
      </c>
      <c r="Q167">
        <f t="shared" si="6"/>
        <v>0</v>
      </c>
      <c r="R167" s="31">
        <f>VLOOKUP($B167&amp;$C$136&amp;$G167,$E$6:$U$129,R$133,FALSE)*VLOOKUP($B167,Weighting!$D$5:$G$9,MATCH(Segmented!$C$136,Weighting!$E$5:$H$5,0)+1,FALSE)+VLOOKUP($B167&amp;$D$136&amp;$G167,$E$6:$U$129,R$133,FALSE)*VLOOKUP($B167,Weighting!$D$5:$G$9,MATCH(Segmented!$D$136,Weighting!$E$5:$H$5,0)+1,FALSE)+VLOOKUP($B167&amp;$E$136&amp;$G167,$E$6:$U$129,R$133,FALSE)*VLOOKUP($B167,Weighting!$D$5:$G$9,MATCH(Segmented!$E$136,Weighting!$E$5:$H$5,0)+1,FALSE)</f>
        <v>0</v>
      </c>
      <c r="S167">
        <f t="shared" si="7"/>
        <v>0</v>
      </c>
      <c r="T167" s="31">
        <f>VLOOKUP($B167&amp;$C$136&amp;$G167,$E$6:$U$129,T$133,FALSE)*VLOOKUP($B167,Weighting!$D$5:$G$9,MATCH(Segmented!$C$136,Weighting!$E$5:$H$5,0)+1,FALSE)+VLOOKUP($B167&amp;$D$136&amp;$G167,$E$6:$U$129,T$133,FALSE)*VLOOKUP($B167,Weighting!$D$5:$G$9,MATCH(Segmented!$D$136,Weighting!$E$5:$H$5,0)+1,FALSE)+VLOOKUP($B167&amp;$E$136&amp;$G167,$E$6:$U$129,T$133,FALSE)*VLOOKUP($B167,Weighting!$D$5:$G$9,MATCH(Segmented!$E$136,Weighting!$E$5:$H$5,0)+1,FALSE)</f>
        <v>0</v>
      </c>
    </row>
    <row r="168" spans="2:20">
      <c r="B168" t="s">
        <v>78</v>
      </c>
      <c r="F168" s="55" t="str">
        <f t="shared" si="8"/>
        <v>ATTIC R19 - R30_Heat Pump</v>
      </c>
      <c r="G168" s="54" t="s">
        <v>1202</v>
      </c>
      <c r="H168" s="31">
        <f>VLOOKUP($B168&amp;$C$136&amp;$G168,$E$6:$U$129,H$133,FALSE)*VLOOKUP($B168,Weighting!$D$5:$G$9,MATCH(Segmented!$C$136,Weighting!$E$5:$H$5,0)+1,FALSE)+VLOOKUP($B168&amp;$D$136&amp;$G168,$E$6:$U$129,H$133,FALSE)*VLOOKUP($B168,Weighting!$D$5:$G$9,MATCH(Segmented!$D$136,Weighting!$E$5:$H$5,0)+1,FALSE)+VLOOKUP($B168&amp;$E$136&amp;$G168,$E$6:$U$129,H$133,FALSE)*VLOOKUP($B168,Weighting!$D$5:$G$9,MATCH(Segmented!$E$136,Weighting!$E$5:$H$5,0)+1,FALSE)</f>
        <v>27.624173265655006</v>
      </c>
      <c r="I168">
        <f t="shared" si="3"/>
        <v>45</v>
      </c>
      <c r="J168" s="31">
        <f>VLOOKUP($B168&amp;$C$136&amp;$G168,$E$6:$U$129,J$133,FALSE)*VLOOKUP($B168,Weighting!$D$5:$G$9,MATCH(Segmented!$C$136,Weighting!$E$5:$H$5,0)+1,FALSE)+VLOOKUP($B168&amp;$D$136&amp;$G168,$E$6:$U$129,J$133,FALSE)*VLOOKUP($B168,Weighting!$D$5:$G$9,MATCH(Segmented!$D$136,Weighting!$E$5:$H$5,0)+1,FALSE)+VLOOKUP($B168&amp;$E$136&amp;$G168,$E$6:$U$129,J$133,FALSE)*VLOOKUP($B168,Weighting!$D$5:$G$9,MATCH(Segmented!$E$136,Weighting!$E$5:$H$5,0)+1,FALSE)</f>
        <v>138.43135336419752</v>
      </c>
      <c r="K168" s="31">
        <f>VLOOKUP($B168&amp;$C$136&amp;$G168,$E$6:$U$129,K$133,FALSE)*VLOOKUP($B168,Weighting!$D$5:$G$9,MATCH(Segmented!$C$136,Weighting!$E$5:$H$5,0)+1,FALSE)+VLOOKUP($B168&amp;$D$136&amp;$G168,$E$6:$U$129,K$133,FALSE)*VLOOKUP($B168,Weighting!$D$5:$G$9,MATCH(Segmented!$D$136,Weighting!$E$5:$H$5,0)+1,FALSE)+VLOOKUP($B168&amp;$E$136&amp;$G168,$E$6:$U$129,K$133,FALSE)*VLOOKUP($B168,Weighting!$D$5:$G$9,MATCH(Segmented!$E$136,Weighting!$E$5:$H$5,0)+1,FALSE)</f>
        <v>0</v>
      </c>
      <c r="L168" t="str">
        <f t="shared" si="4"/>
        <v>ResSHWX</v>
      </c>
      <c r="M168" s="31">
        <f>VLOOKUP($B168&amp;$C$136&amp;$G168,$E$6:$U$129,M$133,FALSE)*VLOOKUP($B168,Weighting!$D$5:$G$9,MATCH(Segmented!$C$136,Weighting!$E$5:$H$5,0)+1,FALSE)+VLOOKUP($B168&amp;$D$136&amp;$G168,$E$6:$U$129,M$133,FALSE)*VLOOKUP($B168,Weighting!$D$5:$G$9,MATCH(Segmented!$D$136,Weighting!$E$5:$H$5,0)+1,FALSE)+VLOOKUP($B168&amp;$E$136&amp;$G168,$E$6:$U$129,M$133,FALSE)*VLOOKUP($B168,Weighting!$D$5:$G$9,MATCH(Segmented!$E$136,Weighting!$E$5:$H$5,0)+1,FALSE)</f>
        <v>0</v>
      </c>
      <c r="N168" s="31">
        <f>VLOOKUP($B168&amp;$C$136&amp;$G168,$E$6:$U$129,N$133,FALSE)*VLOOKUP($B168,Weighting!$D$5:$G$9,MATCH(Segmented!$C$136,Weighting!$E$5:$H$5,0)+1,FALSE)+VLOOKUP($B168&amp;$D$136&amp;$G168,$E$6:$U$129,N$133,FALSE)*VLOOKUP($B168,Weighting!$D$5:$G$9,MATCH(Segmented!$D$136,Weighting!$E$5:$H$5,0)+1,FALSE)+VLOOKUP($B168&amp;$E$136&amp;$G168,$E$6:$U$129,N$133,FALSE)*VLOOKUP($B168,Weighting!$D$5:$G$9,MATCH(Segmented!$E$136,Weighting!$E$5:$H$5,0)+1,FALSE)</f>
        <v>0</v>
      </c>
      <c r="O168">
        <f t="shared" si="5"/>
        <v>0</v>
      </c>
      <c r="P168" s="31">
        <f>VLOOKUP($B168&amp;$C$136&amp;$G168,$E$6:$U$129,P$133,FALSE)*VLOOKUP($B168,Weighting!$D$5:$G$9,MATCH(Segmented!$C$136,Weighting!$E$5:$H$5,0)+1,FALSE)+VLOOKUP($B168&amp;$D$136&amp;$G168,$E$6:$U$129,P$133,FALSE)*VLOOKUP($B168,Weighting!$D$5:$G$9,MATCH(Segmented!$D$136,Weighting!$E$5:$H$5,0)+1,FALSE)+VLOOKUP($B168&amp;$E$136&amp;$G168,$E$6:$U$129,P$133,FALSE)*VLOOKUP($B168,Weighting!$D$5:$G$9,MATCH(Segmented!$E$136,Weighting!$E$5:$H$5,0)+1,FALSE)</f>
        <v>0</v>
      </c>
      <c r="Q168">
        <f t="shared" si="6"/>
        <v>0</v>
      </c>
      <c r="R168" s="31">
        <f>VLOOKUP($B168&amp;$C$136&amp;$G168,$E$6:$U$129,R$133,FALSE)*VLOOKUP($B168,Weighting!$D$5:$G$9,MATCH(Segmented!$C$136,Weighting!$E$5:$H$5,0)+1,FALSE)+VLOOKUP($B168&amp;$D$136&amp;$G168,$E$6:$U$129,R$133,FALSE)*VLOOKUP($B168,Weighting!$D$5:$G$9,MATCH(Segmented!$D$136,Weighting!$E$5:$H$5,0)+1,FALSE)+VLOOKUP($B168&amp;$E$136&amp;$G168,$E$6:$U$129,R$133,FALSE)*VLOOKUP($B168,Weighting!$D$5:$G$9,MATCH(Segmented!$E$136,Weighting!$E$5:$H$5,0)+1,FALSE)</f>
        <v>0</v>
      </c>
      <c r="S168">
        <f t="shared" si="7"/>
        <v>0</v>
      </c>
      <c r="T168" s="31">
        <f>VLOOKUP($B168&amp;$C$136&amp;$G168,$E$6:$U$129,T$133,FALSE)*VLOOKUP($B168,Weighting!$D$5:$G$9,MATCH(Segmented!$C$136,Weighting!$E$5:$H$5,0)+1,FALSE)+VLOOKUP($B168&amp;$D$136&amp;$G168,$E$6:$U$129,T$133,FALSE)*VLOOKUP($B168,Weighting!$D$5:$G$9,MATCH(Segmented!$D$136,Weighting!$E$5:$H$5,0)+1,FALSE)+VLOOKUP($B168&amp;$E$136&amp;$G168,$E$6:$U$129,T$133,FALSE)*VLOOKUP($B168,Weighting!$D$5:$G$9,MATCH(Segmented!$E$136,Weighting!$E$5:$H$5,0)+1,FALSE)</f>
        <v>0</v>
      </c>
    </row>
    <row r="169" spans="2:20">
      <c r="B169" t="s">
        <v>78</v>
      </c>
      <c r="F169" s="55" t="str">
        <f t="shared" si="8"/>
        <v>ATTIC R19 - R38_Heat Pump</v>
      </c>
      <c r="G169" s="54" t="s">
        <v>67</v>
      </c>
      <c r="H169" s="31">
        <f>VLOOKUP($B169&amp;$C$136&amp;$G169,$E$6:$U$129,H$133,FALSE)*VLOOKUP($B169,Weighting!$D$5:$G$9,MATCH(Segmented!$C$136,Weighting!$E$5:$H$5,0)+1,FALSE)+VLOOKUP($B169&amp;$D$136&amp;$G169,$E$6:$U$129,H$133,FALSE)*VLOOKUP($B169,Weighting!$D$5:$G$9,MATCH(Segmented!$D$136,Weighting!$E$5:$H$5,0)+1,FALSE)+VLOOKUP($B169&amp;$E$136&amp;$G169,$E$6:$U$129,H$133,FALSE)*VLOOKUP($B169,Weighting!$D$5:$G$9,MATCH(Segmented!$E$136,Weighting!$E$5:$H$5,0)+1,FALSE)</f>
        <v>38.181484397289175</v>
      </c>
      <c r="I169">
        <f t="shared" si="3"/>
        <v>45</v>
      </c>
      <c r="J169" s="31">
        <f>VLOOKUP($B169&amp;$C$136&amp;$G169,$E$6:$U$129,J$133,FALSE)*VLOOKUP($B169,Weighting!$D$5:$G$9,MATCH(Segmented!$C$136,Weighting!$E$5:$H$5,0)+1,FALSE)+VLOOKUP($B169&amp;$D$136&amp;$G169,$E$6:$U$129,J$133,FALSE)*VLOOKUP($B169,Weighting!$D$5:$G$9,MATCH(Segmented!$D$136,Weighting!$E$5:$H$5,0)+1,FALSE)+VLOOKUP($B169&amp;$E$136&amp;$G169,$E$6:$U$129,J$133,FALSE)*VLOOKUP($B169,Weighting!$D$5:$G$9,MATCH(Segmented!$E$136,Weighting!$E$5:$H$5,0)+1,FALSE)</f>
        <v>239.1087012654321</v>
      </c>
      <c r="K169" s="31">
        <f>VLOOKUP($B169&amp;$C$136&amp;$G169,$E$6:$U$129,K$133,FALSE)*VLOOKUP($B169,Weighting!$D$5:$G$9,MATCH(Segmented!$C$136,Weighting!$E$5:$H$5,0)+1,FALSE)+VLOOKUP($B169&amp;$D$136&amp;$G169,$E$6:$U$129,K$133,FALSE)*VLOOKUP($B169,Weighting!$D$5:$G$9,MATCH(Segmented!$D$136,Weighting!$E$5:$H$5,0)+1,FALSE)+VLOOKUP($B169&amp;$E$136&amp;$G169,$E$6:$U$129,K$133,FALSE)*VLOOKUP($B169,Weighting!$D$5:$G$9,MATCH(Segmented!$E$136,Weighting!$E$5:$H$5,0)+1,FALSE)</f>
        <v>0</v>
      </c>
      <c r="L169" t="str">
        <f t="shared" si="4"/>
        <v>ResSHWX</v>
      </c>
      <c r="M169" s="31">
        <f>VLOOKUP($B169&amp;$C$136&amp;$G169,$E$6:$U$129,M$133,FALSE)*VLOOKUP($B169,Weighting!$D$5:$G$9,MATCH(Segmented!$C$136,Weighting!$E$5:$H$5,0)+1,FALSE)+VLOOKUP($B169&amp;$D$136&amp;$G169,$E$6:$U$129,M$133,FALSE)*VLOOKUP($B169,Weighting!$D$5:$G$9,MATCH(Segmented!$D$136,Weighting!$E$5:$H$5,0)+1,FALSE)+VLOOKUP($B169&amp;$E$136&amp;$G169,$E$6:$U$129,M$133,FALSE)*VLOOKUP($B169,Weighting!$D$5:$G$9,MATCH(Segmented!$E$136,Weighting!$E$5:$H$5,0)+1,FALSE)</f>
        <v>0</v>
      </c>
      <c r="N169" s="31">
        <f>VLOOKUP($B169&amp;$C$136&amp;$G169,$E$6:$U$129,N$133,FALSE)*VLOOKUP($B169,Weighting!$D$5:$G$9,MATCH(Segmented!$C$136,Weighting!$E$5:$H$5,0)+1,FALSE)+VLOOKUP($B169&amp;$D$136&amp;$G169,$E$6:$U$129,N$133,FALSE)*VLOOKUP($B169,Weighting!$D$5:$G$9,MATCH(Segmented!$D$136,Weighting!$E$5:$H$5,0)+1,FALSE)+VLOOKUP($B169&amp;$E$136&amp;$G169,$E$6:$U$129,N$133,FALSE)*VLOOKUP($B169,Weighting!$D$5:$G$9,MATCH(Segmented!$E$136,Weighting!$E$5:$H$5,0)+1,FALSE)</f>
        <v>0</v>
      </c>
      <c r="O169">
        <f t="shared" si="5"/>
        <v>0</v>
      </c>
      <c r="P169" s="31">
        <f>VLOOKUP($B169&amp;$C$136&amp;$G169,$E$6:$U$129,P$133,FALSE)*VLOOKUP($B169,Weighting!$D$5:$G$9,MATCH(Segmented!$C$136,Weighting!$E$5:$H$5,0)+1,FALSE)+VLOOKUP($B169&amp;$D$136&amp;$G169,$E$6:$U$129,P$133,FALSE)*VLOOKUP($B169,Weighting!$D$5:$G$9,MATCH(Segmented!$D$136,Weighting!$E$5:$H$5,0)+1,FALSE)+VLOOKUP($B169&amp;$E$136&amp;$G169,$E$6:$U$129,P$133,FALSE)*VLOOKUP($B169,Weighting!$D$5:$G$9,MATCH(Segmented!$E$136,Weighting!$E$5:$H$5,0)+1,FALSE)</f>
        <v>0</v>
      </c>
      <c r="Q169">
        <f t="shared" si="6"/>
        <v>0</v>
      </c>
      <c r="R169" s="31">
        <f>VLOOKUP($B169&amp;$C$136&amp;$G169,$E$6:$U$129,R$133,FALSE)*VLOOKUP($B169,Weighting!$D$5:$G$9,MATCH(Segmented!$C$136,Weighting!$E$5:$H$5,0)+1,FALSE)+VLOOKUP($B169&amp;$D$136&amp;$G169,$E$6:$U$129,R$133,FALSE)*VLOOKUP($B169,Weighting!$D$5:$G$9,MATCH(Segmented!$D$136,Weighting!$E$5:$H$5,0)+1,FALSE)+VLOOKUP($B169&amp;$E$136&amp;$G169,$E$6:$U$129,R$133,FALSE)*VLOOKUP($B169,Weighting!$D$5:$G$9,MATCH(Segmented!$E$136,Weighting!$E$5:$H$5,0)+1,FALSE)</f>
        <v>0</v>
      </c>
      <c r="S169">
        <f t="shared" si="7"/>
        <v>0</v>
      </c>
      <c r="T169" s="31">
        <f>VLOOKUP($B169&amp;$C$136&amp;$G169,$E$6:$U$129,T$133,FALSE)*VLOOKUP($B169,Weighting!$D$5:$G$9,MATCH(Segmented!$C$136,Weighting!$E$5:$H$5,0)+1,FALSE)+VLOOKUP($B169&amp;$D$136&amp;$G169,$E$6:$U$129,T$133,FALSE)*VLOOKUP($B169,Weighting!$D$5:$G$9,MATCH(Segmented!$D$136,Weighting!$E$5:$H$5,0)+1,FALSE)+VLOOKUP($B169&amp;$E$136&amp;$G169,$E$6:$U$129,T$133,FALSE)*VLOOKUP($B169,Weighting!$D$5:$G$9,MATCH(Segmented!$E$136,Weighting!$E$5:$H$5,0)+1,FALSE)</f>
        <v>0</v>
      </c>
    </row>
    <row r="170" spans="2:20">
      <c r="B170" t="s">
        <v>78</v>
      </c>
      <c r="F170" s="55" t="str">
        <f t="shared" si="8"/>
        <v>ATTIC R19 - R49_Heat Pump</v>
      </c>
      <c r="G170" s="54" t="s">
        <v>68</v>
      </c>
      <c r="H170" s="31">
        <f>VLOOKUP($B170&amp;$C$136&amp;$G170,$E$6:$U$129,H$133,FALSE)*VLOOKUP($B170,Weighting!$D$5:$G$9,MATCH(Segmented!$C$136,Weighting!$E$5:$H$5,0)+1,FALSE)+VLOOKUP($B170&amp;$D$136&amp;$G170,$E$6:$U$129,H$133,FALSE)*VLOOKUP($B170,Weighting!$D$5:$G$9,MATCH(Segmented!$D$136,Weighting!$E$5:$H$5,0)+1,FALSE)+VLOOKUP($B170&amp;$E$136&amp;$G170,$E$6:$U$129,H$133,FALSE)*VLOOKUP($B170,Weighting!$D$5:$G$9,MATCH(Segmented!$E$136,Weighting!$E$5:$H$5,0)+1,FALSE)</f>
        <v>47.00190419003394</v>
      </c>
      <c r="I170">
        <f t="shared" si="3"/>
        <v>45</v>
      </c>
      <c r="J170" s="31">
        <f>VLOOKUP($B170&amp;$C$136&amp;$G170,$E$6:$U$129,J$133,FALSE)*VLOOKUP($B170,Weighting!$D$5:$G$9,MATCH(Segmented!$C$136,Weighting!$E$5:$H$5,0)+1,FALSE)+VLOOKUP($B170&amp;$D$136&amp;$G170,$E$6:$U$129,J$133,FALSE)*VLOOKUP($B170,Weighting!$D$5:$G$9,MATCH(Segmented!$D$136,Weighting!$E$5:$H$5,0)+1,FALSE)+VLOOKUP($B170&amp;$E$136&amp;$G170,$E$6:$U$129,J$133,FALSE)*VLOOKUP($B170,Weighting!$D$5:$G$9,MATCH(Segmented!$E$136,Weighting!$E$5:$H$5,0)+1,FALSE)</f>
        <v>377.54005462962965</v>
      </c>
      <c r="K170" s="31">
        <f>VLOOKUP($B170&amp;$C$136&amp;$G170,$E$6:$U$129,K$133,FALSE)*VLOOKUP($B170,Weighting!$D$5:$G$9,MATCH(Segmented!$C$136,Weighting!$E$5:$H$5,0)+1,FALSE)+VLOOKUP($B170&amp;$D$136&amp;$G170,$E$6:$U$129,K$133,FALSE)*VLOOKUP($B170,Weighting!$D$5:$G$9,MATCH(Segmented!$D$136,Weighting!$E$5:$H$5,0)+1,FALSE)+VLOOKUP($B170&amp;$E$136&amp;$G170,$E$6:$U$129,K$133,FALSE)*VLOOKUP($B170,Weighting!$D$5:$G$9,MATCH(Segmented!$E$136,Weighting!$E$5:$H$5,0)+1,FALSE)</f>
        <v>0</v>
      </c>
      <c r="L170" t="str">
        <f t="shared" si="4"/>
        <v>ResSHWX</v>
      </c>
      <c r="M170" s="31">
        <f>VLOOKUP($B170&amp;$C$136&amp;$G170,$E$6:$U$129,M$133,FALSE)*VLOOKUP($B170,Weighting!$D$5:$G$9,MATCH(Segmented!$C$136,Weighting!$E$5:$H$5,0)+1,FALSE)+VLOOKUP($B170&amp;$D$136&amp;$G170,$E$6:$U$129,M$133,FALSE)*VLOOKUP($B170,Weighting!$D$5:$G$9,MATCH(Segmented!$D$136,Weighting!$E$5:$H$5,0)+1,FALSE)+VLOOKUP($B170&amp;$E$136&amp;$G170,$E$6:$U$129,M$133,FALSE)*VLOOKUP($B170,Weighting!$D$5:$G$9,MATCH(Segmented!$E$136,Weighting!$E$5:$H$5,0)+1,FALSE)</f>
        <v>0</v>
      </c>
      <c r="N170" s="31">
        <f>VLOOKUP($B170&amp;$C$136&amp;$G170,$E$6:$U$129,N$133,FALSE)*VLOOKUP($B170,Weighting!$D$5:$G$9,MATCH(Segmented!$C$136,Weighting!$E$5:$H$5,0)+1,FALSE)+VLOOKUP($B170&amp;$D$136&amp;$G170,$E$6:$U$129,N$133,FALSE)*VLOOKUP($B170,Weighting!$D$5:$G$9,MATCH(Segmented!$D$136,Weighting!$E$5:$H$5,0)+1,FALSE)+VLOOKUP($B170&amp;$E$136&amp;$G170,$E$6:$U$129,N$133,FALSE)*VLOOKUP($B170,Weighting!$D$5:$G$9,MATCH(Segmented!$E$136,Weighting!$E$5:$H$5,0)+1,FALSE)</f>
        <v>0</v>
      </c>
      <c r="O170">
        <f t="shared" si="5"/>
        <v>0</v>
      </c>
      <c r="P170" s="31">
        <f>VLOOKUP($B170&amp;$C$136&amp;$G170,$E$6:$U$129,P$133,FALSE)*VLOOKUP($B170,Weighting!$D$5:$G$9,MATCH(Segmented!$C$136,Weighting!$E$5:$H$5,0)+1,FALSE)+VLOOKUP($B170&amp;$D$136&amp;$G170,$E$6:$U$129,P$133,FALSE)*VLOOKUP($B170,Weighting!$D$5:$G$9,MATCH(Segmented!$D$136,Weighting!$E$5:$H$5,0)+1,FALSE)+VLOOKUP($B170&amp;$E$136&amp;$G170,$E$6:$U$129,P$133,FALSE)*VLOOKUP($B170,Weighting!$D$5:$G$9,MATCH(Segmented!$E$136,Weighting!$E$5:$H$5,0)+1,FALSE)</f>
        <v>0</v>
      </c>
      <c r="Q170">
        <f t="shared" si="6"/>
        <v>0</v>
      </c>
      <c r="R170" s="31">
        <f>VLOOKUP($B170&amp;$C$136&amp;$G170,$E$6:$U$129,R$133,FALSE)*VLOOKUP($B170,Weighting!$D$5:$G$9,MATCH(Segmented!$C$136,Weighting!$E$5:$H$5,0)+1,FALSE)+VLOOKUP($B170&amp;$D$136&amp;$G170,$E$6:$U$129,R$133,FALSE)*VLOOKUP($B170,Weighting!$D$5:$G$9,MATCH(Segmented!$D$136,Weighting!$E$5:$H$5,0)+1,FALSE)+VLOOKUP($B170&amp;$E$136&amp;$G170,$E$6:$U$129,R$133,FALSE)*VLOOKUP($B170,Weighting!$D$5:$G$9,MATCH(Segmented!$E$136,Weighting!$E$5:$H$5,0)+1,FALSE)</f>
        <v>0</v>
      </c>
      <c r="S170">
        <f t="shared" si="7"/>
        <v>0</v>
      </c>
      <c r="T170" s="31">
        <f>VLOOKUP($B170&amp;$C$136&amp;$G170,$E$6:$U$129,T$133,FALSE)*VLOOKUP($B170,Weighting!$D$5:$G$9,MATCH(Segmented!$C$136,Weighting!$E$5:$H$5,0)+1,FALSE)+VLOOKUP($B170&amp;$D$136&amp;$G170,$E$6:$U$129,T$133,FALSE)*VLOOKUP($B170,Weighting!$D$5:$G$9,MATCH(Segmented!$D$136,Weighting!$E$5:$H$5,0)+1,FALSE)+VLOOKUP($B170&amp;$E$136&amp;$G170,$E$6:$U$129,T$133,FALSE)*VLOOKUP($B170,Weighting!$D$5:$G$9,MATCH(Segmented!$E$136,Weighting!$E$5:$H$5,0)+1,FALSE)</f>
        <v>0</v>
      </c>
    </row>
    <row r="171" spans="2:20" ht="25.5">
      <c r="B171" t="s">
        <v>78</v>
      </c>
      <c r="F171" s="55" t="str">
        <f t="shared" si="8"/>
        <v>WINDOW CL22 Prime Window Replacement of Single Pane Base_Heat Pump</v>
      </c>
      <c r="G171" s="54" t="s">
        <v>74</v>
      </c>
      <c r="H171" s="31">
        <f>VLOOKUP($B171&amp;$C$136&amp;$G171,$E$6:$U$129,H$133,FALSE)*VLOOKUP($B171,Weighting!$D$5:$G$9,MATCH(Segmented!$C$136,Weighting!$E$5:$H$5,0)+1,FALSE)+VLOOKUP($B171&amp;$D$136&amp;$G171,$E$6:$U$129,H$133,FALSE)*VLOOKUP($B171,Weighting!$D$5:$G$9,MATCH(Segmented!$D$136,Weighting!$E$5:$H$5,0)+1,FALSE)+VLOOKUP($B171&amp;$E$136&amp;$G171,$E$6:$U$129,H$133,FALSE)*VLOOKUP($B171,Weighting!$D$5:$G$9,MATCH(Segmented!$E$136,Weighting!$E$5:$H$5,0)+1,FALSE)</f>
        <v>2671.270333683723</v>
      </c>
      <c r="I171">
        <f t="shared" si="3"/>
        <v>45</v>
      </c>
      <c r="J171" s="31">
        <f>VLOOKUP($B171&amp;$C$136&amp;$G171,$E$6:$U$129,J$133,FALSE)*VLOOKUP($B171,Weighting!$D$5:$G$9,MATCH(Segmented!$C$136,Weighting!$E$5:$H$5,0)+1,FALSE)+VLOOKUP($B171&amp;$D$136&amp;$G171,$E$6:$U$129,J$133,FALSE)*VLOOKUP($B171,Weighting!$D$5:$G$9,MATCH(Segmented!$D$136,Weighting!$E$5:$H$5,0)+1,FALSE)+VLOOKUP($B171&amp;$E$136&amp;$G171,$E$6:$U$129,J$133,FALSE)*VLOOKUP($B171,Weighting!$D$5:$G$9,MATCH(Segmented!$E$136,Weighting!$E$5:$H$5,0)+1,FALSE)</f>
        <v>4101.7368570659019</v>
      </c>
      <c r="K171" s="31">
        <f>VLOOKUP($B171&amp;$C$136&amp;$G171,$E$6:$U$129,K$133,FALSE)*VLOOKUP($B171,Weighting!$D$5:$G$9,MATCH(Segmented!$C$136,Weighting!$E$5:$H$5,0)+1,FALSE)+VLOOKUP($B171&amp;$D$136&amp;$G171,$E$6:$U$129,K$133,FALSE)*VLOOKUP($B171,Weighting!$D$5:$G$9,MATCH(Segmented!$D$136,Weighting!$E$5:$H$5,0)+1,FALSE)+VLOOKUP($B171&amp;$E$136&amp;$G171,$E$6:$U$129,K$133,FALSE)*VLOOKUP($B171,Weighting!$D$5:$G$9,MATCH(Segmented!$E$136,Weighting!$E$5:$H$5,0)+1,FALSE)</f>
        <v>0</v>
      </c>
      <c r="L171" t="str">
        <f t="shared" si="4"/>
        <v>ResSHWX</v>
      </c>
      <c r="M171" s="31">
        <f>VLOOKUP($B171&amp;$C$136&amp;$G171,$E$6:$U$129,M$133,FALSE)*VLOOKUP($B171,Weighting!$D$5:$G$9,MATCH(Segmented!$C$136,Weighting!$E$5:$H$5,0)+1,FALSE)+VLOOKUP($B171&amp;$D$136&amp;$G171,$E$6:$U$129,M$133,FALSE)*VLOOKUP($B171,Weighting!$D$5:$G$9,MATCH(Segmented!$D$136,Weighting!$E$5:$H$5,0)+1,FALSE)+VLOOKUP($B171&amp;$E$136&amp;$G171,$E$6:$U$129,M$133,FALSE)*VLOOKUP($B171,Weighting!$D$5:$G$9,MATCH(Segmented!$E$136,Weighting!$E$5:$H$5,0)+1,FALSE)</f>
        <v>0</v>
      </c>
      <c r="N171" s="31">
        <f>VLOOKUP($B171&amp;$C$136&amp;$G171,$E$6:$U$129,N$133,FALSE)*VLOOKUP($B171,Weighting!$D$5:$G$9,MATCH(Segmented!$C$136,Weighting!$E$5:$H$5,0)+1,FALSE)+VLOOKUP($B171&amp;$D$136&amp;$G171,$E$6:$U$129,N$133,FALSE)*VLOOKUP($B171,Weighting!$D$5:$G$9,MATCH(Segmented!$D$136,Weighting!$E$5:$H$5,0)+1,FALSE)+VLOOKUP($B171&amp;$E$136&amp;$G171,$E$6:$U$129,N$133,FALSE)*VLOOKUP($B171,Weighting!$D$5:$G$9,MATCH(Segmented!$E$136,Weighting!$E$5:$H$5,0)+1,FALSE)</f>
        <v>0</v>
      </c>
      <c r="O171">
        <f t="shared" si="5"/>
        <v>0</v>
      </c>
      <c r="P171" s="31">
        <f>VLOOKUP($B171&amp;$C$136&amp;$G171,$E$6:$U$129,P$133,FALSE)*VLOOKUP($B171,Weighting!$D$5:$G$9,MATCH(Segmented!$C$136,Weighting!$E$5:$H$5,0)+1,FALSE)+VLOOKUP($B171&amp;$D$136&amp;$G171,$E$6:$U$129,P$133,FALSE)*VLOOKUP($B171,Weighting!$D$5:$G$9,MATCH(Segmented!$D$136,Weighting!$E$5:$H$5,0)+1,FALSE)+VLOOKUP($B171&amp;$E$136&amp;$G171,$E$6:$U$129,P$133,FALSE)*VLOOKUP($B171,Weighting!$D$5:$G$9,MATCH(Segmented!$E$136,Weighting!$E$5:$H$5,0)+1,FALSE)</f>
        <v>0</v>
      </c>
      <c r="Q171">
        <f t="shared" si="6"/>
        <v>0</v>
      </c>
      <c r="R171" s="31">
        <f>VLOOKUP($B171&amp;$C$136&amp;$G171,$E$6:$U$129,R$133,FALSE)*VLOOKUP($B171,Weighting!$D$5:$G$9,MATCH(Segmented!$C$136,Weighting!$E$5:$H$5,0)+1,FALSE)+VLOOKUP($B171&amp;$D$136&amp;$G171,$E$6:$U$129,R$133,FALSE)*VLOOKUP($B171,Weighting!$D$5:$G$9,MATCH(Segmented!$D$136,Weighting!$E$5:$H$5,0)+1,FALSE)+VLOOKUP($B171&amp;$E$136&amp;$G171,$E$6:$U$129,R$133,FALSE)*VLOOKUP($B171,Weighting!$D$5:$G$9,MATCH(Segmented!$E$136,Weighting!$E$5:$H$5,0)+1,FALSE)</f>
        <v>0</v>
      </c>
      <c r="S171">
        <f t="shared" si="7"/>
        <v>0</v>
      </c>
      <c r="T171" s="31">
        <f>VLOOKUP($B171&amp;$C$136&amp;$G171,$E$6:$U$129,T$133,FALSE)*VLOOKUP($B171,Weighting!$D$5:$G$9,MATCH(Segmented!$C$136,Weighting!$E$5:$H$5,0)+1,FALSE)+VLOOKUP($B171&amp;$D$136&amp;$G171,$E$6:$U$129,T$133,FALSE)*VLOOKUP($B171,Weighting!$D$5:$G$9,MATCH(Segmented!$D$136,Weighting!$E$5:$H$5,0)+1,FALSE)+VLOOKUP($B171&amp;$E$136&amp;$G171,$E$6:$U$129,T$133,FALSE)*VLOOKUP($B171,Weighting!$D$5:$G$9,MATCH(Segmented!$E$136,Weighting!$E$5:$H$5,0)+1,FALSE)</f>
        <v>0</v>
      </c>
    </row>
    <row r="172" spans="2:20" ht="25.5">
      <c r="B172" t="s">
        <v>78</v>
      </c>
      <c r="F172" s="55" t="str">
        <f t="shared" si="8"/>
        <v>WINDOW CL22 Prime Window Replacement of Double Pane Base_Heat Pump</v>
      </c>
      <c r="G172" s="54" t="s">
        <v>75</v>
      </c>
      <c r="H172" s="31">
        <f>VLOOKUP($B172&amp;$C$136&amp;$G172,$E$6:$U$129,H$133,FALSE)*VLOOKUP($B172,Weighting!$D$5:$G$9,MATCH(Segmented!$C$136,Weighting!$E$5:$H$5,0)+1,FALSE)+VLOOKUP($B172&amp;$D$136&amp;$G172,$E$6:$U$129,H$133,FALSE)*VLOOKUP($B172,Weighting!$D$5:$G$9,MATCH(Segmented!$D$136,Weighting!$E$5:$H$5,0)+1,FALSE)+VLOOKUP($B172&amp;$E$136&amp;$G172,$E$6:$U$129,H$133,FALSE)*VLOOKUP($B172,Weighting!$D$5:$G$9,MATCH(Segmented!$E$136,Weighting!$E$5:$H$5,0)+1,FALSE)</f>
        <v>1729.8965551925849</v>
      </c>
      <c r="I172">
        <f t="shared" si="3"/>
        <v>45</v>
      </c>
      <c r="J172" s="31">
        <f>VLOOKUP($B172&amp;$C$136&amp;$G172,$E$6:$U$129,J$133,FALSE)*VLOOKUP($B172,Weighting!$D$5:$G$9,MATCH(Segmented!$C$136,Weighting!$E$5:$H$5,0)+1,FALSE)+VLOOKUP($B172&amp;$D$136&amp;$G172,$E$6:$U$129,J$133,FALSE)*VLOOKUP($B172,Weighting!$D$5:$G$9,MATCH(Segmented!$D$136,Weighting!$E$5:$H$5,0)+1,FALSE)+VLOOKUP($B172&amp;$E$136&amp;$G172,$E$6:$U$129,J$133,FALSE)*VLOOKUP($B172,Weighting!$D$5:$G$9,MATCH(Segmented!$E$136,Weighting!$E$5:$H$5,0)+1,FALSE)</f>
        <v>4101.7368570659019</v>
      </c>
      <c r="K172" s="31">
        <f>VLOOKUP($B172&amp;$C$136&amp;$G172,$E$6:$U$129,K$133,FALSE)*VLOOKUP($B172,Weighting!$D$5:$G$9,MATCH(Segmented!$C$136,Weighting!$E$5:$H$5,0)+1,FALSE)+VLOOKUP($B172&amp;$D$136&amp;$G172,$E$6:$U$129,K$133,FALSE)*VLOOKUP($B172,Weighting!$D$5:$G$9,MATCH(Segmented!$D$136,Weighting!$E$5:$H$5,0)+1,FALSE)+VLOOKUP($B172&amp;$E$136&amp;$G172,$E$6:$U$129,K$133,FALSE)*VLOOKUP($B172,Weighting!$D$5:$G$9,MATCH(Segmented!$E$136,Weighting!$E$5:$H$5,0)+1,FALSE)</f>
        <v>0</v>
      </c>
      <c r="L172" t="str">
        <f t="shared" si="4"/>
        <v>ResSHWX</v>
      </c>
      <c r="M172" s="31">
        <f>VLOOKUP($B172&amp;$C$136&amp;$G172,$E$6:$U$129,M$133,FALSE)*VLOOKUP($B172,Weighting!$D$5:$G$9,MATCH(Segmented!$C$136,Weighting!$E$5:$H$5,0)+1,FALSE)+VLOOKUP($B172&amp;$D$136&amp;$G172,$E$6:$U$129,M$133,FALSE)*VLOOKUP($B172,Weighting!$D$5:$G$9,MATCH(Segmented!$D$136,Weighting!$E$5:$H$5,0)+1,FALSE)+VLOOKUP($B172&amp;$E$136&amp;$G172,$E$6:$U$129,M$133,FALSE)*VLOOKUP($B172,Weighting!$D$5:$G$9,MATCH(Segmented!$E$136,Weighting!$E$5:$H$5,0)+1,FALSE)</f>
        <v>0</v>
      </c>
      <c r="N172" s="31">
        <f>VLOOKUP($B172&amp;$C$136&amp;$G172,$E$6:$U$129,N$133,FALSE)*VLOOKUP($B172,Weighting!$D$5:$G$9,MATCH(Segmented!$C$136,Weighting!$E$5:$H$5,0)+1,FALSE)+VLOOKUP($B172&amp;$D$136&amp;$G172,$E$6:$U$129,N$133,FALSE)*VLOOKUP($B172,Weighting!$D$5:$G$9,MATCH(Segmented!$D$136,Weighting!$E$5:$H$5,0)+1,FALSE)+VLOOKUP($B172&amp;$E$136&amp;$G172,$E$6:$U$129,N$133,FALSE)*VLOOKUP($B172,Weighting!$D$5:$G$9,MATCH(Segmented!$E$136,Weighting!$E$5:$H$5,0)+1,FALSE)</f>
        <v>0</v>
      </c>
      <c r="O172">
        <f t="shared" si="5"/>
        <v>0</v>
      </c>
      <c r="P172" s="31">
        <f>VLOOKUP($B172&amp;$C$136&amp;$G172,$E$6:$U$129,P$133,FALSE)*VLOOKUP($B172,Weighting!$D$5:$G$9,MATCH(Segmented!$C$136,Weighting!$E$5:$H$5,0)+1,FALSE)+VLOOKUP($B172&amp;$D$136&amp;$G172,$E$6:$U$129,P$133,FALSE)*VLOOKUP($B172,Weighting!$D$5:$G$9,MATCH(Segmented!$D$136,Weighting!$E$5:$H$5,0)+1,FALSE)+VLOOKUP($B172&amp;$E$136&amp;$G172,$E$6:$U$129,P$133,FALSE)*VLOOKUP($B172,Weighting!$D$5:$G$9,MATCH(Segmented!$E$136,Weighting!$E$5:$H$5,0)+1,FALSE)</f>
        <v>0</v>
      </c>
      <c r="Q172">
        <f t="shared" si="6"/>
        <v>0</v>
      </c>
      <c r="R172" s="31">
        <f>VLOOKUP($B172&amp;$C$136&amp;$G172,$E$6:$U$129,R$133,FALSE)*VLOOKUP($B172,Weighting!$D$5:$G$9,MATCH(Segmented!$C$136,Weighting!$E$5:$H$5,0)+1,FALSE)+VLOOKUP($B172&amp;$D$136&amp;$G172,$E$6:$U$129,R$133,FALSE)*VLOOKUP($B172,Weighting!$D$5:$G$9,MATCH(Segmented!$D$136,Weighting!$E$5:$H$5,0)+1,FALSE)+VLOOKUP($B172&amp;$E$136&amp;$G172,$E$6:$U$129,R$133,FALSE)*VLOOKUP($B172,Weighting!$D$5:$G$9,MATCH(Segmented!$E$136,Weighting!$E$5:$H$5,0)+1,FALSE)</f>
        <v>0</v>
      </c>
      <c r="S172">
        <f t="shared" si="7"/>
        <v>0</v>
      </c>
      <c r="T172" s="31">
        <f>VLOOKUP($B172&amp;$C$136&amp;$G172,$E$6:$U$129,T$133,FALSE)*VLOOKUP($B172,Weighting!$D$5:$G$9,MATCH(Segmented!$C$136,Weighting!$E$5:$H$5,0)+1,FALSE)+VLOOKUP($B172&amp;$D$136&amp;$G172,$E$6:$U$129,T$133,FALSE)*VLOOKUP($B172,Weighting!$D$5:$G$9,MATCH(Segmented!$D$136,Weighting!$E$5:$H$5,0)+1,FALSE)+VLOOKUP($B172&amp;$E$136&amp;$G172,$E$6:$U$129,T$133,FALSE)*VLOOKUP($B172,Weighting!$D$5:$G$9,MATCH(Segmented!$E$136,Weighting!$E$5:$H$5,0)+1,FALSE)</f>
        <v>0</v>
      </c>
    </row>
    <row r="173" spans="2:20" ht="25.5">
      <c r="B173" t="s">
        <v>78</v>
      </c>
      <c r="F173" s="55" t="str">
        <f t="shared" si="8"/>
        <v>WINDOW CL30 Prime Window Replacement of Single Pane Base_Heat Pump</v>
      </c>
      <c r="G173" s="54" t="s">
        <v>72</v>
      </c>
      <c r="H173" s="31">
        <f>VLOOKUP($B173&amp;$C$136&amp;$G173,$E$6:$U$129,H$133,FALSE)*VLOOKUP($B173,Weighting!$D$5:$G$9,MATCH(Segmented!$C$136,Weighting!$E$5:$H$5,0)+1,FALSE)+VLOOKUP($B173&amp;$D$136&amp;$G173,$E$6:$U$129,H$133,FALSE)*VLOOKUP($B173,Weighting!$D$5:$G$9,MATCH(Segmented!$D$136,Weighting!$E$5:$H$5,0)+1,FALSE)+VLOOKUP($B173&amp;$E$136&amp;$G173,$E$6:$U$129,H$133,FALSE)*VLOOKUP($B173,Weighting!$D$5:$G$9,MATCH(Segmented!$E$136,Weighting!$E$5:$H$5,0)+1,FALSE)</f>
        <v>2474.6671090026025</v>
      </c>
      <c r="I173">
        <f t="shared" si="3"/>
        <v>45</v>
      </c>
      <c r="J173" s="31">
        <f>VLOOKUP($B173&amp;$C$136&amp;$G173,$E$6:$U$129,J$133,FALSE)*VLOOKUP($B173,Weighting!$D$5:$G$9,MATCH(Segmented!$C$136,Weighting!$E$5:$H$5,0)+1,FALSE)+VLOOKUP($B173&amp;$D$136&amp;$G173,$E$6:$U$129,J$133,FALSE)*VLOOKUP($B173,Weighting!$D$5:$G$9,MATCH(Segmented!$D$136,Weighting!$E$5:$H$5,0)+1,FALSE)+VLOOKUP($B173&amp;$E$136&amp;$G173,$E$6:$U$129,J$133,FALSE)*VLOOKUP($B173,Weighting!$D$5:$G$9,MATCH(Segmented!$E$136,Weighting!$E$5:$H$5,0)+1,FALSE)</f>
        <v>3865.0968570659024</v>
      </c>
      <c r="K173" s="31">
        <f>VLOOKUP($B173&amp;$C$136&amp;$G173,$E$6:$U$129,K$133,FALSE)*VLOOKUP($B173,Weighting!$D$5:$G$9,MATCH(Segmented!$C$136,Weighting!$E$5:$H$5,0)+1,FALSE)+VLOOKUP($B173&amp;$D$136&amp;$G173,$E$6:$U$129,K$133,FALSE)*VLOOKUP($B173,Weighting!$D$5:$G$9,MATCH(Segmented!$D$136,Weighting!$E$5:$H$5,0)+1,FALSE)+VLOOKUP($B173&amp;$E$136&amp;$G173,$E$6:$U$129,K$133,FALSE)*VLOOKUP($B173,Weighting!$D$5:$G$9,MATCH(Segmented!$E$136,Weighting!$E$5:$H$5,0)+1,FALSE)</f>
        <v>0</v>
      </c>
      <c r="L173" t="str">
        <f t="shared" si="4"/>
        <v>ResSHWX</v>
      </c>
      <c r="M173" s="31">
        <f>VLOOKUP($B173&amp;$C$136&amp;$G173,$E$6:$U$129,M$133,FALSE)*VLOOKUP($B173,Weighting!$D$5:$G$9,MATCH(Segmented!$C$136,Weighting!$E$5:$H$5,0)+1,FALSE)+VLOOKUP($B173&amp;$D$136&amp;$G173,$E$6:$U$129,M$133,FALSE)*VLOOKUP($B173,Weighting!$D$5:$G$9,MATCH(Segmented!$D$136,Weighting!$E$5:$H$5,0)+1,FALSE)+VLOOKUP($B173&amp;$E$136&amp;$G173,$E$6:$U$129,M$133,FALSE)*VLOOKUP($B173,Weighting!$D$5:$G$9,MATCH(Segmented!$E$136,Weighting!$E$5:$H$5,0)+1,FALSE)</f>
        <v>0</v>
      </c>
      <c r="N173" s="31">
        <f>VLOOKUP($B173&amp;$C$136&amp;$G173,$E$6:$U$129,N$133,FALSE)*VLOOKUP($B173,Weighting!$D$5:$G$9,MATCH(Segmented!$C$136,Weighting!$E$5:$H$5,0)+1,FALSE)+VLOOKUP($B173&amp;$D$136&amp;$G173,$E$6:$U$129,N$133,FALSE)*VLOOKUP($B173,Weighting!$D$5:$G$9,MATCH(Segmented!$D$136,Weighting!$E$5:$H$5,0)+1,FALSE)+VLOOKUP($B173&amp;$E$136&amp;$G173,$E$6:$U$129,N$133,FALSE)*VLOOKUP($B173,Weighting!$D$5:$G$9,MATCH(Segmented!$E$136,Weighting!$E$5:$H$5,0)+1,FALSE)</f>
        <v>0</v>
      </c>
      <c r="O173">
        <f t="shared" si="5"/>
        <v>0</v>
      </c>
      <c r="P173" s="31">
        <f>VLOOKUP($B173&amp;$C$136&amp;$G173,$E$6:$U$129,P$133,FALSE)*VLOOKUP($B173,Weighting!$D$5:$G$9,MATCH(Segmented!$C$136,Weighting!$E$5:$H$5,0)+1,FALSE)+VLOOKUP($B173&amp;$D$136&amp;$G173,$E$6:$U$129,P$133,FALSE)*VLOOKUP($B173,Weighting!$D$5:$G$9,MATCH(Segmented!$D$136,Weighting!$E$5:$H$5,0)+1,FALSE)+VLOOKUP($B173&amp;$E$136&amp;$G173,$E$6:$U$129,P$133,FALSE)*VLOOKUP($B173,Weighting!$D$5:$G$9,MATCH(Segmented!$E$136,Weighting!$E$5:$H$5,0)+1,FALSE)</f>
        <v>0</v>
      </c>
      <c r="Q173">
        <f t="shared" si="6"/>
        <v>0</v>
      </c>
      <c r="R173" s="31">
        <f>VLOOKUP($B173&amp;$C$136&amp;$G173,$E$6:$U$129,R$133,FALSE)*VLOOKUP($B173,Weighting!$D$5:$G$9,MATCH(Segmented!$C$136,Weighting!$E$5:$H$5,0)+1,FALSE)+VLOOKUP($B173&amp;$D$136&amp;$G173,$E$6:$U$129,R$133,FALSE)*VLOOKUP($B173,Weighting!$D$5:$G$9,MATCH(Segmented!$D$136,Weighting!$E$5:$H$5,0)+1,FALSE)+VLOOKUP($B173&amp;$E$136&amp;$G173,$E$6:$U$129,R$133,FALSE)*VLOOKUP($B173,Weighting!$D$5:$G$9,MATCH(Segmented!$E$136,Weighting!$E$5:$H$5,0)+1,FALSE)</f>
        <v>0</v>
      </c>
      <c r="S173">
        <f t="shared" si="7"/>
        <v>0</v>
      </c>
      <c r="T173" s="31">
        <f>VLOOKUP($B173&amp;$C$136&amp;$G173,$E$6:$U$129,T$133,FALSE)*VLOOKUP($B173,Weighting!$D$5:$G$9,MATCH(Segmented!$C$136,Weighting!$E$5:$H$5,0)+1,FALSE)+VLOOKUP($B173&amp;$D$136&amp;$G173,$E$6:$U$129,T$133,FALSE)*VLOOKUP($B173,Weighting!$D$5:$G$9,MATCH(Segmented!$D$136,Weighting!$E$5:$H$5,0)+1,FALSE)+VLOOKUP($B173&amp;$E$136&amp;$G173,$E$6:$U$129,T$133,FALSE)*VLOOKUP($B173,Weighting!$D$5:$G$9,MATCH(Segmented!$E$136,Weighting!$E$5:$H$5,0)+1,FALSE)</f>
        <v>0</v>
      </c>
    </row>
    <row r="174" spans="2:20" ht="25.5">
      <c r="B174" t="s">
        <v>78</v>
      </c>
      <c r="F174" s="55" t="str">
        <f t="shared" si="8"/>
        <v>WINDOW CL30 Prime Window Replacement of Double Pane Base_Heat Pump</v>
      </c>
      <c r="G174" s="54" t="s">
        <v>73</v>
      </c>
      <c r="H174" s="31">
        <f>VLOOKUP($B174&amp;$C$136&amp;$G174,$E$6:$U$129,H$133,FALSE)*VLOOKUP($B174,Weighting!$D$5:$G$9,MATCH(Segmented!$C$136,Weighting!$E$5:$H$5,0)+1,FALSE)+VLOOKUP($B174&amp;$D$136&amp;$G174,$E$6:$U$129,H$133,FALSE)*VLOOKUP($B174,Weighting!$D$5:$G$9,MATCH(Segmented!$D$136,Weighting!$E$5:$H$5,0)+1,FALSE)+VLOOKUP($B174&amp;$E$136&amp;$G174,$E$6:$U$129,H$133,FALSE)*VLOOKUP($B174,Weighting!$D$5:$G$9,MATCH(Segmented!$E$136,Weighting!$E$5:$H$5,0)+1,FALSE)</f>
        <v>1533.293330511465</v>
      </c>
      <c r="I174">
        <f t="shared" si="3"/>
        <v>45</v>
      </c>
      <c r="J174" s="31">
        <f>VLOOKUP($B174&amp;$C$136&amp;$G174,$E$6:$U$129,J$133,FALSE)*VLOOKUP($B174,Weighting!$D$5:$G$9,MATCH(Segmented!$C$136,Weighting!$E$5:$H$5,0)+1,FALSE)+VLOOKUP($B174&amp;$D$136&amp;$G174,$E$6:$U$129,J$133,FALSE)*VLOOKUP($B174,Weighting!$D$5:$G$9,MATCH(Segmented!$D$136,Weighting!$E$5:$H$5,0)+1,FALSE)+VLOOKUP($B174&amp;$E$136&amp;$G174,$E$6:$U$129,J$133,FALSE)*VLOOKUP($B174,Weighting!$D$5:$G$9,MATCH(Segmented!$E$136,Weighting!$E$5:$H$5,0)+1,FALSE)</f>
        <v>3865.0968570659024</v>
      </c>
      <c r="K174" s="31">
        <f>VLOOKUP($B174&amp;$C$136&amp;$G174,$E$6:$U$129,K$133,FALSE)*VLOOKUP($B174,Weighting!$D$5:$G$9,MATCH(Segmented!$C$136,Weighting!$E$5:$H$5,0)+1,FALSE)+VLOOKUP($B174&amp;$D$136&amp;$G174,$E$6:$U$129,K$133,FALSE)*VLOOKUP($B174,Weighting!$D$5:$G$9,MATCH(Segmented!$D$136,Weighting!$E$5:$H$5,0)+1,FALSE)+VLOOKUP($B174&amp;$E$136&amp;$G174,$E$6:$U$129,K$133,FALSE)*VLOOKUP($B174,Weighting!$D$5:$G$9,MATCH(Segmented!$E$136,Weighting!$E$5:$H$5,0)+1,FALSE)</f>
        <v>0</v>
      </c>
      <c r="L174" t="str">
        <f t="shared" si="4"/>
        <v>ResSHWX</v>
      </c>
      <c r="M174" s="31">
        <f>VLOOKUP($B174&amp;$C$136&amp;$G174,$E$6:$U$129,M$133,FALSE)*VLOOKUP($B174,Weighting!$D$5:$G$9,MATCH(Segmented!$C$136,Weighting!$E$5:$H$5,0)+1,FALSE)+VLOOKUP($B174&amp;$D$136&amp;$G174,$E$6:$U$129,M$133,FALSE)*VLOOKUP($B174,Weighting!$D$5:$G$9,MATCH(Segmented!$D$136,Weighting!$E$5:$H$5,0)+1,FALSE)+VLOOKUP($B174&amp;$E$136&amp;$G174,$E$6:$U$129,M$133,FALSE)*VLOOKUP($B174,Weighting!$D$5:$G$9,MATCH(Segmented!$E$136,Weighting!$E$5:$H$5,0)+1,FALSE)</f>
        <v>0</v>
      </c>
      <c r="N174" s="31">
        <f>VLOOKUP($B174&amp;$C$136&amp;$G174,$E$6:$U$129,N$133,FALSE)*VLOOKUP($B174,Weighting!$D$5:$G$9,MATCH(Segmented!$C$136,Weighting!$E$5:$H$5,0)+1,FALSE)+VLOOKUP($B174&amp;$D$136&amp;$G174,$E$6:$U$129,N$133,FALSE)*VLOOKUP($B174,Weighting!$D$5:$G$9,MATCH(Segmented!$D$136,Weighting!$E$5:$H$5,0)+1,FALSE)+VLOOKUP($B174&amp;$E$136&amp;$G174,$E$6:$U$129,N$133,FALSE)*VLOOKUP($B174,Weighting!$D$5:$G$9,MATCH(Segmented!$E$136,Weighting!$E$5:$H$5,0)+1,FALSE)</f>
        <v>0</v>
      </c>
      <c r="O174">
        <f t="shared" si="5"/>
        <v>0</v>
      </c>
      <c r="P174" s="31">
        <f>VLOOKUP($B174&amp;$C$136&amp;$G174,$E$6:$U$129,P$133,FALSE)*VLOOKUP($B174,Weighting!$D$5:$G$9,MATCH(Segmented!$C$136,Weighting!$E$5:$H$5,0)+1,FALSE)+VLOOKUP($B174&amp;$D$136&amp;$G174,$E$6:$U$129,P$133,FALSE)*VLOOKUP($B174,Weighting!$D$5:$G$9,MATCH(Segmented!$D$136,Weighting!$E$5:$H$5,0)+1,FALSE)+VLOOKUP($B174&amp;$E$136&amp;$G174,$E$6:$U$129,P$133,FALSE)*VLOOKUP($B174,Weighting!$D$5:$G$9,MATCH(Segmented!$E$136,Weighting!$E$5:$H$5,0)+1,FALSE)</f>
        <v>0</v>
      </c>
      <c r="Q174">
        <f t="shared" si="6"/>
        <v>0</v>
      </c>
      <c r="R174" s="31">
        <f>VLOOKUP($B174&amp;$C$136&amp;$G174,$E$6:$U$129,R$133,FALSE)*VLOOKUP($B174,Weighting!$D$5:$G$9,MATCH(Segmented!$C$136,Weighting!$E$5:$H$5,0)+1,FALSE)+VLOOKUP($B174&amp;$D$136&amp;$G174,$E$6:$U$129,R$133,FALSE)*VLOOKUP($B174,Weighting!$D$5:$G$9,MATCH(Segmented!$D$136,Weighting!$E$5:$H$5,0)+1,FALSE)+VLOOKUP($B174&amp;$E$136&amp;$G174,$E$6:$U$129,R$133,FALSE)*VLOOKUP($B174,Weighting!$D$5:$G$9,MATCH(Segmented!$E$136,Weighting!$E$5:$H$5,0)+1,FALSE)</f>
        <v>0</v>
      </c>
      <c r="S174">
        <f t="shared" si="7"/>
        <v>0</v>
      </c>
      <c r="T174" s="31">
        <f>VLOOKUP($B174&amp;$C$136&amp;$G174,$E$6:$U$129,T$133,FALSE)*VLOOKUP($B174,Weighting!$D$5:$G$9,MATCH(Segmented!$C$136,Weighting!$E$5:$H$5,0)+1,FALSE)+VLOOKUP($B174&amp;$D$136&amp;$G174,$E$6:$U$129,T$133,FALSE)*VLOOKUP($B174,Weighting!$D$5:$G$9,MATCH(Segmented!$D$136,Weighting!$E$5:$H$5,0)+1,FALSE)+VLOOKUP($B174&amp;$E$136&amp;$G174,$E$6:$U$129,T$133,FALSE)*VLOOKUP($B174,Weighting!$D$5:$G$9,MATCH(Segmented!$E$136,Weighting!$E$5:$H$5,0)+1,FALSE)</f>
        <v>0</v>
      </c>
    </row>
  </sheetData>
  <mergeCells count="4">
    <mergeCell ref="N4:S4"/>
    <mergeCell ref="T4:U4"/>
    <mergeCell ref="N134:S134"/>
    <mergeCell ref="T134:U134"/>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dimension ref="C2:I21"/>
  <sheetViews>
    <sheetView topLeftCell="D1" workbookViewId="0">
      <selection activeCell="F24" sqref="F24"/>
    </sheetView>
  </sheetViews>
  <sheetFormatPr defaultRowHeight="12.75"/>
  <cols>
    <col min="4" max="4" width="51.140625" customWidth="1"/>
    <col min="5" max="5" width="39.140625" customWidth="1"/>
    <col min="6" max="6" width="12.28515625" bestFit="1" customWidth="1"/>
    <col min="7" max="7" width="19.42578125" bestFit="1" customWidth="1"/>
    <col min="8" max="8" width="19.85546875" bestFit="1" customWidth="1"/>
  </cols>
  <sheetData>
    <row r="2" spans="3:8">
      <c r="F2" s="51"/>
    </row>
    <row r="3" spans="3:8">
      <c r="E3" s="601"/>
      <c r="F3" s="51"/>
    </row>
    <row r="4" spans="3:8">
      <c r="F4" s="51"/>
    </row>
    <row r="5" spans="3:8">
      <c r="C5" s="51"/>
      <c r="D5" s="602"/>
      <c r="E5" s="603" t="s">
        <v>59</v>
      </c>
      <c r="F5" s="604" t="s">
        <v>60</v>
      </c>
      <c r="G5" s="605" t="s">
        <v>61</v>
      </c>
      <c r="H5" s="51" t="s">
        <v>217</v>
      </c>
    </row>
    <row r="6" spans="3:8">
      <c r="D6" s="606" t="s">
        <v>76</v>
      </c>
      <c r="E6" s="607">
        <f>[4]MF_Estimates!$AD$22</f>
        <v>1</v>
      </c>
      <c r="F6" s="608">
        <f>[4]MF_Estimates!$AD$23</f>
        <v>0</v>
      </c>
      <c r="G6" s="609">
        <f>[4]MF_Estimates!$AD$24</f>
        <v>0</v>
      </c>
      <c r="H6" s="53">
        <f>[4]MF_Estimates!$AD$8</f>
        <v>1.8522654825686893E-2</v>
      </c>
    </row>
    <row r="7" spans="3:8">
      <c r="D7" s="610" t="s">
        <v>77</v>
      </c>
      <c r="E7" s="607">
        <f>[4]MF_Estimates!$AE$22</f>
        <v>0.59792533212714805</v>
      </c>
      <c r="F7" s="608">
        <f>[4]MF_Estimates!$AE$23</f>
        <v>0.4020746678728519</v>
      </c>
      <c r="G7" s="609">
        <f>[4]MF_Estimates!$AE$24</f>
        <v>0</v>
      </c>
      <c r="H7" s="53">
        <f>[4]MF_Estimates!$AE$8</f>
        <v>2.3490497002329143E-2</v>
      </c>
    </row>
    <row r="8" spans="3:8">
      <c r="D8" s="610" t="s">
        <v>78</v>
      </c>
      <c r="E8" s="607">
        <f>[4]MF_Estimates!$AB$22</f>
        <v>0.68450854702444841</v>
      </c>
      <c r="F8" s="608">
        <f>[4]MF_Estimates!$AB$23</f>
        <v>0.22937589745883932</v>
      </c>
      <c r="G8" s="609">
        <f>[4]MF_Estimates!$AB$24</f>
        <v>8.6115555516712267E-2</v>
      </c>
      <c r="H8" s="53">
        <f>[4]MF_Estimates!$AB$8</f>
        <v>0.92129049708007305</v>
      </c>
    </row>
    <row r="9" spans="3:8">
      <c r="D9" s="611" t="s">
        <v>182</v>
      </c>
      <c r="E9" s="612">
        <f>[4]MF_Estimates!$AC$22</f>
        <v>1</v>
      </c>
      <c r="F9" s="613">
        <f>[4]MF_Estimates!$AC$23</f>
        <v>0</v>
      </c>
      <c r="G9" s="614">
        <f>[4]MF_Estimates!$AC$24</f>
        <v>0</v>
      </c>
      <c r="H9" s="53">
        <f>[4]MF_Estimates!$AC$8</f>
        <v>3.6696351091910953E-2</v>
      </c>
    </row>
    <row r="10" spans="3:8">
      <c r="C10" s="51"/>
    </row>
    <row r="13" spans="3:8">
      <c r="C13" s="51"/>
      <c r="E13" t="s">
        <v>2133</v>
      </c>
      <c r="F13" s="51">
        <f>[4]MF_Estimates!$U$8</f>
        <v>0.88103855953347165</v>
      </c>
    </row>
    <row r="14" spans="3:8">
      <c r="C14" s="51"/>
    </row>
    <row r="15" spans="3:8">
      <c r="D15" s="602"/>
      <c r="E15" s="603" t="s">
        <v>59</v>
      </c>
      <c r="F15" s="604" t="s">
        <v>60</v>
      </c>
      <c r="G15" s="605" t="s">
        <v>61</v>
      </c>
      <c r="H15" s="51" t="s">
        <v>217</v>
      </c>
    </row>
    <row r="16" spans="3:8">
      <c r="D16" s="606" t="s">
        <v>76</v>
      </c>
      <c r="E16" s="607">
        <f>E6*$F$13</f>
        <v>0.88103855953347165</v>
      </c>
      <c r="F16" s="607">
        <f t="shared" ref="F16:H16" si="0">F6*$F$13</f>
        <v>0</v>
      </c>
      <c r="G16" s="615">
        <f t="shared" si="0"/>
        <v>0</v>
      </c>
      <c r="H16" s="51">
        <f t="shared" si="0"/>
        <v>1.6319173126358888E-2</v>
      </c>
    </row>
    <row r="17" spans="3:9">
      <c r="C17" s="51"/>
      <c r="D17" s="610" t="s">
        <v>77</v>
      </c>
      <c r="E17" s="607">
        <f t="shared" ref="E17:G17" si="1">E7*$F$13</f>
        <v>0.52679527332587517</v>
      </c>
      <c r="F17" s="607">
        <f t="shared" si="1"/>
        <v>0.35424328620759649</v>
      </c>
      <c r="G17" s="615">
        <f t="shared" si="1"/>
        <v>0</v>
      </c>
      <c r="H17" s="51">
        <f>H7*$F$13+H9*$F$13</f>
        <v>5.302693394780917E-2</v>
      </c>
      <c r="I17" t="s">
        <v>2134</v>
      </c>
    </row>
    <row r="18" spans="3:9">
      <c r="C18" s="51"/>
      <c r="D18" s="610" t="s">
        <v>78</v>
      </c>
      <c r="E18" s="607">
        <f t="shared" ref="E18:H18" si="2">E8*$F$13</f>
        <v>0.60307842425876967</v>
      </c>
      <c r="F18" s="607">
        <f t="shared" si="2"/>
        <v>0.20208901028883311</v>
      </c>
      <c r="G18" s="615">
        <f t="shared" si="2"/>
        <v>7.5871124985868885E-2</v>
      </c>
      <c r="H18" s="51">
        <f t="shared" si="2"/>
        <v>0.81169245245930366</v>
      </c>
    </row>
    <row r="19" spans="3:9">
      <c r="D19" s="611" t="s">
        <v>182</v>
      </c>
      <c r="E19" s="612">
        <f t="shared" ref="E19:G19" si="3">E9*$F$13</f>
        <v>0.88103855953347165</v>
      </c>
      <c r="F19" s="612">
        <f t="shared" si="3"/>
        <v>0</v>
      </c>
      <c r="G19" s="616">
        <f t="shared" si="3"/>
        <v>0</v>
      </c>
      <c r="H19" s="51"/>
    </row>
    <row r="21" spans="3:9">
      <c r="C21" s="5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DB302"/>
  <sheetViews>
    <sheetView workbookViewId="0">
      <selection activeCell="A70" sqref="A70:XFD71"/>
    </sheetView>
  </sheetViews>
  <sheetFormatPr defaultRowHeight="12.75"/>
  <cols>
    <col min="1" max="1" width="38.5703125" customWidth="1"/>
    <col min="2" max="2" width="90.28515625" bestFit="1" customWidth="1"/>
    <col min="3" max="3" width="20.5703125" customWidth="1"/>
    <col min="16" max="16" width="10.5703125" customWidth="1"/>
  </cols>
  <sheetData>
    <row r="1" spans="1:106">
      <c r="A1" s="26" t="s">
        <v>2183</v>
      </c>
    </row>
    <row r="3" spans="1:106" s="7" customFormat="1">
      <c r="B3" s="12" t="s">
        <v>2</v>
      </c>
      <c r="C3" s="13"/>
      <c r="D3" s="13"/>
      <c r="E3" s="13"/>
      <c r="F3" s="13"/>
      <c r="G3" s="13"/>
      <c r="H3" s="14"/>
      <c r="I3" s="15"/>
      <c r="J3" s="645" t="s">
        <v>3</v>
      </c>
      <c r="K3" s="646"/>
      <c r="L3" s="646"/>
      <c r="M3" s="646"/>
      <c r="N3" s="646"/>
      <c r="O3" s="647"/>
      <c r="P3" s="648" t="s">
        <v>4</v>
      </c>
      <c r="Q3" s="649"/>
      <c r="R3" s="16"/>
      <c r="S3" s="17"/>
      <c r="T3" s="17"/>
      <c r="U3" s="17"/>
      <c r="V3" s="17"/>
      <c r="W3" s="17"/>
      <c r="X3" s="17"/>
      <c r="Y3" s="18"/>
      <c r="Z3" s="19"/>
      <c r="AA3" s="17"/>
      <c r="AB3" s="17"/>
      <c r="AC3" s="17"/>
      <c r="AD3" s="17"/>
      <c r="AE3" s="17"/>
      <c r="AF3" s="20"/>
      <c r="AG3" s="20"/>
      <c r="AH3" s="20"/>
      <c r="AI3" s="20"/>
      <c r="AJ3" s="20"/>
      <c r="AK3" s="20"/>
      <c r="AL3" s="20"/>
      <c r="AM3" s="20"/>
      <c r="AN3" s="20"/>
      <c r="AO3" s="20"/>
      <c r="AP3" s="20"/>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row>
    <row r="4" spans="1:106" s="7" customFormat="1" ht="25.5">
      <c r="A4" s="7" t="s">
        <v>20</v>
      </c>
      <c r="B4" s="21" t="s">
        <v>5</v>
      </c>
      <c r="C4" s="21" t="s">
        <v>6</v>
      </c>
      <c r="D4" s="21" t="s">
        <v>7</v>
      </c>
      <c r="E4" s="21" t="s">
        <v>8</v>
      </c>
      <c r="F4" s="21" t="s">
        <v>9</v>
      </c>
      <c r="G4" s="21" t="s">
        <v>10</v>
      </c>
      <c r="H4" s="22" t="s">
        <v>11</v>
      </c>
      <c r="I4" s="23" t="s">
        <v>12</v>
      </c>
      <c r="J4" s="23" t="s">
        <v>13</v>
      </c>
      <c r="K4" s="23" t="s">
        <v>14</v>
      </c>
      <c r="L4" s="23" t="s">
        <v>15</v>
      </c>
      <c r="M4" s="23" t="s">
        <v>16</v>
      </c>
      <c r="N4" s="23" t="s">
        <v>17</v>
      </c>
      <c r="O4" s="23" t="s">
        <v>18</v>
      </c>
      <c r="P4" s="24" t="s">
        <v>19</v>
      </c>
      <c r="Q4" s="23" t="s">
        <v>11</v>
      </c>
      <c r="R4" s="25"/>
      <c r="S4" s="25"/>
      <c r="T4" s="25"/>
      <c r="U4" s="25"/>
      <c r="V4" s="25"/>
      <c r="W4" s="25"/>
      <c r="X4" s="25"/>
      <c r="Y4" s="25"/>
      <c r="Z4" s="25"/>
      <c r="AA4" s="25"/>
      <c r="AB4" s="25"/>
      <c r="AC4" s="25"/>
      <c r="AD4" s="25"/>
      <c r="AE4" s="25"/>
      <c r="AF4" s="20"/>
      <c r="AG4" s="20"/>
      <c r="AH4" s="20"/>
      <c r="AI4" s="20"/>
      <c r="AJ4" s="20"/>
      <c r="AK4" s="20"/>
      <c r="AL4" s="20"/>
      <c r="AM4" s="20"/>
      <c r="AN4" s="20"/>
      <c r="AO4" s="20"/>
      <c r="AP4" s="20"/>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row>
    <row r="5" spans="1:106">
      <c r="A5" t="str">
        <f t="shared" ref="A5:A10" si="0">CONCATENATE(B5,C5)</f>
        <v>Multi Family Weatherization - Insulate Walls - R-0 to R-11 - Heating Zone 1 (Zonal Heating System)WALL R0 - R11</v>
      </c>
      <c r="B5" s="116" t="str">
        <f>'Raw RTF'!B65</f>
        <v>Multi Family Weatherization - Insulate Walls - R-0 to R-11 - Heating Zone 1 (Zonal Heating System)</v>
      </c>
      <c r="C5" s="116" t="s">
        <v>69</v>
      </c>
      <c r="D5">
        <f>VLOOKUP($B5,'Raw RTF'!$B$8:$Q$1000,'Raw RTF'!D$5,FALSE)</f>
        <v>1.2472794546100672</v>
      </c>
      <c r="E5">
        <f>VLOOKUP($B5,'Raw RTF'!$B$8:$Q$1000,'Raw RTF'!E$5,FALSE)</f>
        <v>45</v>
      </c>
      <c r="F5">
        <f>VLOOKUP($B5,'Raw RTF'!$B$8:$Q$1000,'Raw RTF'!F$5,FALSE)</f>
        <v>0.85033582942530117</v>
      </c>
      <c r="G5">
        <f>VLOOKUP($B5,'Raw RTF'!$B$8:$Q$1000,'Raw RTF'!G$5,FALSE)</f>
        <v>0</v>
      </c>
      <c r="H5" t="str">
        <f>VLOOKUP($B5,'Raw RTF'!$B$8:$Q$1000,'Raw RTF'!H$5,FALSE)</f>
        <v>ResSHWX</v>
      </c>
      <c r="I5">
        <f>VLOOKUP($B5,'Raw RTF'!$B$8:$Q$1000,'Raw RTF'!I$5,FALSE)</f>
        <v>0</v>
      </c>
      <c r="J5">
        <f>VLOOKUP($B5,'Raw RTF'!$B$8:$Q$1000,'Raw RTF'!J$5,FALSE)</f>
        <v>0</v>
      </c>
      <c r="K5">
        <f>VLOOKUP($B5,'Raw RTF'!$B$8:$Q$1000,'Raw RTF'!K$5,FALSE)</f>
        <v>0</v>
      </c>
      <c r="L5">
        <f>VLOOKUP($B5,'Raw RTF'!$B$8:$Q$1000,'Raw RTF'!L$5,FALSE)</f>
        <v>0</v>
      </c>
      <c r="M5">
        <f>VLOOKUP($B5,'Raw RTF'!$B$8:$Q$1000,'Raw RTF'!M$5,FALSE)</f>
        <v>0</v>
      </c>
      <c r="N5">
        <f>VLOOKUP($B5,'Raw RTF'!$B$8:$Q$1000,'Raw RTF'!N$5,FALSE)</f>
        <v>0</v>
      </c>
      <c r="O5">
        <f>VLOOKUP($B5,'Raw RTF'!$B$8:$Q$1000,'Raw RTF'!O$5,FALSE)</f>
        <v>0</v>
      </c>
      <c r="P5">
        <f>VLOOKUP($B5,'Raw RTF'!$B$8:$Q$1000,'Raw RTF'!P$5,FALSE)</f>
        <v>0</v>
      </c>
      <c r="Q5">
        <f>VLOOKUP($B5,'Raw RTF'!$B$8:$Q$1000,'Raw RTF'!Q$5,FALSE)</f>
        <v>0</v>
      </c>
    </row>
    <row r="6" spans="1:106">
      <c r="A6" t="str">
        <f t="shared" si="0"/>
        <v>Multi Family Weatherization - Insulate Floors - R-0 to R-19 - Heating Zone 1 (Zonal Heating System)FLOOR R0 - R19</v>
      </c>
      <c r="B6" s="116" t="str">
        <f>'Raw RTF'!B66</f>
        <v>Multi Family Weatherization - Insulate Floors - R-0 to R-19 - Heating Zone 1 (Zonal Heating System)</v>
      </c>
      <c r="C6" s="116" t="s">
        <v>70</v>
      </c>
      <c r="D6">
        <f>VLOOKUP($B6,'Raw RTF'!$B$8:$Q$1000,'Raw RTF'!D$5,FALSE)</f>
        <v>0.55318177492593634</v>
      </c>
      <c r="E6">
        <f>VLOOKUP($B6,'Raw RTF'!$B$8:$Q$1000,'Raw RTF'!E$5,FALSE)</f>
        <v>45</v>
      </c>
      <c r="F6">
        <f>VLOOKUP($B6,'Raw RTF'!$B$8:$Q$1000,'Raw RTF'!F$5,FALSE)</f>
        <v>1.1190178820234826</v>
      </c>
      <c r="G6">
        <f>VLOOKUP($B6,'Raw RTF'!$B$8:$Q$1000,'Raw RTF'!G$5,FALSE)</f>
        <v>0</v>
      </c>
      <c r="H6" t="str">
        <f>VLOOKUP($B6,'Raw RTF'!$B$8:$Q$1000,'Raw RTF'!H$5,FALSE)</f>
        <v>ResSHWX</v>
      </c>
      <c r="I6">
        <f>VLOOKUP($B6,'Raw RTF'!$B$8:$Q$1000,'Raw RTF'!I$5,FALSE)</f>
        <v>0</v>
      </c>
      <c r="J6">
        <f>VLOOKUP($B6,'Raw RTF'!$B$8:$Q$1000,'Raw RTF'!J$5,FALSE)</f>
        <v>0</v>
      </c>
      <c r="K6">
        <f>VLOOKUP($B6,'Raw RTF'!$B$8:$Q$1000,'Raw RTF'!K$5,FALSE)</f>
        <v>0</v>
      </c>
      <c r="L6">
        <f>VLOOKUP($B6,'Raw RTF'!$B$8:$Q$1000,'Raw RTF'!L$5,FALSE)</f>
        <v>0</v>
      </c>
      <c r="M6">
        <f>VLOOKUP($B6,'Raw RTF'!$B$8:$Q$1000,'Raw RTF'!M$5,FALSE)</f>
        <v>0</v>
      </c>
      <c r="N6">
        <f>VLOOKUP($B6,'Raw RTF'!$B$8:$Q$1000,'Raw RTF'!N$5,FALSE)</f>
        <v>0</v>
      </c>
      <c r="O6">
        <f>VLOOKUP($B6,'Raw RTF'!$B$8:$Q$1000,'Raw RTF'!O$5,FALSE)</f>
        <v>0</v>
      </c>
      <c r="P6">
        <f>VLOOKUP($B6,'Raw RTF'!$B$8:$Q$1000,'Raw RTF'!P$5,FALSE)</f>
        <v>0</v>
      </c>
      <c r="Q6">
        <f>VLOOKUP($B6,'Raw RTF'!$B$8:$Q$1000,'Raw RTF'!Q$5,FALSE)</f>
        <v>0</v>
      </c>
    </row>
    <row r="7" spans="1:106">
      <c r="A7" t="str">
        <f t="shared" si="0"/>
        <v>Multi Family Weatherization - Insulate Floors - R-0 to R-30 - Heating Zone 1 (Zonal Heating System)FLOOR R0 - R30</v>
      </c>
      <c r="B7" s="116" t="str">
        <f>'Raw RTF'!B67</f>
        <v>Multi Family Weatherization - Insulate Floors - R-0 to R-30 - Heating Zone 1 (Zonal Heating System)</v>
      </c>
      <c r="C7" s="116" t="s">
        <v>71</v>
      </c>
      <c r="D7">
        <f>VLOOKUP($B7,'Raw RTF'!$B$8:$Q$1000,'Raw RTF'!D$5,FALSE)</f>
        <v>0.71896218781336929</v>
      </c>
      <c r="E7">
        <f>VLOOKUP($B7,'Raw RTF'!$B$8:$Q$1000,'Raw RTF'!E$5,FALSE)</f>
        <v>45</v>
      </c>
      <c r="F7">
        <f>VLOOKUP($B7,'Raw RTF'!$B$8:$Q$1000,'Raw RTF'!F$5,FALSE)</f>
        <v>1.766870340037078</v>
      </c>
      <c r="G7">
        <f>VLOOKUP($B7,'Raw RTF'!$B$8:$Q$1000,'Raw RTF'!G$5,FALSE)</f>
        <v>0</v>
      </c>
      <c r="H7" t="str">
        <f>VLOOKUP($B7,'Raw RTF'!$B$8:$Q$1000,'Raw RTF'!H$5,FALSE)</f>
        <v>ResSHWX</v>
      </c>
      <c r="I7">
        <f>VLOOKUP($B7,'Raw RTF'!$B$8:$Q$1000,'Raw RTF'!I$5,FALSE)</f>
        <v>0</v>
      </c>
      <c r="J7">
        <f>VLOOKUP($B7,'Raw RTF'!$B$8:$Q$1000,'Raw RTF'!J$5,FALSE)</f>
        <v>0</v>
      </c>
      <c r="K7">
        <f>VLOOKUP($B7,'Raw RTF'!$B$8:$Q$1000,'Raw RTF'!K$5,FALSE)</f>
        <v>0</v>
      </c>
      <c r="L7">
        <f>VLOOKUP($B7,'Raw RTF'!$B$8:$Q$1000,'Raw RTF'!L$5,FALSE)</f>
        <v>0</v>
      </c>
      <c r="M7">
        <f>VLOOKUP($B7,'Raw RTF'!$B$8:$Q$1000,'Raw RTF'!M$5,FALSE)</f>
        <v>0</v>
      </c>
      <c r="N7">
        <f>VLOOKUP($B7,'Raw RTF'!$B$8:$Q$1000,'Raw RTF'!N$5,FALSE)</f>
        <v>0</v>
      </c>
      <c r="O7">
        <f>VLOOKUP($B7,'Raw RTF'!$B$8:$Q$1000,'Raw RTF'!O$5,FALSE)</f>
        <v>0</v>
      </c>
      <c r="P7">
        <f>VLOOKUP($B7,'Raw RTF'!$B$8:$Q$1000,'Raw RTF'!P$5,FALSE)</f>
        <v>0</v>
      </c>
      <c r="Q7">
        <f>VLOOKUP($B7,'Raw RTF'!$B$8:$Q$1000,'Raw RTF'!Q$5,FALSE)</f>
        <v>0</v>
      </c>
    </row>
    <row r="8" spans="1:106">
      <c r="A8" t="str">
        <f t="shared" si="0"/>
        <v>Multi Family Weatherization - Insulate Attic - R-0 to R-19 - Heating Zone 1 (Zonal Heating System)ATTIC R0 - R19</v>
      </c>
      <c r="B8" s="116" t="str">
        <f>'Raw RTF'!B69</f>
        <v>Multi Family Weatherization - Insulate Attic - R-0 to R-19 - Heating Zone 1 (Zonal Heating System)</v>
      </c>
      <c r="C8" s="116" t="s">
        <v>1201</v>
      </c>
      <c r="D8">
        <f>VLOOKUP($B8,'Raw RTF'!$B$8:$Q$1000,'Raw RTF'!D$5,FALSE)</f>
        <v>0.45541817326465872</v>
      </c>
      <c r="E8">
        <f>VLOOKUP($B8,'Raw RTF'!$B$8:$Q$1000,'Raw RTF'!E$5,FALSE)</f>
        <v>45</v>
      </c>
      <c r="F8">
        <f>VLOOKUP($B8,'Raw RTF'!$B$8:$Q$1000,'Raw RTF'!F$5,FALSE)</f>
        <v>0.58749066649983317</v>
      </c>
      <c r="G8">
        <f>VLOOKUP($B8,'Raw RTF'!$B$8:$Q$1000,'Raw RTF'!G$5,FALSE)</f>
        <v>0</v>
      </c>
      <c r="H8" t="str">
        <f>VLOOKUP($B8,'Raw RTF'!$B$8:$Q$1000,'Raw RTF'!H$5,FALSE)</f>
        <v>ResSHWX</v>
      </c>
      <c r="I8">
        <f>VLOOKUP($B8,'Raw RTF'!$B$8:$Q$1000,'Raw RTF'!I$5,FALSE)</f>
        <v>0</v>
      </c>
      <c r="J8">
        <f>VLOOKUP($B8,'Raw RTF'!$B$8:$Q$1000,'Raw RTF'!J$5,FALSE)</f>
        <v>0</v>
      </c>
      <c r="K8">
        <f>VLOOKUP($B8,'Raw RTF'!$B$8:$Q$1000,'Raw RTF'!K$5,FALSE)</f>
        <v>0</v>
      </c>
      <c r="L8">
        <f>VLOOKUP($B8,'Raw RTF'!$B$8:$Q$1000,'Raw RTF'!L$5,FALSE)</f>
        <v>0</v>
      </c>
      <c r="M8">
        <f>VLOOKUP($B8,'Raw RTF'!$B$8:$Q$1000,'Raw RTF'!M$5,FALSE)</f>
        <v>0</v>
      </c>
      <c r="N8">
        <f>VLOOKUP($B8,'Raw RTF'!$B$8:$Q$1000,'Raw RTF'!N$5,FALSE)</f>
        <v>0</v>
      </c>
      <c r="O8">
        <f>VLOOKUP($B8,'Raw RTF'!$B$8:$Q$1000,'Raw RTF'!O$5,FALSE)</f>
        <v>0</v>
      </c>
      <c r="P8">
        <f>VLOOKUP($B8,'Raw RTF'!$B$8:$Q$1000,'Raw RTF'!P$5,FALSE)</f>
        <v>0</v>
      </c>
      <c r="Q8">
        <f>VLOOKUP($B8,'Raw RTF'!$B$8:$Q$1000,'Raw RTF'!Q$5,FALSE)</f>
        <v>0</v>
      </c>
    </row>
    <row r="9" spans="1:106">
      <c r="A9" t="str">
        <f t="shared" si="0"/>
        <v>Multi Family Weatherization - Insulate Attic - R-0 to R-38 - Heating Zone 1 (Zonal Heating System)ATTIC R0 - R38</v>
      </c>
      <c r="B9" s="116" t="str">
        <f>'Raw RTF'!B70</f>
        <v>Multi Family Weatherization - Insulate Attic - R-0 to R-38 - Heating Zone 1 (Zonal Heating System)</v>
      </c>
      <c r="C9" s="116" t="s">
        <v>65</v>
      </c>
      <c r="D9">
        <f>VLOOKUP($B9,'Raw RTF'!$B$8:$Q$1000,'Raw RTF'!D$5,FALSE)</f>
        <v>0.61951019567454524</v>
      </c>
      <c r="E9">
        <f>VLOOKUP($B9,'Raw RTF'!$B$8:$Q$1000,'Raw RTF'!E$5,FALSE)</f>
        <v>45</v>
      </c>
      <c r="F9">
        <f>VLOOKUP($B9,'Raw RTF'!$B$8:$Q$1000,'Raw RTF'!F$5,FALSE)</f>
        <v>1.1749813329996663</v>
      </c>
      <c r="G9">
        <f>VLOOKUP($B9,'Raw RTF'!$B$8:$Q$1000,'Raw RTF'!G$5,FALSE)</f>
        <v>0</v>
      </c>
      <c r="H9" t="str">
        <f>VLOOKUP($B9,'Raw RTF'!$B$8:$Q$1000,'Raw RTF'!H$5,FALSE)</f>
        <v>ResSHWX</v>
      </c>
      <c r="I9">
        <f>VLOOKUP($B9,'Raw RTF'!$B$8:$Q$1000,'Raw RTF'!I$5,FALSE)</f>
        <v>0</v>
      </c>
      <c r="J9">
        <f>VLOOKUP($B9,'Raw RTF'!$B$8:$Q$1000,'Raw RTF'!J$5,FALSE)</f>
        <v>0</v>
      </c>
      <c r="K9">
        <f>VLOOKUP($B9,'Raw RTF'!$B$8:$Q$1000,'Raw RTF'!K$5,FALSE)</f>
        <v>0</v>
      </c>
      <c r="L9">
        <f>VLOOKUP($B9,'Raw RTF'!$B$8:$Q$1000,'Raw RTF'!L$5,FALSE)</f>
        <v>0</v>
      </c>
      <c r="M9">
        <f>VLOOKUP($B9,'Raw RTF'!$B$8:$Q$1000,'Raw RTF'!M$5,FALSE)</f>
        <v>0</v>
      </c>
      <c r="N9">
        <f>VLOOKUP($B9,'Raw RTF'!$B$8:$Q$1000,'Raw RTF'!N$5,FALSE)</f>
        <v>0</v>
      </c>
      <c r="O9">
        <f>VLOOKUP($B9,'Raw RTF'!$B$8:$Q$1000,'Raw RTF'!O$5,FALSE)</f>
        <v>0</v>
      </c>
      <c r="P9">
        <f>VLOOKUP($B9,'Raw RTF'!$B$8:$Q$1000,'Raw RTF'!P$5,FALSE)</f>
        <v>0</v>
      </c>
      <c r="Q9">
        <f>VLOOKUP($B9,'Raw RTF'!$B$8:$Q$1000,'Raw RTF'!Q$5,FALSE)</f>
        <v>0</v>
      </c>
    </row>
    <row r="10" spans="1:106">
      <c r="A10" t="str">
        <f t="shared" si="0"/>
        <v>Multi Family Weatherization - Insulate Attic - R-0 to R-49 - Heating Zone 1 (Zonal Heating System)ATTIC R0 - R49</v>
      </c>
      <c r="B10" s="116" t="str">
        <f>'Raw RTF'!B71</f>
        <v>Multi Family Weatherization - Insulate Attic - R-0 to R-49 - Heating Zone 1 (Zonal Heating System)</v>
      </c>
      <c r="C10" s="116" t="s">
        <v>66</v>
      </c>
      <c r="D10">
        <f>VLOOKUP($B10,'Raw RTF'!$B$8:$Q$1000,'Raw RTF'!D$5,FALSE)</f>
        <v>0.65746060110011362</v>
      </c>
      <c r="E10">
        <f>VLOOKUP($B10,'Raw RTF'!$B$8:$Q$1000,'Raw RTF'!E$5,FALSE)</f>
        <v>45</v>
      </c>
      <c r="F10">
        <f>VLOOKUP($B10,'Raw RTF'!$B$8:$Q$1000,'Raw RTF'!F$5,FALSE)</f>
        <v>1.515107508341675</v>
      </c>
      <c r="G10">
        <f>VLOOKUP($B10,'Raw RTF'!$B$8:$Q$1000,'Raw RTF'!G$5,FALSE)</f>
        <v>0</v>
      </c>
      <c r="H10" t="str">
        <f>VLOOKUP($B10,'Raw RTF'!$B$8:$Q$1000,'Raw RTF'!H$5,FALSE)</f>
        <v>ResSHWX</v>
      </c>
      <c r="I10">
        <f>VLOOKUP($B10,'Raw RTF'!$B$8:$Q$1000,'Raw RTF'!I$5,FALSE)</f>
        <v>0</v>
      </c>
      <c r="J10">
        <f>VLOOKUP($B10,'Raw RTF'!$B$8:$Q$1000,'Raw RTF'!J$5,FALSE)</f>
        <v>0</v>
      </c>
      <c r="K10">
        <f>VLOOKUP($B10,'Raw RTF'!$B$8:$Q$1000,'Raw RTF'!K$5,FALSE)</f>
        <v>0</v>
      </c>
      <c r="L10">
        <f>VLOOKUP($B10,'Raw RTF'!$B$8:$Q$1000,'Raw RTF'!L$5,FALSE)</f>
        <v>0</v>
      </c>
      <c r="M10">
        <f>VLOOKUP($B10,'Raw RTF'!$B$8:$Q$1000,'Raw RTF'!M$5,FALSE)</f>
        <v>0</v>
      </c>
      <c r="N10">
        <f>VLOOKUP($B10,'Raw RTF'!$B$8:$Q$1000,'Raw RTF'!N$5,FALSE)</f>
        <v>0</v>
      </c>
      <c r="O10">
        <f>VLOOKUP($B10,'Raw RTF'!$B$8:$Q$1000,'Raw RTF'!O$5,FALSE)</f>
        <v>0</v>
      </c>
      <c r="P10">
        <f>VLOOKUP($B10,'Raw RTF'!$B$8:$Q$1000,'Raw RTF'!P$5,FALSE)</f>
        <v>0</v>
      </c>
      <c r="Q10">
        <f>VLOOKUP($B10,'Raw RTF'!$B$8:$Q$1000,'Raw RTF'!Q$5,FALSE)</f>
        <v>0</v>
      </c>
    </row>
    <row r="11" spans="1:106">
      <c r="A11" t="str">
        <f t="shared" ref="A11:A54" si="1">CONCATENATE(B11,C11)</f>
        <v>Multi Family Weatherization - Insulate Attic - R-19 to R-30 - Heating Zone 1 (Zonal Heating System)ATTIC R19 - R30</v>
      </c>
      <c r="B11" s="116" t="str">
        <f>'Raw RTF'!B75</f>
        <v>Multi Family Weatherization - Insulate Attic - R-19 to R-30 - Heating Zone 1 (Zonal Heating System)</v>
      </c>
      <c r="C11" s="116" t="s">
        <v>1202</v>
      </c>
      <c r="D11">
        <f>VLOOKUP($B11,'Raw RTF'!$B$8:$Q$1000,'Raw RTF'!D$5,FALSE)</f>
        <v>0.11897230863715916</v>
      </c>
      <c r="E11">
        <f>VLOOKUP($B11,'Raw RTF'!$B$8:$Q$1000,'Raw RTF'!E$5,FALSE)</f>
        <v>45</v>
      </c>
      <c r="F11">
        <f>VLOOKUP($B11,'Raw RTF'!$B$8:$Q$1000,'Raw RTF'!F$5,FALSE)</f>
        <v>0.34012617534200867</v>
      </c>
      <c r="G11">
        <f>VLOOKUP($B11,'Raw RTF'!$B$8:$Q$1000,'Raw RTF'!G$5,FALSE)</f>
        <v>0</v>
      </c>
      <c r="H11" t="str">
        <f>VLOOKUP($B11,'Raw RTF'!$B$8:$Q$1000,'Raw RTF'!H$5,FALSE)</f>
        <v>ResSHWX</v>
      </c>
      <c r="I11">
        <f>VLOOKUP($B11,'Raw RTF'!$B$8:$Q$1000,'Raw RTF'!I$5,FALSE)</f>
        <v>0</v>
      </c>
      <c r="J11">
        <f>VLOOKUP($B11,'Raw RTF'!$B$8:$Q$1000,'Raw RTF'!J$5,FALSE)</f>
        <v>0</v>
      </c>
      <c r="K11">
        <f>VLOOKUP($B11,'Raw RTF'!$B$8:$Q$1000,'Raw RTF'!K$5,FALSE)</f>
        <v>0</v>
      </c>
      <c r="L11">
        <f>VLOOKUP($B11,'Raw RTF'!$B$8:$Q$1000,'Raw RTF'!L$5,FALSE)</f>
        <v>0</v>
      </c>
      <c r="M11">
        <f>VLOOKUP($B11,'Raw RTF'!$B$8:$Q$1000,'Raw RTF'!M$5,FALSE)</f>
        <v>0</v>
      </c>
      <c r="N11">
        <f>VLOOKUP($B11,'Raw RTF'!$B$8:$Q$1000,'Raw RTF'!N$5,FALSE)</f>
        <v>0</v>
      </c>
      <c r="O11">
        <f>VLOOKUP($B11,'Raw RTF'!$B$8:$Q$1000,'Raw RTF'!O$5,FALSE)</f>
        <v>0</v>
      </c>
      <c r="P11">
        <f>VLOOKUP($B11,'Raw RTF'!$B$8:$Q$1000,'Raw RTF'!P$5,FALSE)</f>
        <v>0</v>
      </c>
      <c r="Q11">
        <f>VLOOKUP($B11,'Raw RTF'!$B$8:$Q$1000,'Raw RTF'!Q$5,FALSE)</f>
        <v>0</v>
      </c>
    </row>
    <row r="12" spans="1:106">
      <c r="A12" t="str">
        <f t="shared" si="1"/>
        <v>Multi Family Weatherization - Insulate Attic - R-19 to R-38 - Heating Zone 1 (Zonal Heating System)ATTIC R19 - R38</v>
      </c>
      <c r="B12" s="116" t="str">
        <f>'Raw RTF'!B76</f>
        <v>Multi Family Weatherization - Insulate Attic - R-19 to R-38 - Heating Zone 1 (Zonal Heating System)</v>
      </c>
      <c r="C12" s="116" t="s">
        <v>67</v>
      </c>
      <c r="D12">
        <f>VLOOKUP($B12,'Raw RTF'!$B$8:$Q$1000,'Raw RTF'!D$5,FALSE)</f>
        <v>0.16409202240988657</v>
      </c>
      <c r="E12">
        <f>VLOOKUP($B12,'Raw RTF'!$B$8:$Q$1000,'Raw RTF'!E$5,FALSE)</f>
        <v>45</v>
      </c>
      <c r="F12">
        <f>VLOOKUP($B12,'Raw RTF'!$B$8:$Q$1000,'Raw RTF'!F$5,FALSE)</f>
        <v>0.58749066649983317</v>
      </c>
      <c r="G12">
        <f>VLOOKUP($B12,'Raw RTF'!$B$8:$Q$1000,'Raw RTF'!G$5,FALSE)</f>
        <v>0</v>
      </c>
      <c r="H12" t="str">
        <f>VLOOKUP($B12,'Raw RTF'!$B$8:$Q$1000,'Raw RTF'!H$5,FALSE)</f>
        <v>ResSHWX</v>
      </c>
      <c r="I12">
        <f>VLOOKUP($B12,'Raw RTF'!$B$8:$Q$1000,'Raw RTF'!I$5,FALSE)</f>
        <v>0</v>
      </c>
      <c r="J12">
        <f>VLOOKUP($B12,'Raw RTF'!$B$8:$Q$1000,'Raw RTF'!J$5,FALSE)</f>
        <v>0</v>
      </c>
      <c r="K12">
        <f>VLOOKUP($B12,'Raw RTF'!$B$8:$Q$1000,'Raw RTF'!K$5,FALSE)</f>
        <v>0</v>
      </c>
      <c r="L12">
        <f>VLOOKUP($B12,'Raw RTF'!$B$8:$Q$1000,'Raw RTF'!L$5,FALSE)</f>
        <v>0</v>
      </c>
      <c r="M12">
        <f>VLOOKUP($B12,'Raw RTF'!$B$8:$Q$1000,'Raw RTF'!M$5,FALSE)</f>
        <v>0</v>
      </c>
      <c r="N12">
        <f>VLOOKUP($B12,'Raw RTF'!$B$8:$Q$1000,'Raw RTF'!N$5,FALSE)</f>
        <v>0</v>
      </c>
      <c r="O12">
        <f>VLOOKUP($B12,'Raw RTF'!$B$8:$Q$1000,'Raw RTF'!O$5,FALSE)</f>
        <v>0</v>
      </c>
      <c r="P12">
        <f>VLOOKUP($B12,'Raw RTF'!$B$8:$Q$1000,'Raw RTF'!P$5,FALSE)</f>
        <v>0</v>
      </c>
      <c r="Q12">
        <f>VLOOKUP($B12,'Raw RTF'!$B$8:$Q$1000,'Raw RTF'!Q$5,FALSE)</f>
        <v>0</v>
      </c>
    </row>
    <row r="13" spans="1:106">
      <c r="A13" t="str">
        <f t="shared" si="1"/>
        <v>Multi Family Weatherization - Insulate Attic - R-19 to R-49 - Heating Zone 1 (Zonal Heating System)ATTIC R19 - R49</v>
      </c>
      <c r="B13" s="116" t="str">
        <f>'Raw RTF'!B77</f>
        <v>Multi Family Weatherization - Insulate Attic - R-19 to R-49 - Heating Zone 1 (Zonal Heating System)</v>
      </c>
      <c r="C13" s="116" t="s">
        <v>68</v>
      </c>
      <c r="D13">
        <f>VLOOKUP($B13,'Raw RTF'!$B$8:$Q$1000,'Raw RTF'!D$5,FALSE)</f>
        <v>0.2020424278354549</v>
      </c>
      <c r="E13">
        <f>VLOOKUP($B13,'Raw RTF'!$B$8:$Q$1000,'Raw RTF'!E$5,FALSE)</f>
        <v>45</v>
      </c>
      <c r="F13">
        <f>VLOOKUP($B13,'Raw RTF'!$B$8:$Q$1000,'Raw RTF'!F$5,FALSE)</f>
        <v>0.9276168418418419</v>
      </c>
      <c r="G13">
        <f>VLOOKUP($B13,'Raw RTF'!$B$8:$Q$1000,'Raw RTF'!G$5,FALSE)</f>
        <v>0</v>
      </c>
      <c r="H13" t="str">
        <f>VLOOKUP($B13,'Raw RTF'!$B$8:$Q$1000,'Raw RTF'!H$5,FALSE)</f>
        <v>ResSHWX</v>
      </c>
      <c r="I13">
        <f>VLOOKUP($B13,'Raw RTF'!$B$8:$Q$1000,'Raw RTF'!I$5,FALSE)</f>
        <v>0</v>
      </c>
      <c r="J13">
        <f>VLOOKUP($B13,'Raw RTF'!$B$8:$Q$1000,'Raw RTF'!J$5,FALSE)</f>
        <v>0</v>
      </c>
      <c r="K13">
        <f>VLOOKUP($B13,'Raw RTF'!$B$8:$Q$1000,'Raw RTF'!K$5,FALSE)</f>
        <v>0</v>
      </c>
      <c r="L13">
        <f>VLOOKUP($B13,'Raw RTF'!$B$8:$Q$1000,'Raw RTF'!L$5,FALSE)</f>
        <v>0</v>
      </c>
      <c r="M13">
        <f>VLOOKUP($B13,'Raw RTF'!$B$8:$Q$1000,'Raw RTF'!M$5,FALSE)</f>
        <v>0</v>
      </c>
      <c r="N13">
        <f>VLOOKUP($B13,'Raw RTF'!$B$8:$Q$1000,'Raw RTF'!N$5,FALSE)</f>
        <v>0</v>
      </c>
      <c r="O13">
        <f>VLOOKUP($B13,'Raw RTF'!$B$8:$Q$1000,'Raw RTF'!O$5,FALSE)</f>
        <v>0</v>
      </c>
      <c r="P13">
        <f>VLOOKUP($B13,'Raw RTF'!$B$8:$Q$1000,'Raw RTF'!P$5,FALSE)</f>
        <v>0</v>
      </c>
      <c r="Q13">
        <f>VLOOKUP($B13,'Raw RTF'!$B$8:$Q$1000,'Raw RTF'!Q$5,FALSE)</f>
        <v>0</v>
      </c>
    </row>
    <row r="14" spans="1:106" ht="38.25">
      <c r="A14" t="str">
        <f t="shared" si="1"/>
        <v>Windows - Single Pane to Class 22 - Heating Zone 1 (Zonal Heating System)WINDOW CL22 Prime Window Replacement of Single Pane Base</v>
      </c>
      <c r="B14" s="116" t="str">
        <f>'Raw RTF'!B78</f>
        <v>Windows - Single Pane to Class 22 - Heating Zone 1 (Zonal Heating System)</v>
      </c>
      <c r="C14" s="116" t="s">
        <v>74</v>
      </c>
      <c r="D14">
        <f>VLOOKUP($B14,'Raw RTF'!$B$8:$Q$1000,'Raw RTF'!D$5,FALSE)</f>
        <v>22.905370149993779</v>
      </c>
      <c r="E14">
        <f>VLOOKUP($B14,'Raw RTF'!$B$8:$Q$1000,'Raw RTF'!E$5,FALSE)</f>
        <v>45</v>
      </c>
      <c r="F14">
        <f>VLOOKUP($B14,'Raw RTF'!$B$8:$Q$1000,'Raw RTF'!F$5,FALSE)</f>
        <v>23.573200327964955</v>
      </c>
      <c r="G14">
        <f>VLOOKUP($B14,'Raw RTF'!$B$8:$Q$1000,'Raw RTF'!G$5,FALSE)</f>
        <v>0</v>
      </c>
      <c r="H14" t="str">
        <f>VLOOKUP($B14,'Raw RTF'!$B$8:$Q$1000,'Raw RTF'!H$5,FALSE)</f>
        <v>ResSHWX</v>
      </c>
      <c r="I14">
        <f>VLOOKUP($B14,'Raw RTF'!$B$8:$Q$1000,'Raw RTF'!I$5,FALSE)</f>
        <v>0</v>
      </c>
      <c r="J14">
        <f>VLOOKUP($B14,'Raw RTF'!$B$8:$Q$1000,'Raw RTF'!J$5,FALSE)</f>
        <v>0</v>
      </c>
      <c r="K14">
        <f>VLOOKUP($B14,'Raw RTF'!$B$8:$Q$1000,'Raw RTF'!K$5,FALSE)</f>
        <v>0</v>
      </c>
      <c r="L14">
        <f>VLOOKUP($B14,'Raw RTF'!$B$8:$Q$1000,'Raw RTF'!L$5,FALSE)</f>
        <v>0</v>
      </c>
      <c r="M14">
        <f>VLOOKUP($B14,'Raw RTF'!$B$8:$Q$1000,'Raw RTF'!M$5,FALSE)</f>
        <v>0</v>
      </c>
      <c r="N14">
        <f>VLOOKUP($B14,'Raw RTF'!$B$8:$Q$1000,'Raw RTF'!N$5,FALSE)</f>
        <v>0</v>
      </c>
      <c r="O14">
        <f>VLOOKUP($B14,'Raw RTF'!$B$8:$Q$1000,'Raw RTF'!O$5,FALSE)</f>
        <v>0</v>
      </c>
      <c r="P14">
        <f>VLOOKUP($B14,'Raw RTF'!$B$8:$Q$1000,'Raw RTF'!P$5,FALSE)</f>
        <v>0</v>
      </c>
      <c r="Q14">
        <f>VLOOKUP($B14,'Raw RTF'!$B$8:$Q$1000,'Raw RTF'!Q$5,FALSE)</f>
        <v>0</v>
      </c>
    </row>
    <row r="15" spans="1:106" ht="38.25">
      <c r="A15" t="str">
        <f t="shared" si="1"/>
        <v>Windows - Double Pane to Class 22 - Heating Zone 1 (Zonal Heating System)WINDOW CL22 Prime Window Replacement of Double Pane Base</v>
      </c>
      <c r="B15" s="116" t="str">
        <f>'Raw RTF'!B79</f>
        <v>Windows - Double Pane to Class 22 - Heating Zone 1 (Zonal Heating System)</v>
      </c>
      <c r="C15" s="116" t="s">
        <v>75</v>
      </c>
      <c r="D15">
        <f>VLOOKUP($B15,'Raw RTF'!$B$8:$Q$1000,'Raw RTF'!D$5,FALSE)</f>
        <v>13.397849857544676</v>
      </c>
      <c r="E15">
        <f>VLOOKUP($B15,'Raw RTF'!$B$8:$Q$1000,'Raw RTF'!E$5,FALSE)</f>
        <v>45</v>
      </c>
      <c r="F15">
        <f>VLOOKUP($B15,'Raw RTF'!$B$8:$Q$1000,'Raw RTF'!F$5,FALSE)</f>
        <v>23.573200327964955</v>
      </c>
      <c r="G15">
        <f>VLOOKUP($B15,'Raw RTF'!$B$8:$Q$1000,'Raw RTF'!G$5,FALSE)</f>
        <v>0</v>
      </c>
      <c r="H15" t="str">
        <f>VLOOKUP($B15,'Raw RTF'!$B$8:$Q$1000,'Raw RTF'!H$5,FALSE)</f>
        <v>ResSHWX</v>
      </c>
      <c r="I15">
        <f>VLOOKUP($B15,'Raw RTF'!$B$8:$Q$1000,'Raw RTF'!I$5,FALSE)</f>
        <v>0</v>
      </c>
      <c r="J15">
        <f>VLOOKUP($B15,'Raw RTF'!$B$8:$Q$1000,'Raw RTF'!J$5,FALSE)</f>
        <v>0</v>
      </c>
      <c r="K15">
        <f>VLOOKUP($B15,'Raw RTF'!$B$8:$Q$1000,'Raw RTF'!K$5,FALSE)</f>
        <v>0</v>
      </c>
      <c r="L15">
        <f>VLOOKUP($B15,'Raw RTF'!$B$8:$Q$1000,'Raw RTF'!L$5,FALSE)</f>
        <v>0</v>
      </c>
      <c r="M15">
        <f>VLOOKUP($B15,'Raw RTF'!$B$8:$Q$1000,'Raw RTF'!M$5,FALSE)</f>
        <v>0</v>
      </c>
      <c r="N15">
        <f>VLOOKUP($B15,'Raw RTF'!$B$8:$Q$1000,'Raw RTF'!N$5,FALSE)</f>
        <v>0</v>
      </c>
      <c r="O15">
        <f>VLOOKUP($B15,'Raw RTF'!$B$8:$Q$1000,'Raw RTF'!O$5,FALSE)</f>
        <v>0</v>
      </c>
      <c r="P15">
        <f>VLOOKUP($B15,'Raw RTF'!$B$8:$Q$1000,'Raw RTF'!P$5,FALSE)</f>
        <v>0</v>
      </c>
      <c r="Q15">
        <f>VLOOKUP($B15,'Raw RTF'!$B$8:$Q$1000,'Raw RTF'!Q$5,FALSE)</f>
        <v>0</v>
      </c>
    </row>
    <row r="16" spans="1:106" ht="38.25">
      <c r="A16" t="str">
        <f t="shared" si="1"/>
        <v>Windows - Single Pane to Class 30 - Heating Zone 1 (Zonal Heating System)WINDOW CL30 Prime Window Replacement of Single Pane Base</v>
      </c>
      <c r="B16" s="116" t="str">
        <f>'Raw RTF'!B80</f>
        <v>Windows - Single Pane to Class 30 - Heating Zone 1 (Zonal Heating System)</v>
      </c>
      <c r="C16" s="116" t="s">
        <v>72</v>
      </c>
      <c r="D16">
        <f>VLOOKUP($B16,'Raw RTF'!$B$8:$Q$1000,'Raw RTF'!D$5,FALSE)</f>
        <v>21.095852285685414</v>
      </c>
      <c r="E16">
        <f>VLOOKUP($B16,'Raw RTF'!$B$8:$Q$1000,'Raw RTF'!E$5,FALSE)</f>
        <v>45</v>
      </c>
      <c r="F16">
        <f>VLOOKUP($B16,'Raw RTF'!$B$8:$Q$1000,'Raw RTF'!F$5,FALSE)</f>
        <v>22.213200327964955</v>
      </c>
      <c r="G16">
        <f>VLOOKUP($B16,'Raw RTF'!$B$8:$Q$1000,'Raw RTF'!G$5,FALSE)</f>
        <v>0</v>
      </c>
      <c r="H16" t="str">
        <f>VLOOKUP($B16,'Raw RTF'!$B$8:$Q$1000,'Raw RTF'!H$5,FALSE)</f>
        <v>ResSHWX</v>
      </c>
      <c r="I16">
        <f>VLOOKUP($B16,'Raw RTF'!$B$8:$Q$1000,'Raw RTF'!I$5,FALSE)</f>
        <v>0</v>
      </c>
      <c r="J16">
        <f>VLOOKUP($B16,'Raw RTF'!$B$8:$Q$1000,'Raw RTF'!J$5,FALSE)</f>
        <v>0</v>
      </c>
      <c r="K16">
        <f>VLOOKUP($B16,'Raw RTF'!$B$8:$Q$1000,'Raw RTF'!K$5,FALSE)</f>
        <v>0</v>
      </c>
      <c r="L16">
        <f>VLOOKUP($B16,'Raw RTF'!$B$8:$Q$1000,'Raw RTF'!L$5,FALSE)</f>
        <v>0</v>
      </c>
      <c r="M16">
        <f>VLOOKUP($B16,'Raw RTF'!$B$8:$Q$1000,'Raw RTF'!M$5,FALSE)</f>
        <v>0</v>
      </c>
      <c r="N16">
        <f>VLOOKUP($B16,'Raw RTF'!$B$8:$Q$1000,'Raw RTF'!N$5,FALSE)</f>
        <v>0</v>
      </c>
      <c r="O16">
        <f>VLOOKUP($B16,'Raw RTF'!$B$8:$Q$1000,'Raw RTF'!O$5,FALSE)</f>
        <v>0</v>
      </c>
      <c r="P16">
        <f>VLOOKUP($B16,'Raw RTF'!$B$8:$Q$1000,'Raw RTF'!P$5,FALSE)</f>
        <v>0</v>
      </c>
      <c r="Q16">
        <f>VLOOKUP($B16,'Raw RTF'!$B$8:$Q$1000,'Raw RTF'!Q$5,FALSE)</f>
        <v>0</v>
      </c>
    </row>
    <row r="17" spans="1:17" ht="38.25">
      <c r="A17" t="str">
        <f t="shared" si="1"/>
        <v>Windows - Double Pane to Class 30 - Heating Zone 1 (Zonal Heating System)WINDOW CL30 Prime Window Replacement of Double Pane Base</v>
      </c>
      <c r="B17" s="116" t="str">
        <f>'Raw RTF'!B81</f>
        <v>Windows - Double Pane to Class 30 - Heating Zone 1 (Zonal Heating System)</v>
      </c>
      <c r="C17" s="116" t="s">
        <v>73</v>
      </c>
      <c r="D17">
        <f>VLOOKUP($B17,'Raw RTF'!$B$8:$Q$1000,'Raw RTF'!D$5,FALSE)</f>
        <v>11.588331993236304</v>
      </c>
      <c r="E17">
        <f>VLOOKUP($B17,'Raw RTF'!$B$8:$Q$1000,'Raw RTF'!E$5,FALSE)</f>
        <v>45</v>
      </c>
      <c r="F17">
        <f>VLOOKUP($B17,'Raw RTF'!$B$8:$Q$1000,'Raw RTF'!F$5,FALSE)</f>
        <v>22.213200327964955</v>
      </c>
      <c r="G17">
        <f>VLOOKUP($B17,'Raw RTF'!$B$8:$Q$1000,'Raw RTF'!G$5,FALSE)</f>
        <v>0</v>
      </c>
      <c r="H17" t="str">
        <f>VLOOKUP($B17,'Raw RTF'!$B$8:$Q$1000,'Raw RTF'!H$5,FALSE)</f>
        <v>ResSHWX</v>
      </c>
      <c r="I17">
        <f>VLOOKUP($B17,'Raw RTF'!$B$8:$Q$1000,'Raw RTF'!I$5,FALSE)</f>
        <v>0</v>
      </c>
      <c r="J17">
        <f>VLOOKUP($B17,'Raw RTF'!$B$8:$Q$1000,'Raw RTF'!J$5,FALSE)</f>
        <v>0</v>
      </c>
      <c r="K17">
        <f>VLOOKUP($B17,'Raw RTF'!$B$8:$Q$1000,'Raw RTF'!K$5,FALSE)</f>
        <v>0</v>
      </c>
      <c r="L17">
        <f>VLOOKUP($B17,'Raw RTF'!$B$8:$Q$1000,'Raw RTF'!L$5,FALSE)</f>
        <v>0</v>
      </c>
      <c r="M17">
        <f>VLOOKUP($B17,'Raw RTF'!$B$8:$Q$1000,'Raw RTF'!M$5,FALSE)</f>
        <v>0</v>
      </c>
      <c r="N17">
        <f>VLOOKUP($B17,'Raw RTF'!$B$8:$Q$1000,'Raw RTF'!N$5,FALSE)</f>
        <v>0</v>
      </c>
      <c r="O17">
        <f>VLOOKUP($B17,'Raw RTF'!$B$8:$Q$1000,'Raw RTF'!O$5,FALSE)</f>
        <v>0</v>
      </c>
      <c r="P17">
        <f>VLOOKUP($B17,'Raw RTF'!$B$8:$Q$1000,'Raw RTF'!P$5,FALSE)</f>
        <v>0</v>
      </c>
      <c r="Q17">
        <f>VLOOKUP($B17,'Raw RTF'!$B$8:$Q$1000,'Raw RTF'!Q$5,FALSE)</f>
        <v>0</v>
      </c>
    </row>
    <row r="18" spans="1:17">
      <c r="A18" t="str">
        <f t="shared" si="1"/>
        <v>Multi Family Weatherization - Insulate Walls - R-0 to R-11 - Heating Zone 2 (Zonal Heating System)WALL R0 - R11</v>
      </c>
      <c r="B18" s="116" t="str">
        <f>'Raw RTF'!B84</f>
        <v>Multi Family Weatherization - Insulate Walls - R-0 to R-11 - Heating Zone 2 (Zonal Heating System)</v>
      </c>
      <c r="C18" s="116" t="s">
        <v>69</v>
      </c>
      <c r="D18">
        <f>VLOOKUP($B18,'Raw RTF'!$B$8:$Q$1000,'Raw RTF'!D$5,FALSE)</f>
        <v>1.7455528503752906</v>
      </c>
      <c r="E18">
        <f>VLOOKUP($B18,'Raw RTF'!$B$8:$Q$1000,'Raw RTF'!E$5,FALSE)</f>
        <v>45</v>
      </c>
      <c r="F18">
        <f>VLOOKUP($B18,'Raw RTF'!$B$8:$Q$1000,'Raw RTF'!F$5,FALSE)</f>
        <v>0.85033582942530117</v>
      </c>
      <c r="G18">
        <f>VLOOKUP($B18,'Raw RTF'!$B$8:$Q$1000,'Raw RTF'!G$5,FALSE)</f>
        <v>0</v>
      </c>
      <c r="H18" t="str">
        <f>VLOOKUP($B18,'Raw RTF'!$B$8:$Q$1000,'Raw RTF'!H$5,FALSE)</f>
        <v>ResSHWX</v>
      </c>
      <c r="I18">
        <f>VLOOKUP($B18,'Raw RTF'!$B$8:$Q$1000,'Raw RTF'!I$5,FALSE)</f>
        <v>0</v>
      </c>
      <c r="J18">
        <f>VLOOKUP($B18,'Raw RTF'!$B$8:$Q$1000,'Raw RTF'!J$5,FALSE)</f>
        <v>0</v>
      </c>
      <c r="K18">
        <f>VLOOKUP($B18,'Raw RTF'!$B$8:$Q$1000,'Raw RTF'!K$5,FALSE)</f>
        <v>0</v>
      </c>
      <c r="L18">
        <f>VLOOKUP($B18,'Raw RTF'!$B$8:$Q$1000,'Raw RTF'!L$5,FALSE)</f>
        <v>0</v>
      </c>
      <c r="M18">
        <f>VLOOKUP($B18,'Raw RTF'!$B$8:$Q$1000,'Raw RTF'!M$5,FALSE)</f>
        <v>0</v>
      </c>
      <c r="N18">
        <f>VLOOKUP($B18,'Raw RTF'!$B$8:$Q$1000,'Raw RTF'!N$5,FALSE)</f>
        <v>0</v>
      </c>
      <c r="O18">
        <f>VLOOKUP($B18,'Raw RTF'!$B$8:$Q$1000,'Raw RTF'!O$5,FALSE)</f>
        <v>0</v>
      </c>
      <c r="P18">
        <f>VLOOKUP($B18,'Raw RTF'!$B$8:$Q$1000,'Raw RTF'!P$5,FALSE)</f>
        <v>0</v>
      </c>
      <c r="Q18">
        <f>VLOOKUP($B18,'Raw RTF'!$B$8:$Q$1000,'Raw RTF'!Q$5,FALSE)</f>
        <v>0</v>
      </c>
    </row>
    <row r="19" spans="1:17">
      <c r="A19" t="str">
        <f t="shared" si="1"/>
        <v>Multi Family Weatherization - Insulate Floors - R-0 to R-19 - Heating Zone 2 (Zonal Heating System)FLOOR R0 - R19</v>
      </c>
      <c r="B19" s="116" t="str">
        <f>'Raw RTF'!B85</f>
        <v>Multi Family Weatherization - Insulate Floors - R-0 to R-19 - Heating Zone 2 (Zonal Heating System)</v>
      </c>
      <c r="C19" s="116" t="s">
        <v>70</v>
      </c>
      <c r="D19">
        <f>VLOOKUP($B19,'Raw RTF'!$B$8:$Q$1000,'Raw RTF'!D$5,FALSE)</f>
        <v>0.70850569625695259</v>
      </c>
      <c r="E19">
        <f>VLOOKUP($B19,'Raw RTF'!$B$8:$Q$1000,'Raw RTF'!E$5,FALSE)</f>
        <v>45</v>
      </c>
      <c r="F19">
        <f>VLOOKUP($B19,'Raw RTF'!$B$8:$Q$1000,'Raw RTF'!F$5,FALSE)</f>
        <v>1.1190178820234826</v>
      </c>
      <c r="G19">
        <f>VLOOKUP($B19,'Raw RTF'!$B$8:$Q$1000,'Raw RTF'!G$5,FALSE)</f>
        <v>0</v>
      </c>
      <c r="H19" t="str">
        <f>VLOOKUP($B19,'Raw RTF'!$B$8:$Q$1000,'Raw RTF'!H$5,FALSE)</f>
        <v>ResSHWX</v>
      </c>
      <c r="I19">
        <f>VLOOKUP($B19,'Raw RTF'!$B$8:$Q$1000,'Raw RTF'!I$5,FALSE)</f>
        <v>0</v>
      </c>
      <c r="J19">
        <f>VLOOKUP($B19,'Raw RTF'!$B$8:$Q$1000,'Raw RTF'!J$5,FALSE)</f>
        <v>0</v>
      </c>
      <c r="K19">
        <f>VLOOKUP($B19,'Raw RTF'!$B$8:$Q$1000,'Raw RTF'!K$5,FALSE)</f>
        <v>0</v>
      </c>
      <c r="L19">
        <f>VLOOKUP($B19,'Raw RTF'!$B$8:$Q$1000,'Raw RTF'!L$5,FALSE)</f>
        <v>0</v>
      </c>
      <c r="M19">
        <f>VLOOKUP($B19,'Raw RTF'!$B$8:$Q$1000,'Raw RTF'!M$5,FALSE)</f>
        <v>0</v>
      </c>
      <c r="N19">
        <f>VLOOKUP($B19,'Raw RTF'!$B$8:$Q$1000,'Raw RTF'!N$5,FALSE)</f>
        <v>0</v>
      </c>
      <c r="O19">
        <f>VLOOKUP($B19,'Raw RTF'!$B$8:$Q$1000,'Raw RTF'!O$5,FALSE)</f>
        <v>0</v>
      </c>
      <c r="P19">
        <f>VLOOKUP($B19,'Raw RTF'!$B$8:$Q$1000,'Raw RTF'!P$5,FALSE)</f>
        <v>0</v>
      </c>
      <c r="Q19">
        <f>VLOOKUP($B19,'Raw RTF'!$B$8:$Q$1000,'Raw RTF'!Q$5,FALSE)</f>
        <v>0</v>
      </c>
    </row>
    <row r="20" spans="1:17">
      <c r="A20" t="str">
        <f t="shared" si="1"/>
        <v>Multi Family Weatherization - Insulate Floors - R-0 to R-30 - Heating Zone 2 (Zonal Heating System)FLOOR R0 - R30</v>
      </c>
      <c r="B20" s="116" t="str">
        <f>'Raw RTF'!B86</f>
        <v>Multi Family Weatherization - Insulate Floors - R-0 to R-30 - Heating Zone 2 (Zonal Heating System)</v>
      </c>
      <c r="C20" s="116" t="s">
        <v>71</v>
      </c>
      <c r="D20">
        <f>VLOOKUP($B20,'Raw RTF'!$B$8:$Q$1000,'Raw RTF'!D$5,FALSE)</f>
        <v>0.92380901266016036</v>
      </c>
      <c r="E20">
        <f>VLOOKUP($B20,'Raw RTF'!$B$8:$Q$1000,'Raw RTF'!E$5,FALSE)</f>
        <v>45</v>
      </c>
      <c r="F20">
        <f>VLOOKUP($B20,'Raw RTF'!$B$8:$Q$1000,'Raw RTF'!F$5,FALSE)</f>
        <v>1.766870340037078</v>
      </c>
      <c r="G20">
        <f>VLOOKUP($B20,'Raw RTF'!$B$8:$Q$1000,'Raw RTF'!G$5,FALSE)</f>
        <v>0</v>
      </c>
      <c r="H20" t="str">
        <f>VLOOKUP($B20,'Raw RTF'!$B$8:$Q$1000,'Raw RTF'!H$5,FALSE)</f>
        <v>ResSHWX</v>
      </c>
      <c r="I20">
        <f>VLOOKUP($B20,'Raw RTF'!$B$8:$Q$1000,'Raw RTF'!I$5,FALSE)</f>
        <v>0</v>
      </c>
      <c r="J20">
        <f>VLOOKUP($B20,'Raw RTF'!$B$8:$Q$1000,'Raw RTF'!J$5,FALSE)</f>
        <v>0</v>
      </c>
      <c r="K20">
        <f>VLOOKUP($B20,'Raw RTF'!$B$8:$Q$1000,'Raw RTF'!K$5,FALSE)</f>
        <v>0</v>
      </c>
      <c r="L20">
        <f>VLOOKUP($B20,'Raw RTF'!$B$8:$Q$1000,'Raw RTF'!L$5,FALSE)</f>
        <v>0</v>
      </c>
      <c r="M20">
        <f>VLOOKUP($B20,'Raw RTF'!$B$8:$Q$1000,'Raw RTF'!M$5,FALSE)</f>
        <v>0</v>
      </c>
      <c r="N20">
        <f>VLOOKUP($B20,'Raw RTF'!$B$8:$Q$1000,'Raw RTF'!N$5,FALSE)</f>
        <v>0</v>
      </c>
      <c r="O20">
        <f>VLOOKUP($B20,'Raw RTF'!$B$8:$Q$1000,'Raw RTF'!O$5,FALSE)</f>
        <v>0</v>
      </c>
      <c r="P20">
        <f>VLOOKUP($B20,'Raw RTF'!$B$8:$Q$1000,'Raw RTF'!P$5,FALSE)</f>
        <v>0</v>
      </c>
      <c r="Q20">
        <f>VLOOKUP($B20,'Raw RTF'!$B$8:$Q$1000,'Raw RTF'!Q$5,FALSE)</f>
        <v>0</v>
      </c>
    </row>
    <row r="21" spans="1:17">
      <c r="A21" t="str">
        <f t="shared" si="1"/>
        <v>Multi Family Weatherization - Insulate Attic - R-0 to R-19 - Heating Zone 2 (Zonal Heating System)ATTIC R0 - R19</v>
      </c>
      <c r="B21" s="116" t="str">
        <f>'Raw RTF'!B88</f>
        <v>Multi Family Weatherization - Insulate Attic - R-0 to R-19 - Heating Zone 2 (Zonal Heating System)</v>
      </c>
      <c r="C21" s="116" t="s">
        <v>1201</v>
      </c>
      <c r="D21">
        <f>VLOOKUP($B21,'Raw RTF'!$B$8:$Q$1000,'Raw RTF'!D$5,FALSE)</f>
        <v>0.46821869034522712</v>
      </c>
      <c r="E21">
        <f>VLOOKUP($B21,'Raw RTF'!$B$8:$Q$1000,'Raw RTF'!E$5,FALSE)</f>
        <v>45</v>
      </c>
      <c r="F21">
        <f>VLOOKUP($B21,'Raw RTF'!$B$8:$Q$1000,'Raw RTF'!F$5,FALSE)</f>
        <v>0.58749066649983317</v>
      </c>
      <c r="G21">
        <f>VLOOKUP($B21,'Raw RTF'!$B$8:$Q$1000,'Raw RTF'!G$5,FALSE)</f>
        <v>0</v>
      </c>
      <c r="H21" t="str">
        <f>VLOOKUP($B21,'Raw RTF'!$B$8:$Q$1000,'Raw RTF'!H$5,FALSE)</f>
        <v>ResSHWX</v>
      </c>
      <c r="I21">
        <f>VLOOKUP($B21,'Raw RTF'!$B$8:$Q$1000,'Raw RTF'!I$5,FALSE)</f>
        <v>0</v>
      </c>
      <c r="J21">
        <f>VLOOKUP($B21,'Raw RTF'!$B$8:$Q$1000,'Raw RTF'!J$5,FALSE)</f>
        <v>0</v>
      </c>
      <c r="K21">
        <f>VLOOKUP($B21,'Raw RTF'!$B$8:$Q$1000,'Raw RTF'!K$5,FALSE)</f>
        <v>0</v>
      </c>
      <c r="L21">
        <f>VLOOKUP($B21,'Raw RTF'!$B$8:$Q$1000,'Raw RTF'!L$5,FALSE)</f>
        <v>0</v>
      </c>
      <c r="M21">
        <f>VLOOKUP($B21,'Raw RTF'!$B$8:$Q$1000,'Raw RTF'!M$5,FALSE)</f>
        <v>0</v>
      </c>
      <c r="N21">
        <f>VLOOKUP($B21,'Raw RTF'!$B$8:$Q$1000,'Raw RTF'!N$5,FALSE)</f>
        <v>0</v>
      </c>
      <c r="O21">
        <f>VLOOKUP($B21,'Raw RTF'!$B$8:$Q$1000,'Raw RTF'!O$5,FALSE)</f>
        <v>0</v>
      </c>
      <c r="P21">
        <f>VLOOKUP($B21,'Raw RTF'!$B$8:$Q$1000,'Raw RTF'!P$5,FALSE)</f>
        <v>0</v>
      </c>
      <c r="Q21">
        <f>VLOOKUP($B21,'Raw RTF'!$B$8:$Q$1000,'Raw RTF'!Q$5,FALSE)</f>
        <v>0</v>
      </c>
    </row>
    <row r="22" spans="1:17">
      <c r="A22" t="str">
        <f t="shared" si="1"/>
        <v>Multi Family Weatherization - Insulate Attic - R-0 to R-38 - Heating Zone 2 (Zonal Heating System)ATTIC R0 - R38</v>
      </c>
      <c r="B22" s="116" t="str">
        <f>'Raw RTF'!B89</f>
        <v>Multi Family Weatherization - Insulate Attic - R-0 to R-38 - Heating Zone 2 (Zonal Heating System)</v>
      </c>
      <c r="C22" s="116" t="s">
        <v>65</v>
      </c>
      <c r="D22">
        <f>VLOOKUP($B22,'Raw RTF'!$B$8:$Q$1000,'Raw RTF'!D$5,FALSE)</f>
        <v>0.63802501343193219</v>
      </c>
      <c r="E22">
        <f>VLOOKUP($B22,'Raw RTF'!$B$8:$Q$1000,'Raw RTF'!E$5,FALSE)</f>
        <v>45</v>
      </c>
      <c r="F22">
        <f>VLOOKUP($B22,'Raw RTF'!$B$8:$Q$1000,'Raw RTF'!F$5,FALSE)</f>
        <v>1.1749813329996663</v>
      </c>
      <c r="G22">
        <f>VLOOKUP($B22,'Raw RTF'!$B$8:$Q$1000,'Raw RTF'!G$5,FALSE)</f>
        <v>0</v>
      </c>
      <c r="H22" t="str">
        <f>VLOOKUP($B22,'Raw RTF'!$B$8:$Q$1000,'Raw RTF'!H$5,FALSE)</f>
        <v>ResSHWX</v>
      </c>
      <c r="I22">
        <f>VLOOKUP($B22,'Raw RTF'!$B$8:$Q$1000,'Raw RTF'!I$5,FALSE)</f>
        <v>0</v>
      </c>
      <c r="J22">
        <f>VLOOKUP($B22,'Raw RTF'!$B$8:$Q$1000,'Raw RTF'!J$5,FALSE)</f>
        <v>0</v>
      </c>
      <c r="K22">
        <f>VLOOKUP($B22,'Raw RTF'!$B$8:$Q$1000,'Raw RTF'!K$5,FALSE)</f>
        <v>0</v>
      </c>
      <c r="L22">
        <f>VLOOKUP($B22,'Raw RTF'!$B$8:$Q$1000,'Raw RTF'!L$5,FALSE)</f>
        <v>0</v>
      </c>
      <c r="M22">
        <f>VLOOKUP($B22,'Raw RTF'!$B$8:$Q$1000,'Raw RTF'!M$5,FALSE)</f>
        <v>0</v>
      </c>
      <c r="N22">
        <f>VLOOKUP($B22,'Raw RTF'!$B$8:$Q$1000,'Raw RTF'!N$5,FALSE)</f>
        <v>0</v>
      </c>
      <c r="O22">
        <f>VLOOKUP($B22,'Raw RTF'!$B$8:$Q$1000,'Raw RTF'!O$5,FALSE)</f>
        <v>0</v>
      </c>
      <c r="P22">
        <f>VLOOKUP($B22,'Raw RTF'!$B$8:$Q$1000,'Raw RTF'!P$5,FALSE)</f>
        <v>0</v>
      </c>
      <c r="Q22">
        <f>VLOOKUP($B22,'Raw RTF'!$B$8:$Q$1000,'Raw RTF'!Q$5,FALSE)</f>
        <v>0</v>
      </c>
    </row>
    <row r="23" spans="1:17">
      <c r="A23" t="str">
        <f t="shared" si="1"/>
        <v>Multi Family Weatherization - Insulate Attic - R-0 to R-49 - Heating Zone 2 (Zonal Heating System)ATTIC R0 - R49</v>
      </c>
      <c r="B23" s="116" t="str">
        <f>'Raw RTF'!B90</f>
        <v>Multi Family Weatherization - Insulate Attic - R-0 to R-49 - Heating Zone 2 (Zonal Heating System)</v>
      </c>
      <c r="C23" s="116" t="s">
        <v>66</v>
      </c>
      <c r="D23">
        <f>VLOOKUP($B23,'Raw RTF'!$B$8:$Q$1000,'Raw RTF'!D$5,FALSE)</f>
        <v>0.67745633057068222</v>
      </c>
      <c r="E23">
        <f>VLOOKUP($B23,'Raw RTF'!$B$8:$Q$1000,'Raw RTF'!E$5,FALSE)</f>
        <v>45</v>
      </c>
      <c r="F23">
        <f>VLOOKUP($B23,'Raw RTF'!$B$8:$Q$1000,'Raw RTF'!F$5,FALSE)</f>
        <v>1.515107508341675</v>
      </c>
      <c r="G23">
        <f>VLOOKUP($B23,'Raw RTF'!$B$8:$Q$1000,'Raw RTF'!G$5,FALSE)</f>
        <v>0</v>
      </c>
      <c r="H23" t="str">
        <f>VLOOKUP($B23,'Raw RTF'!$B$8:$Q$1000,'Raw RTF'!H$5,FALSE)</f>
        <v>ResSHWX</v>
      </c>
      <c r="I23">
        <f>VLOOKUP($B23,'Raw RTF'!$B$8:$Q$1000,'Raw RTF'!I$5,FALSE)</f>
        <v>0</v>
      </c>
      <c r="J23">
        <f>VLOOKUP($B23,'Raw RTF'!$B$8:$Q$1000,'Raw RTF'!J$5,FALSE)</f>
        <v>0</v>
      </c>
      <c r="K23">
        <f>VLOOKUP($B23,'Raw RTF'!$B$8:$Q$1000,'Raw RTF'!K$5,FALSE)</f>
        <v>0</v>
      </c>
      <c r="L23">
        <f>VLOOKUP($B23,'Raw RTF'!$B$8:$Q$1000,'Raw RTF'!L$5,FALSE)</f>
        <v>0</v>
      </c>
      <c r="M23">
        <f>VLOOKUP($B23,'Raw RTF'!$B$8:$Q$1000,'Raw RTF'!M$5,FALSE)</f>
        <v>0</v>
      </c>
      <c r="N23">
        <f>VLOOKUP($B23,'Raw RTF'!$B$8:$Q$1000,'Raw RTF'!N$5,FALSE)</f>
        <v>0</v>
      </c>
      <c r="O23">
        <f>VLOOKUP($B23,'Raw RTF'!$B$8:$Q$1000,'Raw RTF'!O$5,FALSE)</f>
        <v>0</v>
      </c>
      <c r="P23">
        <f>VLOOKUP($B23,'Raw RTF'!$B$8:$Q$1000,'Raw RTF'!P$5,FALSE)</f>
        <v>0</v>
      </c>
      <c r="Q23">
        <f>VLOOKUP($B23,'Raw RTF'!$B$8:$Q$1000,'Raw RTF'!Q$5,FALSE)</f>
        <v>0</v>
      </c>
    </row>
    <row r="24" spans="1:17">
      <c r="A24" t="str">
        <f t="shared" si="1"/>
        <v>Multi Family Weatherization - Insulate Attic - R-19 to R-30 - Heating Zone 2 (Zonal Heating System)ATTIC R19 - R30</v>
      </c>
      <c r="B24" s="116" t="str">
        <f>'Raw RTF'!B94</f>
        <v>Multi Family Weatherization - Insulate Attic - R-19 to R-30 - Heating Zone 2 (Zonal Heating System)</v>
      </c>
      <c r="C24" s="116" t="s">
        <v>1202</v>
      </c>
      <c r="D24">
        <f>VLOOKUP($B24,'Raw RTF'!$B$8:$Q$1000,'Raw RTF'!D$5,FALSE)</f>
        <v>0.12301675468829548</v>
      </c>
      <c r="E24">
        <f>VLOOKUP($B24,'Raw RTF'!$B$8:$Q$1000,'Raw RTF'!E$5,FALSE)</f>
        <v>45</v>
      </c>
      <c r="F24">
        <f>VLOOKUP($B24,'Raw RTF'!$B$8:$Q$1000,'Raw RTF'!F$5,FALSE)</f>
        <v>0.34012617534200867</v>
      </c>
      <c r="G24">
        <f>VLOOKUP($B24,'Raw RTF'!$B$8:$Q$1000,'Raw RTF'!G$5,FALSE)</f>
        <v>0</v>
      </c>
      <c r="H24" t="str">
        <f>VLOOKUP($B24,'Raw RTF'!$B$8:$Q$1000,'Raw RTF'!H$5,FALSE)</f>
        <v>ResSHWX</v>
      </c>
      <c r="I24">
        <f>VLOOKUP($B24,'Raw RTF'!$B$8:$Q$1000,'Raw RTF'!I$5,FALSE)</f>
        <v>0</v>
      </c>
      <c r="J24">
        <f>VLOOKUP($B24,'Raw RTF'!$B$8:$Q$1000,'Raw RTF'!J$5,FALSE)</f>
        <v>0</v>
      </c>
      <c r="K24">
        <f>VLOOKUP($B24,'Raw RTF'!$B$8:$Q$1000,'Raw RTF'!K$5,FALSE)</f>
        <v>0</v>
      </c>
      <c r="L24">
        <f>VLOOKUP($B24,'Raw RTF'!$B$8:$Q$1000,'Raw RTF'!L$5,FALSE)</f>
        <v>0</v>
      </c>
      <c r="M24">
        <f>VLOOKUP($B24,'Raw RTF'!$B$8:$Q$1000,'Raw RTF'!M$5,FALSE)</f>
        <v>0</v>
      </c>
      <c r="N24">
        <f>VLOOKUP($B24,'Raw RTF'!$B$8:$Q$1000,'Raw RTF'!N$5,FALSE)</f>
        <v>0</v>
      </c>
      <c r="O24">
        <f>VLOOKUP($B24,'Raw RTF'!$B$8:$Q$1000,'Raw RTF'!O$5,FALSE)</f>
        <v>0</v>
      </c>
      <c r="P24">
        <f>VLOOKUP($B24,'Raw RTF'!$B$8:$Q$1000,'Raw RTF'!P$5,FALSE)</f>
        <v>0</v>
      </c>
      <c r="Q24">
        <f>VLOOKUP($B24,'Raw RTF'!$B$8:$Q$1000,'Raw RTF'!Q$5,FALSE)</f>
        <v>0</v>
      </c>
    </row>
    <row r="25" spans="1:17">
      <c r="A25" t="str">
        <f t="shared" si="1"/>
        <v>Multi Family Weatherization - Insulate Attic - R-19 to R-38 - Heating Zone 2 (Zonal Heating System)ATTIC R19 - R38</v>
      </c>
      <c r="B25" s="116" t="str">
        <f>'Raw RTF'!B95</f>
        <v>Multi Family Weatherization - Insulate Attic - R-19 to R-38 - Heating Zone 2 (Zonal Heating System)</v>
      </c>
      <c r="C25" s="116" t="s">
        <v>67</v>
      </c>
      <c r="D25">
        <f>VLOOKUP($B25,'Raw RTF'!$B$8:$Q$1000,'Raw RTF'!D$5,FALSE)</f>
        <v>0.16980632308670501</v>
      </c>
      <c r="E25">
        <f>VLOOKUP($B25,'Raw RTF'!$B$8:$Q$1000,'Raw RTF'!E$5,FALSE)</f>
        <v>45</v>
      </c>
      <c r="F25">
        <f>VLOOKUP($B25,'Raw RTF'!$B$8:$Q$1000,'Raw RTF'!F$5,FALSE)</f>
        <v>0.58749066649983317</v>
      </c>
      <c r="G25">
        <f>VLOOKUP($B25,'Raw RTF'!$B$8:$Q$1000,'Raw RTF'!G$5,FALSE)</f>
        <v>0</v>
      </c>
      <c r="H25" t="str">
        <f>VLOOKUP($B25,'Raw RTF'!$B$8:$Q$1000,'Raw RTF'!H$5,FALSE)</f>
        <v>ResSHWX</v>
      </c>
      <c r="I25">
        <f>VLOOKUP($B25,'Raw RTF'!$B$8:$Q$1000,'Raw RTF'!I$5,FALSE)</f>
        <v>0</v>
      </c>
      <c r="J25">
        <f>VLOOKUP($B25,'Raw RTF'!$B$8:$Q$1000,'Raw RTF'!J$5,FALSE)</f>
        <v>0</v>
      </c>
      <c r="K25">
        <f>VLOOKUP($B25,'Raw RTF'!$B$8:$Q$1000,'Raw RTF'!K$5,FALSE)</f>
        <v>0</v>
      </c>
      <c r="L25">
        <f>VLOOKUP($B25,'Raw RTF'!$B$8:$Q$1000,'Raw RTF'!L$5,FALSE)</f>
        <v>0</v>
      </c>
      <c r="M25">
        <f>VLOOKUP($B25,'Raw RTF'!$B$8:$Q$1000,'Raw RTF'!M$5,FALSE)</f>
        <v>0</v>
      </c>
      <c r="N25">
        <f>VLOOKUP($B25,'Raw RTF'!$B$8:$Q$1000,'Raw RTF'!N$5,FALSE)</f>
        <v>0</v>
      </c>
      <c r="O25">
        <f>VLOOKUP($B25,'Raw RTF'!$B$8:$Q$1000,'Raw RTF'!O$5,FALSE)</f>
        <v>0</v>
      </c>
      <c r="P25">
        <f>VLOOKUP($B25,'Raw RTF'!$B$8:$Q$1000,'Raw RTF'!P$5,FALSE)</f>
        <v>0</v>
      </c>
      <c r="Q25">
        <f>VLOOKUP($B25,'Raw RTF'!$B$8:$Q$1000,'Raw RTF'!Q$5,FALSE)</f>
        <v>0</v>
      </c>
    </row>
    <row r="26" spans="1:17">
      <c r="A26" t="str">
        <f t="shared" si="1"/>
        <v>Multi Family Weatherization - Insulate Attic - R-19 to R-49 - Heating Zone 2 (Zonal Heating System)ATTIC R19 - R49</v>
      </c>
      <c r="B26" s="116" t="str">
        <f>'Raw RTF'!B96</f>
        <v>Multi Family Weatherization - Insulate Attic - R-19 to R-49 - Heating Zone 2 (Zonal Heating System)</v>
      </c>
      <c r="C26" s="116" t="s">
        <v>68</v>
      </c>
      <c r="D26">
        <f>VLOOKUP($B26,'Raw RTF'!$B$8:$Q$1000,'Raw RTF'!D$5,FALSE)</f>
        <v>0.20923764022545513</v>
      </c>
      <c r="E26">
        <f>VLOOKUP($B26,'Raw RTF'!$B$8:$Q$1000,'Raw RTF'!E$5,FALSE)</f>
        <v>45</v>
      </c>
      <c r="F26">
        <f>VLOOKUP($B26,'Raw RTF'!$B$8:$Q$1000,'Raw RTF'!F$5,FALSE)</f>
        <v>0.9276168418418419</v>
      </c>
      <c r="G26">
        <f>VLOOKUP($B26,'Raw RTF'!$B$8:$Q$1000,'Raw RTF'!G$5,FALSE)</f>
        <v>0</v>
      </c>
      <c r="H26" t="str">
        <f>VLOOKUP($B26,'Raw RTF'!$B$8:$Q$1000,'Raw RTF'!H$5,FALSE)</f>
        <v>ResSHWX</v>
      </c>
      <c r="I26">
        <f>VLOOKUP($B26,'Raw RTF'!$B$8:$Q$1000,'Raw RTF'!I$5,FALSE)</f>
        <v>0</v>
      </c>
      <c r="J26">
        <f>VLOOKUP($B26,'Raw RTF'!$B$8:$Q$1000,'Raw RTF'!J$5,FALSE)</f>
        <v>0</v>
      </c>
      <c r="K26">
        <f>VLOOKUP($B26,'Raw RTF'!$B$8:$Q$1000,'Raw RTF'!K$5,FALSE)</f>
        <v>0</v>
      </c>
      <c r="L26">
        <f>VLOOKUP($B26,'Raw RTF'!$B$8:$Q$1000,'Raw RTF'!L$5,FALSE)</f>
        <v>0</v>
      </c>
      <c r="M26">
        <f>VLOOKUP($B26,'Raw RTF'!$B$8:$Q$1000,'Raw RTF'!M$5,FALSE)</f>
        <v>0</v>
      </c>
      <c r="N26">
        <f>VLOOKUP($B26,'Raw RTF'!$B$8:$Q$1000,'Raw RTF'!N$5,FALSE)</f>
        <v>0</v>
      </c>
      <c r="O26">
        <f>VLOOKUP($B26,'Raw RTF'!$B$8:$Q$1000,'Raw RTF'!O$5,FALSE)</f>
        <v>0</v>
      </c>
      <c r="P26">
        <f>VLOOKUP($B26,'Raw RTF'!$B$8:$Q$1000,'Raw RTF'!P$5,FALSE)</f>
        <v>0</v>
      </c>
      <c r="Q26">
        <f>VLOOKUP($B26,'Raw RTF'!$B$8:$Q$1000,'Raw RTF'!Q$5,FALSE)</f>
        <v>0</v>
      </c>
    </row>
    <row r="27" spans="1:17" ht="38.25">
      <c r="A27" t="str">
        <f t="shared" si="1"/>
        <v>Windows - Single Pane to Class 22 - Heating Zone 2 (Zonal Heating System)WINDOW CL22 Prime Window Replacement of Single Pane Base</v>
      </c>
      <c r="B27" s="116" t="str">
        <f>'Raw RTF'!B97</f>
        <v>Windows - Single Pane to Class 22 - Heating Zone 2 (Zonal Heating System)</v>
      </c>
      <c r="C27" s="116" t="s">
        <v>74</v>
      </c>
      <c r="D27">
        <f>VLOOKUP($B27,'Raw RTF'!$B$8:$Q$1000,'Raw RTF'!D$5,FALSE)</f>
        <v>31.736895128284569</v>
      </c>
      <c r="E27">
        <f>VLOOKUP($B27,'Raw RTF'!$B$8:$Q$1000,'Raw RTF'!E$5,FALSE)</f>
        <v>45</v>
      </c>
      <c r="F27">
        <f>VLOOKUP($B27,'Raw RTF'!$B$8:$Q$1000,'Raw RTF'!F$5,FALSE)</f>
        <v>23.573200327964955</v>
      </c>
      <c r="G27">
        <f>VLOOKUP($B27,'Raw RTF'!$B$8:$Q$1000,'Raw RTF'!G$5,FALSE)</f>
        <v>0</v>
      </c>
      <c r="H27" t="str">
        <f>VLOOKUP($B27,'Raw RTF'!$B$8:$Q$1000,'Raw RTF'!H$5,FALSE)</f>
        <v>ResSHWX</v>
      </c>
      <c r="I27">
        <f>VLOOKUP($B27,'Raw RTF'!$B$8:$Q$1000,'Raw RTF'!I$5,FALSE)</f>
        <v>0</v>
      </c>
      <c r="J27">
        <f>VLOOKUP($B27,'Raw RTF'!$B$8:$Q$1000,'Raw RTF'!J$5,FALSE)</f>
        <v>0</v>
      </c>
      <c r="K27">
        <f>VLOOKUP($B27,'Raw RTF'!$B$8:$Q$1000,'Raw RTF'!K$5,FALSE)</f>
        <v>0</v>
      </c>
      <c r="L27">
        <f>VLOOKUP($B27,'Raw RTF'!$B$8:$Q$1000,'Raw RTF'!L$5,FALSE)</f>
        <v>0</v>
      </c>
      <c r="M27">
        <f>VLOOKUP($B27,'Raw RTF'!$B$8:$Q$1000,'Raw RTF'!M$5,FALSE)</f>
        <v>0</v>
      </c>
      <c r="N27">
        <f>VLOOKUP($B27,'Raw RTF'!$B$8:$Q$1000,'Raw RTF'!N$5,FALSE)</f>
        <v>0</v>
      </c>
      <c r="O27">
        <f>VLOOKUP($B27,'Raw RTF'!$B$8:$Q$1000,'Raw RTF'!O$5,FALSE)</f>
        <v>0</v>
      </c>
      <c r="P27">
        <f>VLOOKUP($B27,'Raw RTF'!$B$8:$Q$1000,'Raw RTF'!P$5,FALSE)</f>
        <v>0</v>
      </c>
      <c r="Q27">
        <f>VLOOKUP($B27,'Raw RTF'!$B$8:$Q$1000,'Raw RTF'!Q$5,FALSE)</f>
        <v>0</v>
      </c>
    </row>
    <row r="28" spans="1:17" ht="38.25">
      <c r="A28" t="str">
        <f t="shared" si="1"/>
        <v>Windows - Double Pane to Class 22 - Heating Zone 2 (Zonal Heating System)WINDOW CL22 Prime Window Replacement of Double Pane Base</v>
      </c>
      <c r="B28" s="116" t="str">
        <f>'Raw RTF'!B98</f>
        <v>Windows - Double Pane to Class 22 - Heating Zone 2 (Zonal Heating System)</v>
      </c>
      <c r="C28" s="116" t="s">
        <v>75</v>
      </c>
      <c r="D28">
        <f>VLOOKUP($B28,'Raw RTF'!$B$8:$Q$1000,'Raw RTF'!D$5,FALSE)</f>
        <v>18.897395849439391</v>
      </c>
      <c r="E28">
        <f>VLOOKUP($B28,'Raw RTF'!$B$8:$Q$1000,'Raw RTF'!E$5,FALSE)</f>
        <v>45</v>
      </c>
      <c r="F28">
        <f>VLOOKUP($B28,'Raw RTF'!$B$8:$Q$1000,'Raw RTF'!F$5,FALSE)</f>
        <v>23.573200327964955</v>
      </c>
      <c r="G28">
        <f>VLOOKUP($B28,'Raw RTF'!$B$8:$Q$1000,'Raw RTF'!G$5,FALSE)</f>
        <v>0</v>
      </c>
      <c r="H28" t="str">
        <f>VLOOKUP($B28,'Raw RTF'!$B$8:$Q$1000,'Raw RTF'!H$5,FALSE)</f>
        <v>ResSHWX</v>
      </c>
      <c r="I28">
        <f>VLOOKUP($B28,'Raw RTF'!$B$8:$Q$1000,'Raw RTF'!I$5,FALSE)</f>
        <v>0</v>
      </c>
      <c r="J28">
        <f>VLOOKUP($B28,'Raw RTF'!$B$8:$Q$1000,'Raw RTF'!J$5,FALSE)</f>
        <v>0</v>
      </c>
      <c r="K28">
        <f>VLOOKUP($B28,'Raw RTF'!$B$8:$Q$1000,'Raw RTF'!K$5,FALSE)</f>
        <v>0</v>
      </c>
      <c r="L28">
        <f>VLOOKUP($B28,'Raw RTF'!$B$8:$Q$1000,'Raw RTF'!L$5,FALSE)</f>
        <v>0</v>
      </c>
      <c r="M28">
        <f>VLOOKUP($B28,'Raw RTF'!$B$8:$Q$1000,'Raw RTF'!M$5,FALSE)</f>
        <v>0</v>
      </c>
      <c r="N28">
        <f>VLOOKUP($B28,'Raw RTF'!$B$8:$Q$1000,'Raw RTF'!N$5,FALSE)</f>
        <v>0</v>
      </c>
      <c r="O28">
        <f>VLOOKUP($B28,'Raw RTF'!$B$8:$Q$1000,'Raw RTF'!O$5,FALSE)</f>
        <v>0</v>
      </c>
      <c r="P28">
        <f>VLOOKUP($B28,'Raw RTF'!$B$8:$Q$1000,'Raw RTF'!P$5,FALSE)</f>
        <v>0</v>
      </c>
      <c r="Q28">
        <f>VLOOKUP($B28,'Raw RTF'!$B$8:$Q$1000,'Raw RTF'!Q$5,FALSE)</f>
        <v>0</v>
      </c>
    </row>
    <row r="29" spans="1:17" ht="38.25">
      <c r="A29" t="str">
        <f t="shared" si="1"/>
        <v>Windows - Single Pane to Class 30 - Heating Zone 2 (Zonal Heating System)WINDOW CL30 Prime Window Replacement of Single Pane Base</v>
      </c>
      <c r="B29" s="116" t="str">
        <f>'Raw RTF'!B99</f>
        <v>Windows - Single Pane to Class 30 - Heating Zone 2 (Zonal Heating System)</v>
      </c>
      <c r="C29" s="116" t="s">
        <v>72</v>
      </c>
      <c r="D29">
        <f>VLOOKUP($B29,'Raw RTF'!$B$8:$Q$1000,'Raw RTF'!D$5,FALSE)</f>
        <v>29.141597442207942</v>
      </c>
      <c r="E29">
        <f>VLOOKUP($B29,'Raw RTF'!$B$8:$Q$1000,'Raw RTF'!E$5,FALSE)</f>
        <v>45</v>
      </c>
      <c r="F29">
        <f>VLOOKUP($B29,'Raw RTF'!$B$8:$Q$1000,'Raw RTF'!F$5,FALSE)</f>
        <v>22.213200327964955</v>
      </c>
      <c r="G29">
        <f>VLOOKUP($B29,'Raw RTF'!$B$8:$Q$1000,'Raw RTF'!G$5,FALSE)</f>
        <v>0</v>
      </c>
      <c r="H29" t="str">
        <f>VLOOKUP($B29,'Raw RTF'!$B$8:$Q$1000,'Raw RTF'!H$5,FALSE)</f>
        <v>ResSHWX</v>
      </c>
      <c r="I29">
        <f>VLOOKUP($B29,'Raw RTF'!$B$8:$Q$1000,'Raw RTF'!I$5,FALSE)</f>
        <v>0</v>
      </c>
      <c r="J29">
        <f>VLOOKUP($B29,'Raw RTF'!$B$8:$Q$1000,'Raw RTF'!J$5,FALSE)</f>
        <v>0</v>
      </c>
      <c r="K29">
        <f>VLOOKUP($B29,'Raw RTF'!$B$8:$Q$1000,'Raw RTF'!K$5,FALSE)</f>
        <v>0</v>
      </c>
      <c r="L29">
        <f>VLOOKUP($B29,'Raw RTF'!$B$8:$Q$1000,'Raw RTF'!L$5,FALSE)</f>
        <v>0</v>
      </c>
      <c r="M29">
        <f>VLOOKUP($B29,'Raw RTF'!$B$8:$Q$1000,'Raw RTF'!M$5,FALSE)</f>
        <v>0</v>
      </c>
      <c r="N29">
        <f>VLOOKUP($B29,'Raw RTF'!$B$8:$Q$1000,'Raw RTF'!N$5,FALSE)</f>
        <v>0</v>
      </c>
      <c r="O29">
        <f>VLOOKUP($B29,'Raw RTF'!$B$8:$Q$1000,'Raw RTF'!O$5,FALSE)</f>
        <v>0</v>
      </c>
      <c r="P29">
        <f>VLOOKUP($B29,'Raw RTF'!$B$8:$Q$1000,'Raw RTF'!P$5,FALSE)</f>
        <v>0</v>
      </c>
      <c r="Q29">
        <f>VLOOKUP($B29,'Raw RTF'!$B$8:$Q$1000,'Raw RTF'!Q$5,FALSE)</f>
        <v>0</v>
      </c>
    </row>
    <row r="30" spans="1:17" ht="38.25">
      <c r="A30" t="str">
        <f t="shared" si="1"/>
        <v>Windows - Double Pane to Class 30 - Heating Zone 2 (Zonal Heating System)WINDOW CL30 Prime Window Replacement of Double Pane Base</v>
      </c>
      <c r="B30" s="116" t="str">
        <f>'Raw RTF'!B100</f>
        <v>Windows - Double Pane to Class 30 - Heating Zone 2 (Zonal Heating System)</v>
      </c>
      <c r="C30" s="116" t="s">
        <v>73</v>
      </c>
      <c r="D30">
        <f>VLOOKUP($B30,'Raw RTF'!$B$8:$Q$1000,'Raw RTF'!D$5,FALSE)</f>
        <v>16.302098163362761</v>
      </c>
      <c r="E30">
        <f>VLOOKUP($B30,'Raw RTF'!$B$8:$Q$1000,'Raw RTF'!E$5,FALSE)</f>
        <v>45</v>
      </c>
      <c r="F30">
        <f>VLOOKUP($B30,'Raw RTF'!$B$8:$Q$1000,'Raw RTF'!F$5,FALSE)</f>
        <v>22.213200327964955</v>
      </c>
      <c r="G30">
        <f>VLOOKUP($B30,'Raw RTF'!$B$8:$Q$1000,'Raw RTF'!G$5,FALSE)</f>
        <v>0</v>
      </c>
      <c r="H30" t="str">
        <f>VLOOKUP($B30,'Raw RTF'!$B$8:$Q$1000,'Raw RTF'!H$5,FALSE)</f>
        <v>ResSHWX</v>
      </c>
      <c r="I30">
        <f>VLOOKUP($B30,'Raw RTF'!$B$8:$Q$1000,'Raw RTF'!I$5,FALSE)</f>
        <v>0</v>
      </c>
      <c r="J30">
        <f>VLOOKUP($B30,'Raw RTF'!$B$8:$Q$1000,'Raw RTF'!J$5,FALSE)</f>
        <v>0</v>
      </c>
      <c r="K30">
        <f>VLOOKUP($B30,'Raw RTF'!$B$8:$Q$1000,'Raw RTF'!K$5,FALSE)</f>
        <v>0</v>
      </c>
      <c r="L30">
        <f>VLOOKUP($B30,'Raw RTF'!$B$8:$Q$1000,'Raw RTF'!L$5,FALSE)</f>
        <v>0</v>
      </c>
      <c r="M30">
        <f>VLOOKUP($B30,'Raw RTF'!$B$8:$Q$1000,'Raw RTF'!M$5,FALSE)</f>
        <v>0</v>
      </c>
      <c r="N30">
        <f>VLOOKUP($B30,'Raw RTF'!$B$8:$Q$1000,'Raw RTF'!N$5,FALSE)</f>
        <v>0</v>
      </c>
      <c r="O30">
        <f>VLOOKUP($B30,'Raw RTF'!$B$8:$Q$1000,'Raw RTF'!O$5,FALSE)</f>
        <v>0</v>
      </c>
      <c r="P30">
        <f>VLOOKUP($B30,'Raw RTF'!$B$8:$Q$1000,'Raw RTF'!P$5,FALSE)</f>
        <v>0</v>
      </c>
      <c r="Q30">
        <f>VLOOKUP($B30,'Raw RTF'!$B$8:$Q$1000,'Raw RTF'!Q$5,FALSE)</f>
        <v>0</v>
      </c>
    </row>
    <row r="31" spans="1:17">
      <c r="A31" t="str">
        <f t="shared" si="1"/>
        <v>Multi Family Weatherization - Insulate Walls - R-0 to R-11 - Heating Zone 3 (Zonal Heating System)WALL R0 - R11</v>
      </c>
      <c r="B31" s="116" t="str">
        <f>'Raw RTF'!B103</f>
        <v>Multi Family Weatherization - Insulate Walls - R-0 to R-11 - Heating Zone 3 (Zonal Heating System)</v>
      </c>
      <c r="C31" s="116" t="s">
        <v>69</v>
      </c>
      <c r="D31">
        <f>VLOOKUP($B31,'Raw RTF'!$B$8:$Q$1000,'Raw RTF'!D$5,FALSE)</f>
        <v>2.1186632912856931</v>
      </c>
      <c r="E31">
        <f>VLOOKUP($B31,'Raw RTF'!$B$8:$Q$1000,'Raw RTF'!E$5,FALSE)</f>
        <v>45</v>
      </c>
      <c r="F31">
        <f>VLOOKUP($B31,'Raw RTF'!$B$8:$Q$1000,'Raw RTF'!F$5,FALSE)</f>
        <v>0.85033582942530117</v>
      </c>
      <c r="G31">
        <f>VLOOKUP($B31,'Raw RTF'!$B$8:$Q$1000,'Raw RTF'!G$5,FALSE)</f>
        <v>0</v>
      </c>
      <c r="H31" t="str">
        <f>VLOOKUP($B31,'Raw RTF'!$B$8:$Q$1000,'Raw RTF'!H$5,FALSE)</f>
        <v>ResSHWX</v>
      </c>
      <c r="I31">
        <f>VLOOKUP($B31,'Raw RTF'!$B$8:$Q$1000,'Raw RTF'!I$5,FALSE)</f>
        <v>0</v>
      </c>
      <c r="J31">
        <f>VLOOKUP($B31,'Raw RTF'!$B$8:$Q$1000,'Raw RTF'!J$5,FALSE)</f>
        <v>0</v>
      </c>
      <c r="K31">
        <f>VLOOKUP($B31,'Raw RTF'!$B$8:$Q$1000,'Raw RTF'!K$5,FALSE)</f>
        <v>0</v>
      </c>
      <c r="L31">
        <f>VLOOKUP($B31,'Raw RTF'!$B$8:$Q$1000,'Raw RTF'!L$5,FALSE)</f>
        <v>0</v>
      </c>
      <c r="M31">
        <f>VLOOKUP($B31,'Raw RTF'!$B$8:$Q$1000,'Raw RTF'!M$5,FALSE)</f>
        <v>0</v>
      </c>
      <c r="N31">
        <f>VLOOKUP($B31,'Raw RTF'!$B$8:$Q$1000,'Raw RTF'!N$5,FALSE)</f>
        <v>0</v>
      </c>
      <c r="O31">
        <f>VLOOKUP($B31,'Raw RTF'!$B$8:$Q$1000,'Raw RTF'!O$5,FALSE)</f>
        <v>0</v>
      </c>
      <c r="P31">
        <f>VLOOKUP($B31,'Raw RTF'!$B$8:$Q$1000,'Raw RTF'!P$5,FALSE)</f>
        <v>0</v>
      </c>
      <c r="Q31">
        <f>VLOOKUP($B31,'Raw RTF'!$B$8:$Q$1000,'Raw RTF'!Q$5,FALSE)</f>
        <v>0</v>
      </c>
    </row>
    <row r="32" spans="1:17">
      <c r="A32" t="str">
        <f t="shared" si="1"/>
        <v>Multi Family Weatherization - Insulate Floors - R-0 to R-19 - Heating Zone 3 (Zonal Heating System)FLOOR R0 - R19</v>
      </c>
      <c r="B32" s="116" t="str">
        <f>'Raw RTF'!B104</f>
        <v>Multi Family Weatherization - Insulate Floors - R-0 to R-19 - Heating Zone 3 (Zonal Heating System)</v>
      </c>
      <c r="C32" s="116" t="s">
        <v>70</v>
      </c>
      <c r="D32">
        <f>VLOOKUP($B32,'Raw RTF'!$B$8:$Q$1000,'Raw RTF'!D$5,FALSE)</f>
        <v>0.83933543743850392</v>
      </c>
      <c r="E32">
        <f>VLOOKUP($B32,'Raw RTF'!$B$8:$Q$1000,'Raw RTF'!E$5,FALSE)</f>
        <v>45</v>
      </c>
      <c r="F32">
        <f>VLOOKUP($B32,'Raw RTF'!$B$8:$Q$1000,'Raw RTF'!F$5,FALSE)</f>
        <v>1.1190178820234826</v>
      </c>
      <c r="G32">
        <f>VLOOKUP($B32,'Raw RTF'!$B$8:$Q$1000,'Raw RTF'!G$5,FALSE)</f>
        <v>0</v>
      </c>
      <c r="H32" t="str">
        <f>VLOOKUP($B32,'Raw RTF'!$B$8:$Q$1000,'Raw RTF'!H$5,FALSE)</f>
        <v>ResSHWX</v>
      </c>
      <c r="I32">
        <f>VLOOKUP($B32,'Raw RTF'!$B$8:$Q$1000,'Raw RTF'!I$5,FALSE)</f>
        <v>0</v>
      </c>
      <c r="J32">
        <f>VLOOKUP($B32,'Raw RTF'!$B$8:$Q$1000,'Raw RTF'!J$5,FALSE)</f>
        <v>0</v>
      </c>
      <c r="K32">
        <f>VLOOKUP($B32,'Raw RTF'!$B$8:$Q$1000,'Raw RTF'!K$5,FALSE)</f>
        <v>0</v>
      </c>
      <c r="L32">
        <f>VLOOKUP($B32,'Raw RTF'!$B$8:$Q$1000,'Raw RTF'!L$5,FALSE)</f>
        <v>0</v>
      </c>
      <c r="M32">
        <f>VLOOKUP($B32,'Raw RTF'!$B$8:$Q$1000,'Raw RTF'!M$5,FALSE)</f>
        <v>0</v>
      </c>
      <c r="N32">
        <f>VLOOKUP($B32,'Raw RTF'!$B$8:$Q$1000,'Raw RTF'!N$5,FALSE)</f>
        <v>0</v>
      </c>
      <c r="O32">
        <f>VLOOKUP($B32,'Raw RTF'!$B$8:$Q$1000,'Raw RTF'!O$5,FALSE)</f>
        <v>0</v>
      </c>
      <c r="P32">
        <f>VLOOKUP($B32,'Raw RTF'!$B$8:$Q$1000,'Raw RTF'!P$5,FALSE)</f>
        <v>0</v>
      </c>
      <c r="Q32">
        <f>VLOOKUP($B32,'Raw RTF'!$B$8:$Q$1000,'Raw RTF'!Q$5,FALSE)</f>
        <v>0</v>
      </c>
    </row>
    <row r="33" spans="1:17">
      <c r="A33" t="str">
        <f t="shared" si="1"/>
        <v>Multi Family Weatherization - Insulate Floors - R-0 to R-30 - Heating Zone 3 (Zonal Heating System)FLOOR R0 - R30</v>
      </c>
      <c r="B33" s="116" t="str">
        <f>'Raw RTF'!B105</f>
        <v>Multi Family Weatherization - Insulate Floors - R-0 to R-30 - Heating Zone 3 (Zonal Heating System)</v>
      </c>
      <c r="C33" s="116" t="s">
        <v>71</v>
      </c>
      <c r="D33">
        <f>VLOOKUP($B33,'Raw RTF'!$B$8:$Q$1000,'Raw RTF'!D$5,FALSE)</f>
        <v>1.0954997954090917</v>
      </c>
      <c r="E33">
        <f>VLOOKUP($B33,'Raw RTF'!$B$8:$Q$1000,'Raw RTF'!E$5,FALSE)</f>
        <v>45</v>
      </c>
      <c r="F33">
        <f>VLOOKUP($B33,'Raw RTF'!$B$8:$Q$1000,'Raw RTF'!F$5,FALSE)</f>
        <v>1.766870340037078</v>
      </c>
      <c r="G33">
        <f>VLOOKUP($B33,'Raw RTF'!$B$8:$Q$1000,'Raw RTF'!G$5,FALSE)</f>
        <v>0</v>
      </c>
      <c r="H33" t="str">
        <f>VLOOKUP($B33,'Raw RTF'!$B$8:$Q$1000,'Raw RTF'!H$5,FALSE)</f>
        <v>ResSHWX</v>
      </c>
      <c r="I33">
        <f>VLOOKUP($B33,'Raw RTF'!$B$8:$Q$1000,'Raw RTF'!I$5,FALSE)</f>
        <v>0</v>
      </c>
      <c r="J33">
        <f>VLOOKUP($B33,'Raw RTF'!$B$8:$Q$1000,'Raw RTF'!J$5,FALSE)</f>
        <v>0</v>
      </c>
      <c r="K33">
        <f>VLOOKUP($B33,'Raw RTF'!$B$8:$Q$1000,'Raw RTF'!K$5,FALSE)</f>
        <v>0</v>
      </c>
      <c r="L33">
        <f>VLOOKUP($B33,'Raw RTF'!$B$8:$Q$1000,'Raw RTF'!L$5,FALSE)</f>
        <v>0</v>
      </c>
      <c r="M33">
        <f>VLOOKUP($B33,'Raw RTF'!$B$8:$Q$1000,'Raw RTF'!M$5,FALSE)</f>
        <v>0</v>
      </c>
      <c r="N33">
        <f>VLOOKUP($B33,'Raw RTF'!$B$8:$Q$1000,'Raw RTF'!N$5,FALSE)</f>
        <v>0</v>
      </c>
      <c r="O33">
        <f>VLOOKUP($B33,'Raw RTF'!$B$8:$Q$1000,'Raw RTF'!O$5,FALSE)</f>
        <v>0</v>
      </c>
      <c r="P33">
        <f>VLOOKUP($B33,'Raw RTF'!$B$8:$Q$1000,'Raw RTF'!P$5,FALSE)</f>
        <v>0</v>
      </c>
      <c r="Q33">
        <f>VLOOKUP($B33,'Raw RTF'!$B$8:$Q$1000,'Raw RTF'!Q$5,FALSE)</f>
        <v>0</v>
      </c>
    </row>
    <row r="34" spans="1:17">
      <c r="A34" t="str">
        <f t="shared" si="1"/>
        <v>Multi Family Weatherization - Insulate Attic - R-0 to R-19 - Heating Zone 3 (Zonal Heating System)ATTIC R0 - R19</v>
      </c>
      <c r="B34" s="116" t="str">
        <f>'Raw RTF'!B107</f>
        <v>Multi Family Weatherization - Insulate Attic - R-0 to R-19 - Heating Zone 3 (Zonal Heating System)</v>
      </c>
      <c r="C34" s="116" t="s">
        <v>1201</v>
      </c>
      <c r="D34">
        <f>VLOOKUP($B34,'Raw RTF'!$B$8:$Q$1000,'Raw RTF'!D$5,FALSE)</f>
        <v>0.42681917023409172</v>
      </c>
      <c r="E34">
        <f>VLOOKUP($B34,'Raw RTF'!$B$8:$Q$1000,'Raw RTF'!E$5,FALSE)</f>
        <v>45</v>
      </c>
      <c r="F34">
        <f>VLOOKUP($B34,'Raw RTF'!$B$8:$Q$1000,'Raw RTF'!F$5,FALSE)</f>
        <v>0.58749066649983317</v>
      </c>
      <c r="G34">
        <f>VLOOKUP($B34,'Raw RTF'!$B$8:$Q$1000,'Raw RTF'!G$5,FALSE)</f>
        <v>0</v>
      </c>
      <c r="H34" t="str">
        <f>VLOOKUP($B34,'Raw RTF'!$B$8:$Q$1000,'Raw RTF'!H$5,FALSE)</f>
        <v>ResSHWX</v>
      </c>
      <c r="I34">
        <f>VLOOKUP($B34,'Raw RTF'!$B$8:$Q$1000,'Raw RTF'!I$5,FALSE)</f>
        <v>0</v>
      </c>
      <c r="J34">
        <f>VLOOKUP($B34,'Raw RTF'!$B$8:$Q$1000,'Raw RTF'!J$5,FALSE)</f>
        <v>0</v>
      </c>
      <c r="K34">
        <f>VLOOKUP($B34,'Raw RTF'!$B$8:$Q$1000,'Raw RTF'!K$5,FALSE)</f>
        <v>0</v>
      </c>
      <c r="L34">
        <f>VLOOKUP($B34,'Raw RTF'!$B$8:$Q$1000,'Raw RTF'!L$5,FALSE)</f>
        <v>0</v>
      </c>
      <c r="M34">
        <f>VLOOKUP($B34,'Raw RTF'!$B$8:$Q$1000,'Raw RTF'!M$5,FALSE)</f>
        <v>0</v>
      </c>
      <c r="N34">
        <f>VLOOKUP($B34,'Raw RTF'!$B$8:$Q$1000,'Raw RTF'!N$5,FALSE)</f>
        <v>0</v>
      </c>
      <c r="O34">
        <f>VLOOKUP($B34,'Raw RTF'!$B$8:$Q$1000,'Raw RTF'!O$5,FALSE)</f>
        <v>0</v>
      </c>
      <c r="P34">
        <f>VLOOKUP($B34,'Raw RTF'!$B$8:$Q$1000,'Raw RTF'!P$5,FALSE)</f>
        <v>0</v>
      </c>
      <c r="Q34">
        <f>VLOOKUP($B34,'Raw RTF'!$B$8:$Q$1000,'Raw RTF'!Q$5,FALSE)</f>
        <v>0</v>
      </c>
    </row>
    <row r="35" spans="1:17">
      <c r="A35" t="str">
        <f t="shared" si="1"/>
        <v>Multi Family Weatherization - Insulate Attic - R-0 to R-38 - Heating Zone 3 (Zonal Heating System)ATTIC R0 - R38</v>
      </c>
      <c r="B35" s="116" t="str">
        <f>'Raw RTF'!B108</f>
        <v>Multi Family Weatherization - Insulate Attic - R-0 to R-38 - Heating Zone 3 (Zonal Heating System)</v>
      </c>
      <c r="C35" s="116" t="s">
        <v>65</v>
      </c>
      <c r="D35">
        <f>VLOOKUP($B35,'Raw RTF'!$B$8:$Q$1000,'Raw RTF'!D$5,FALSE)</f>
        <v>0.58275977589772743</v>
      </c>
      <c r="E35">
        <f>VLOOKUP($B35,'Raw RTF'!$B$8:$Q$1000,'Raw RTF'!E$5,FALSE)</f>
        <v>45</v>
      </c>
      <c r="F35">
        <f>VLOOKUP($B35,'Raw RTF'!$B$8:$Q$1000,'Raw RTF'!F$5,FALSE)</f>
        <v>1.1749813329996663</v>
      </c>
      <c r="G35">
        <f>VLOOKUP($B35,'Raw RTF'!$B$8:$Q$1000,'Raw RTF'!G$5,FALSE)</f>
        <v>0</v>
      </c>
      <c r="H35" t="str">
        <f>VLOOKUP($B35,'Raw RTF'!$B$8:$Q$1000,'Raw RTF'!H$5,FALSE)</f>
        <v>ResSHWX</v>
      </c>
      <c r="I35">
        <f>VLOOKUP($B35,'Raw RTF'!$B$8:$Q$1000,'Raw RTF'!I$5,FALSE)</f>
        <v>0</v>
      </c>
      <c r="J35">
        <f>VLOOKUP($B35,'Raw RTF'!$B$8:$Q$1000,'Raw RTF'!J$5,FALSE)</f>
        <v>0</v>
      </c>
      <c r="K35">
        <f>VLOOKUP($B35,'Raw RTF'!$B$8:$Q$1000,'Raw RTF'!K$5,FALSE)</f>
        <v>0</v>
      </c>
      <c r="L35">
        <f>VLOOKUP($B35,'Raw RTF'!$B$8:$Q$1000,'Raw RTF'!L$5,FALSE)</f>
        <v>0</v>
      </c>
      <c r="M35">
        <f>VLOOKUP($B35,'Raw RTF'!$B$8:$Q$1000,'Raw RTF'!M$5,FALSE)</f>
        <v>0</v>
      </c>
      <c r="N35">
        <f>VLOOKUP($B35,'Raw RTF'!$B$8:$Q$1000,'Raw RTF'!N$5,FALSE)</f>
        <v>0</v>
      </c>
      <c r="O35">
        <f>VLOOKUP($B35,'Raw RTF'!$B$8:$Q$1000,'Raw RTF'!O$5,FALSE)</f>
        <v>0</v>
      </c>
      <c r="P35">
        <f>VLOOKUP($B35,'Raw RTF'!$B$8:$Q$1000,'Raw RTF'!P$5,FALSE)</f>
        <v>0</v>
      </c>
      <c r="Q35">
        <f>VLOOKUP($B35,'Raw RTF'!$B$8:$Q$1000,'Raw RTF'!Q$5,FALSE)</f>
        <v>0</v>
      </c>
    </row>
    <row r="36" spans="1:17">
      <c r="A36" t="str">
        <f t="shared" si="1"/>
        <v>Multi Family Weatherization - Insulate Attic - R-0 to R-49 - Heating Zone 3 (Zonal Heating System)ATTIC R0 - R49</v>
      </c>
      <c r="B36" s="116" t="str">
        <f>'Raw RTF'!B109</f>
        <v>Multi Family Weatherization - Insulate Attic - R-0 to R-49 - Heating Zone 3 (Zonal Heating System)</v>
      </c>
      <c r="C36" s="116" t="s">
        <v>66</v>
      </c>
      <c r="D36">
        <f>VLOOKUP($B36,'Raw RTF'!$B$8:$Q$1000,'Raw RTF'!D$5,FALSE)</f>
        <v>0.61900856289545525</v>
      </c>
      <c r="E36">
        <f>VLOOKUP($B36,'Raw RTF'!$B$8:$Q$1000,'Raw RTF'!E$5,FALSE)</f>
        <v>45</v>
      </c>
      <c r="F36">
        <f>VLOOKUP($B36,'Raw RTF'!$B$8:$Q$1000,'Raw RTF'!F$5,FALSE)</f>
        <v>1.515107508341675</v>
      </c>
      <c r="G36">
        <f>VLOOKUP($B36,'Raw RTF'!$B$8:$Q$1000,'Raw RTF'!G$5,FALSE)</f>
        <v>0</v>
      </c>
      <c r="H36" t="str">
        <f>VLOOKUP($B36,'Raw RTF'!$B$8:$Q$1000,'Raw RTF'!H$5,FALSE)</f>
        <v>ResSHWX</v>
      </c>
      <c r="I36">
        <f>VLOOKUP($B36,'Raw RTF'!$B$8:$Q$1000,'Raw RTF'!I$5,FALSE)</f>
        <v>0</v>
      </c>
      <c r="J36">
        <f>VLOOKUP($B36,'Raw RTF'!$B$8:$Q$1000,'Raw RTF'!J$5,FALSE)</f>
        <v>0</v>
      </c>
      <c r="K36">
        <f>VLOOKUP($B36,'Raw RTF'!$B$8:$Q$1000,'Raw RTF'!K$5,FALSE)</f>
        <v>0</v>
      </c>
      <c r="L36">
        <f>VLOOKUP($B36,'Raw RTF'!$B$8:$Q$1000,'Raw RTF'!L$5,FALSE)</f>
        <v>0</v>
      </c>
      <c r="M36">
        <f>VLOOKUP($B36,'Raw RTF'!$B$8:$Q$1000,'Raw RTF'!M$5,FALSE)</f>
        <v>0</v>
      </c>
      <c r="N36">
        <f>VLOOKUP($B36,'Raw RTF'!$B$8:$Q$1000,'Raw RTF'!N$5,FALSE)</f>
        <v>0</v>
      </c>
      <c r="O36">
        <f>VLOOKUP($B36,'Raw RTF'!$B$8:$Q$1000,'Raw RTF'!O$5,FALSE)</f>
        <v>0</v>
      </c>
      <c r="P36">
        <f>VLOOKUP($B36,'Raw RTF'!$B$8:$Q$1000,'Raw RTF'!P$5,FALSE)</f>
        <v>0</v>
      </c>
      <c r="Q36">
        <f>VLOOKUP($B36,'Raw RTF'!$B$8:$Q$1000,'Raw RTF'!Q$5,FALSE)</f>
        <v>0</v>
      </c>
    </row>
    <row r="37" spans="1:17">
      <c r="A37" t="str">
        <f t="shared" si="1"/>
        <v>Multi Family Weatherization - Insulate Attic - R-19 to R-30 - Heating Zone 3 (Zonal Heating System)ATTIC R19 - R30</v>
      </c>
      <c r="B37" s="116" t="str">
        <f>'Raw RTF'!B113</f>
        <v>Multi Family Weatherization - Insulate Attic - R-19 to R-30 - Heating Zone 3 (Zonal Heating System)</v>
      </c>
      <c r="C37" s="116" t="s">
        <v>1202</v>
      </c>
      <c r="D37">
        <f>VLOOKUP($B37,'Raw RTF'!$B$8:$Q$1000,'Raw RTF'!D$5,FALSE)</f>
        <v>0.11294585941590859</v>
      </c>
      <c r="E37">
        <f>VLOOKUP($B37,'Raw RTF'!$B$8:$Q$1000,'Raw RTF'!E$5,FALSE)</f>
        <v>45</v>
      </c>
      <c r="F37">
        <f>VLOOKUP($B37,'Raw RTF'!$B$8:$Q$1000,'Raw RTF'!F$5,FALSE)</f>
        <v>0.34012617534200867</v>
      </c>
      <c r="G37">
        <f>VLOOKUP($B37,'Raw RTF'!$B$8:$Q$1000,'Raw RTF'!G$5,FALSE)</f>
        <v>0</v>
      </c>
      <c r="H37" t="str">
        <f>VLOOKUP($B37,'Raw RTF'!$B$8:$Q$1000,'Raw RTF'!H$5,FALSE)</f>
        <v>ResSHWX</v>
      </c>
      <c r="I37">
        <f>VLOOKUP($B37,'Raw RTF'!$B$8:$Q$1000,'Raw RTF'!I$5,FALSE)</f>
        <v>0</v>
      </c>
      <c r="J37">
        <f>VLOOKUP($B37,'Raw RTF'!$B$8:$Q$1000,'Raw RTF'!J$5,FALSE)</f>
        <v>0</v>
      </c>
      <c r="K37">
        <f>VLOOKUP($B37,'Raw RTF'!$B$8:$Q$1000,'Raw RTF'!K$5,FALSE)</f>
        <v>0</v>
      </c>
      <c r="L37">
        <f>VLOOKUP($B37,'Raw RTF'!$B$8:$Q$1000,'Raw RTF'!L$5,FALSE)</f>
        <v>0</v>
      </c>
      <c r="M37">
        <f>VLOOKUP($B37,'Raw RTF'!$B$8:$Q$1000,'Raw RTF'!M$5,FALSE)</f>
        <v>0</v>
      </c>
      <c r="N37">
        <f>VLOOKUP($B37,'Raw RTF'!$B$8:$Q$1000,'Raw RTF'!N$5,FALSE)</f>
        <v>0</v>
      </c>
      <c r="O37">
        <f>VLOOKUP($B37,'Raw RTF'!$B$8:$Q$1000,'Raw RTF'!O$5,FALSE)</f>
        <v>0</v>
      </c>
      <c r="P37">
        <f>VLOOKUP($B37,'Raw RTF'!$B$8:$Q$1000,'Raw RTF'!P$5,FALSE)</f>
        <v>0</v>
      </c>
      <c r="Q37">
        <f>VLOOKUP($B37,'Raw RTF'!$B$8:$Q$1000,'Raw RTF'!Q$5,FALSE)</f>
        <v>0</v>
      </c>
    </row>
    <row r="38" spans="1:17">
      <c r="A38" t="str">
        <f t="shared" si="1"/>
        <v>Multi Family Weatherization - Insulate Attic - R-19 to R-38 - Heating Zone 3 (Zonal Heating System)ATTIC R19 - R38</v>
      </c>
      <c r="B38" s="116" t="str">
        <f>'Raw RTF'!B114</f>
        <v>Multi Family Weatherization - Insulate Attic - R-19 to R-38 - Heating Zone 3 (Zonal Heating System)</v>
      </c>
      <c r="C38" s="116" t="s">
        <v>67</v>
      </c>
      <c r="D38">
        <f>VLOOKUP($B38,'Raw RTF'!$B$8:$Q$1000,'Raw RTF'!D$5,FALSE)</f>
        <v>0.15594060566363571</v>
      </c>
      <c r="E38">
        <f>VLOOKUP($B38,'Raw RTF'!$B$8:$Q$1000,'Raw RTF'!E$5,FALSE)</f>
        <v>45</v>
      </c>
      <c r="F38">
        <f>VLOOKUP($B38,'Raw RTF'!$B$8:$Q$1000,'Raw RTF'!F$5,FALSE)</f>
        <v>0.58749066649983317</v>
      </c>
      <c r="G38">
        <f>VLOOKUP($B38,'Raw RTF'!$B$8:$Q$1000,'Raw RTF'!G$5,FALSE)</f>
        <v>0</v>
      </c>
      <c r="H38" t="str">
        <f>VLOOKUP($B38,'Raw RTF'!$B$8:$Q$1000,'Raw RTF'!H$5,FALSE)</f>
        <v>ResSHWX</v>
      </c>
      <c r="I38">
        <f>VLOOKUP($B38,'Raw RTF'!$B$8:$Q$1000,'Raw RTF'!I$5,FALSE)</f>
        <v>0</v>
      </c>
      <c r="J38">
        <f>VLOOKUP($B38,'Raw RTF'!$B$8:$Q$1000,'Raw RTF'!J$5,FALSE)</f>
        <v>0</v>
      </c>
      <c r="K38">
        <f>VLOOKUP($B38,'Raw RTF'!$B$8:$Q$1000,'Raw RTF'!K$5,FALSE)</f>
        <v>0</v>
      </c>
      <c r="L38">
        <f>VLOOKUP($B38,'Raw RTF'!$B$8:$Q$1000,'Raw RTF'!L$5,FALSE)</f>
        <v>0</v>
      </c>
      <c r="M38">
        <f>VLOOKUP($B38,'Raw RTF'!$B$8:$Q$1000,'Raw RTF'!M$5,FALSE)</f>
        <v>0</v>
      </c>
      <c r="N38">
        <f>VLOOKUP($B38,'Raw RTF'!$B$8:$Q$1000,'Raw RTF'!N$5,FALSE)</f>
        <v>0</v>
      </c>
      <c r="O38">
        <f>VLOOKUP($B38,'Raw RTF'!$B$8:$Q$1000,'Raw RTF'!O$5,FALSE)</f>
        <v>0</v>
      </c>
      <c r="P38">
        <f>VLOOKUP($B38,'Raw RTF'!$B$8:$Q$1000,'Raw RTF'!P$5,FALSE)</f>
        <v>0</v>
      </c>
      <c r="Q38">
        <f>VLOOKUP($B38,'Raw RTF'!$B$8:$Q$1000,'Raw RTF'!Q$5,FALSE)</f>
        <v>0</v>
      </c>
    </row>
    <row r="39" spans="1:17">
      <c r="A39" t="str">
        <f t="shared" si="1"/>
        <v>Multi Family Weatherization - Insulate Attic - R-19 to R-49 - Heating Zone 3 (Zonal Heating System)ATTIC R19 - R49</v>
      </c>
      <c r="B39" s="116" t="str">
        <f>'Raw RTF'!B115</f>
        <v>Multi Family Weatherization - Insulate Attic - R-19 to R-49 - Heating Zone 3 (Zonal Heating System)</v>
      </c>
      <c r="C39" s="116" t="s">
        <v>68</v>
      </c>
      <c r="D39">
        <f>VLOOKUP($B39,'Raw RTF'!$B$8:$Q$1000,'Raw RTF'!D$5,FALSE)</f>
        <v>0.19218939266136348</v>
      </c>
      <c r="E39">
        <f>VLOOKUP($B39,'Raw RTF'!$B$8:$Q$1000,'Raw RTF'!E$5,FALSE)</f>
        <v>45</v>
      </c>
      <c r="F39">
        <f>VLOOKUP($B39,'Raw RTF'!$B$8:$Q$1000,'Raw RTF'!F$5,FALSE)</f>
        <v>0.9276168418418419</v>
      </c>
      <c r="G39">
        <f>VLOOKUP($B39,'Raw RTF'!$B$8:$Q$1000,'Raw RTF'!G$5,FALSE)</f>
        <v>0</v>
      </c>
      <c r="H39" t="str">
        <f>VLOOKUP($B39,'Raw RTF'!$B$8:$Q$1000,'Raw RTF'!H$5,FALSE)</f>
        <v>ResSHWX</v>
      </c>
      <c r="I39">
        <f>VLOOKUP($B39,'Raw RTF'!$B$8:$Q$1000,'Raw RTF'!I$5,FALSE)</f>
        <v>0</v>
      </c>
      <c r="J39">
        <f>VLOOKUP($B39,'Raw RTF'!$B$8:$Q$1000,'Raw RTF'!J$5,FALSE)</f>
        <v>0</v>
      </c>
      <c r="K39">
        <f>VLOOKUP($B39,'Raw RTF'!$B$8:$Q$1000,'Raw RTF'!K$5,FALSE)</f>
        <v>0</v>
      </c>
      <c r="L39">
        <f>VLOOKUP($B39,'Raw RTF'!$B$8:$Q$1000,'Raw RTF'!L$5,FALSE)</f>
        <v>0</v>
      </c>
      <c r="M39">
        <f>VLOOKUP($B39,'Raw RTF'!$B$8:$Q$1000,'Raw RTF'!M$5,FALSE)</f>
        <v>0</v>
      </c>
      <c r="N39">
        <f>VLOOKUP($B39,'Raw RTF'!$B$8:$Q$1000,'Raw RTF'!N$5,FALSE)</f>
        <v>0</v>
      </c>
      <c r="O39">
        <f>VLOOKUP($B39,'Raw RTF'!$B$8:$Q$1000,'Raw RTF'!O$5,FALSE)</f>
        <v>0</v>
      </c>
      <c r="P39">
        <f>VLOOKUP($B39,'Raw RTF'!$B$8:$Q$1000,'Raw RTF'!P$5,FALSE)</f>
        <v>0</v>
      </c>
      <c r="Q39">
        <f>VLOOKUP($B39,'Raw RTF'!$B$8:$Q$1000,'Raw RTF'!Q$5,FALSE)</f>
        <v>0</v>
      </c>
    </row>
    <row r="40" spans="1:17" ht="38.25">
      <c r="A40" t="str">
        <f t="shared" si="1"/>
        <v>Windows - Single Pane to Class 22 - Heating Zone 3 (Zonal Heating System)WINDOW CL22 Prime Window Replacement of Single Pane Base</v>
      </c>
      <c r="B40" s="116" t="str">
        <f>'Raw RTF'!B116</f>
        <v>Windows - Single Pane to Class 22 - Heating Zone 3 (Zonal Heating System)</v>
      </c>
      <c r="C40" s="116" t="s">
        <v>74</v>
      </c>
      <c r="D40">
        <f>VLOOKUP($B40,'Raw RTF'!$B$8:$Q$1000,'Raw RTF'!D$5,FALSE)</f>
        <v>38.722478213319739</v>
      </c>
      <c r="E40">
        <f>VLOOKUP($B40,'Raw RTF'!$B$8:$Q$1000,'Raw RTF'!E$5,FALSE)</f>
        <v>45</v>
      </c>
      <c r="F40">
        <f>VLOOKUP($B40,'Raw RTF'!$B$8:$Q$1000,'Raw RTF'!F$5,FALSE)</f>
        <v>23.573200327964955</v>
      </c>
      <c r="G40">
        <f>VLOOKUP($B40,'Raw RTF'!$B$8:$Q$1000,'Raw RTF'!G$5,FALSE)</f>
        <v>0</v>
      </c>
      <c r="H40" t="str">
        <f>VLOOKUP($B40,'Raw RTF'!$B$8:$Q$1000,'Raw RTF'!H$5,FALSE)</f>
        <v>ResSHWX</v>
      </c>
      <c r="I40">
        <f>VLOOKUP($B40,'Raw RTF'!$B$8:$Q$1000,'Raw RTF'!I$5,FALSE)</f>
        <v>0</v>
      </c>
      <c r="J40">
        <f>VLOOKUP($B40,'Raw RTF'!$B$8:$Q$1000,'Raw RTF'!J$5,FALSE)</f>
        <v>0</v>
      </c>
      <c r="K40">
        <f>VLOOKUP($B40,'Raw RTF'!$B$8:$Q$1000,'Raw RTF'!K$5,FALSE)</f>
        <v>0</v>
      </c>
      <c r="L40">
        <f>VLOOKUP($B40,'Raw RTF'!$B$8:$Q$1000,'Raw RTF'!L$5,FALSE)</f>
        <v>0</v>
      </c>
      <c r="M40">
        <f>VLOOKUP($B40,'Raw RTF'!$B$8:$Q$1000,'Raw RTF'!M$5,FALSE)</f>
        <v>0</v>
      </c>
      <c r="N40">
        <f>VLOOKUP($B40,'Raw RTF'!$B$8:$Q$1000,'Raw RTF'!N$5,FALSE)</f>
        <v>0</v>
      </c>
      <c r="O40">
        <f>VLOOKUP($B40,'Raw RTF'!$B$8:$Q$1000,'Raw RTF'!O$5,FALSE)</f>
        <v>0</v>
      </c>
      <c r="P40">
        <f>VLOOKUP($B40,'Raw RTF'!$B$8:$Q$1000,'Raw RTF'!P$5,FALSE)</f>
        <v>0</v>
      </c>
      <c r="Q40">
        <f>VLOOKUP($B40,'Raw RTF'!$B$8:$Q$1000,'Raw RTF'!Q$5,FALSE)</f>
        <v>0</v>
      </c>
    </row>
    <row r="41" spans="1:17" ht="38.25">
      <c r="A41" t="str">
        <f t="shared" si="1"/>
        <v>Windows - Double Pane to Class 22 - Heating Zone 3 (Zonal Heating System)WINDOW CL22 Prime Window Replacement of Double Pane Base</v>
      </c>
      <c r="B41" s="116" t="str">
        <f>'Raw RTF'!B117</f>
        <v>Windows - Double Pane to Class 22 - Heating Zone 3 (Zonal Heating System)</v>
      </c>
      <c r="C41" s="116" t="s">
        <v>75</v>
      </c>
      <c r="D41">
        <f>VLOOKUP($B41,'Raw RTF'!$B$8:$Q$1000,'Raw RTF'!D$5,FALSE)</f>
        <v>23.377004959203571</v>
      </c>
      <c r="E41">
        <f>VLOOKUP($B41,'Raw RTF'!$B$8:$Q$1000,'Raw RTF'!E$5,FALSE)</f>
        <v>45</v>
      </c>
      <c r="F41">
        <f>VLOOKUP($B41,'Raw RTF'!$B$8:$Q$1000,'Raw RTF'!F$5,FALSE)</f>
        <v>23.573200327964955</v>
      </c>
      <c r="G41">
        <f>VLOOKUP($B41,'Raw RTF'!$B$8:$Q$1000,'Raw RTF'!G$5,FALSE)</f>
        <v>0</v>
      </c>
      <c r="H41" t="str">
        <f>VLOOKUP($B41,'Raw RTF'!$B$8:$Q$1000,'Raw RTF'!H$5,FALSE)</f>
        <v>ResSHWX</v>
      </c>
      <c r="I41">
        <f>VLOOKUP($B41,'Raw RTF'!$B$8:$Q$1000,'Raw RTF'!I$5,FALSE)</f>
        <v>0</v>
      </c>
      <c r="J41">
        <f>VLOOKUP($B41,'Raw RTF'!$B$8:$Q$1000,'Raw RTF'!J$5,FALSE)</f>
        <v>0</v>
      </c>
      <c r="K41">
        <f>VLOOKUP($B41,'Raw RTF'!$B$8:$Q$1000,'Raw RTF'!K$5,FALSE)</f>
        <v>0</v>
      </c>
      <c r="L41">
        <f>VLOOKUP($B41,'Raw RTF'!$B$8:$Q$1000,'Raw RTF'!L$5,FALSE)</f>
        <v>0</v>
      </c>
      <c r="M41">
        <f>VLOOKUP($B41,'Raw RTF'!$B$8:$Q$1000,'Raw RTF'!M$5,FALSE)</f>
        <v>0</v>
      </c>
      <c r="N41">
        <f>VLOOKUP($B41,'Raw RTF'!$B$8:$Q$1000,'Raw RTF'!N$5,FALSE)</f>
        <v>0</v>
      </c>
      <c r="O41">
        <f>VLOOKUP($B41,'Raw RTF'!$B$8:$Q$1000,'Raw RTF'!O$5,FALSE)</f>
        <v>0</v>
      </c>
      <c r="P41">
        <f>VLOOKUP($B41,'Raw RTF'!$B$8:$Q$1000,'Raw RTF'!P$5,FALSE)</f>
        <v>0</v>
      </c>
      <c r="Q41">
        <f>VLOOKUP($B41,'Raw RTF'!$B$8:$Q$1000,'Raw RTF'!Q$5,FALSE)</f>
        <v>0</v>
      </c>
    </row>
    <row r="42" spans="1:17" ht="38.25">
      <c r="A42" t="str">
        <f t="shared" si="1"/>
        <v>Windows - Single Pane to Class 30 - Heating Zone 3 (Zonal Heating System)WINDOW CL30 Prime Window Replacement of Single Pane Base</v>
      </c>
      <c r="B42" s="116" t="str">
        <f>'Raw RTF'!B118</f>
        <v>Windows - Single Pane to Class 30 - Heating Zone 3 (Zonal Heating System)</v>
      </c>
      <c r="C42" s="116" t="s">
        <v>72</v>
      </c>
      <c r="D42">
        <f>VLOOKUP($B42,'Raw RTF'!$B$8:$Q$1000,'Raw RTF'!D$5,FALSE)</f>
        <v>35.506935121295648</v>
      </c>
      <c r="E42">
        <f>VLOOKUP($B42,'Raw RTF'!$B$8:$Q$1000,'Raw RTF'!E$5,FALSE)</f>
        <v>45</v>
      </c>
      <c r="F42">
        <f>VLOOKUP($B42,'Raw RTF'!$B$8:$Q$1000,'Raw RTF'!F$5,FALSE)</f>
        <v>22.213200327964955</v>
      </c>
      <c r="G42">
        <f>VLOOKUP($B42,'Raw RTF'!$B$8:$Q$1000,'Raw RTF'!G$5,FALSE)</f>
        <v>0</v>
      </c>
      <c r="H42" t="str">
        <f>VLOOKUP($B42,'Raw RTF'!$B$8:$Q$1000,'Raw RTF'!H$5,FALSE)</f>
        <v>ResSHWX</v>
      </c>
      <c r="I42">
        <f>VLOOKUP($B42,'Raw RTF'!$B$8:$Q$1000,'Raw RTF'!I$5,FALSE)</f>
        <v>0</v>
      </c>
      <c r="J42">
        <f>VLOOKUP($B42,'Raw RTF'!$B$8:$Q$1000,'Raw RTF'!J$5,FALSE)</f>
        <v>0</v>
      </c>
      <c r="K42">
        <f>VLOOKUP($B42,'Raw RTF'!$B$8:$Q$1000,'Raw RTF'!K$5,FALSE)</f>
        <v>0</v>
      </c>
      <c r="L42">
        <f>VLOOKUP($B42,'Raw RTF'!$B$8:$Q$1000,'Raw RTF'!L$5,FALSE)</f>
        <v>0</v>
      </c>
      <c r="M42">
        <f>VLOOKUP($B42,'Raw RTF'!$B$8:$Q$1000,'Raw RTF'!M$5,FALSE)</f>
        <v>0</v>
      </c>
      <c r="N42">
        <f>VLOOKUP($B42,'Raw RTF'!$B$8:$Q$1000,'Raw RTF'!N$5,FALSE)</f>
        <v>0</v>
      </c>
      <c r="O42">
        <f>VLOOKUP($B42,'Raw RTF'!$B$8:$Q$1000,'Raw RTF'!O$5,FALSE)</f>
        <v>0</v>
      </c>
      <c r="P42">
        <f>VLOOKUP($B42,'Raw RTF'!$B$8:$Q$1000,'Raw RTF'!P$5,FALSE)</f>
        <v>0</v>
      </c>
      <c r="Q42">
        <f>VLOOKUP($B42,'Raw RTF'!$B$8:$Q$1000,'Raw RTF'!Q$5,FALSE)</f>
        <v>0</v>
      </c>
    </row>
    <row r="43" spans="1:17" ht="38.25">
      <c r="A43" t="str">
        <f t="shared" si="1"/>
        <v>Windows - Double Pane to Class 30 - Heating Zone 3 (Zonal Heating System)WINDOW CL30 Prime Window Replacement of Double Pane Base</v>
      </c>
      <c r="B43" s="116" t="str">
        <f>'Raw RTF'!B119</f>
        <v>Windows - Double Pane to Class 30 - Heating Zone 3 (Zonal Heating System)</v>
      </c>
      <c r="C43" s="116" t="s">
        <v>73</v>
      </c>
      <c r="D43">
        <f>VLOOKUP($B43,'Raw RTF'!$B$8:$Q$1000,'Raw RTF'!D$5,FALSE)</f>
        <v>20.161461867179487</v>
      </c>
      <c r="E43">
        <f>VLOOKUP($B43,'Raw RTF'!$B$8:$Q$1000,'Raw RTF'!E$5,FALSE)</f>
        <v>45</v>
      </c>
      <c r="F43">
        <f>VLOOKUP($B43,'Raw RTF'!$B$8:$Q$1000,'Raw RTF'!F$5,FALSE)</f>
        <v>22.213200327964955</v>
      </c>
      <c r="G43">
        <f>VLOOKUP($B43,'Raw RTF'!$B$8:$Q$1000,'Raw RTF'!G$5,FALSE)</f>
        <v>0</v>
      </c>
      <c r="H43" t="str">
        <f>VLOOKUP($B43,'Raw RTF'!$B$8:$Q$1000,'Raw RTF'!H$5,FALSE)</f>
        <v>ResSHWX</v>
      </c>
      <c r="I43">
        <f>VLOOKUP($B43,'Raw RTF'!$B$8:$Q$1000,'Raw RTF'!I$5,FALSE)</f>
        <v>0</v>
      </c>
      <c r="J43">
        <f>VLOOKUP($B43,'Raw RTF'!$B$8:$Q$1000,'Raw RTF'!J$5,FALSE)</f>
        <v>0</v>
      </c>
      <c r="K43">
        <f>VLOOKUP($B43,'Raw RTF'!$B$8:$Q$1000,'Raw RTF'!K$5,FALSE)</f>
        <v>0</v>
      </c>
      <c r="L43">
        <f>VLOOKUP($B43,'Raw RTF'!$B$8:$Q$1000,'Raw RTF'!L$5,FALSE)</f>
        <v>0</v>
      </c>
      <c r="M43">
        <f>VLOOKUP($B43,'Raw RTF'!$B$8:$Q$1000,'Raw RTF'!M$5,FALSE)</f>
        <v>0</v>
      </c>
      <c r="N43">
        <f>VLOOKUP($B43,'Raw RTF'!$B$8:$Q$1000,'Raw RTF'!N$5,FALSE)</f>
        <v>0</v>
      </c>
      <c r="O43">
        <f>VLOOKUP($B43,'Raw RTF'!$B$8:$Q$1000,'Raw RTF'!O$5,FALSE)</f>
        <v>0</v>
      </c>
      <c r="P43">
        <f>VLOOKUP($B43,'Raw RTF'!$B$8:$Q$1000,'Raw RTF'!P$5,FALSE)</f>
        <v>0</v>
      </c>
      <c r="Q43">
        <f>VLOOKUP($B43,'Raw RTF'!$B$8:$Q$1000,'Raw RTF'!Q$5,FALSE)</f>
        <v>0</v>
      </c>
    </row>
    <row r="44" spans="1:17" ht="25.5">
      <c r="A44" t="str">
        <f t="shared" si="1"/>
        <v>Multi Family Weatherization - Insulate Walls - R-0 to R-11 - Heating Zone 1 (Electric FAF Heating System)WALL R0 - R11</v>
      </c>
      <c r="B44" s="116" t="str">
        <f>'Raw RTF'!B122</f>
        <v>Multi Family Weatherization - Insulate Walls - R-0 to R-11 - Heating Zone 1 (Electric FAF Heating System)</v>
      </c>
      <c r="C44" s="116" t="s">
        <v>69</v>
      </c>
      <c r="D44">
        <f>VLOOKUP($B44,'Raw RTF'!$B$8:$Q$1000,'Raw RTF'!D$5,FALSE)</f>
        <v>1.2795366082093165</v>
      </c>
      <c r="E44">
        <f>VLOOKUP($B44,'Raw RTF'!$B$8:$Q$1000,'Raw RTF'!E$5,FALSE)</f>
        <v>45</v>
      </c>
      <c r="F44">
        <f>VLOOKUP($B44,'Raw RTF'!$B$8:$Q$1000,'Raw RTF'!F$5,FALSE)</f>
        <v>0.85033582942530117</v>
      </c>
      <c r="G44">
        <f>VLOOKUP($B44,'Raw RTF'!$B$8:$Q$1000,'Raw RTF'!G$5,FALSE)</f>
        <v>0</v>
      </c>
      <c r="H44" t="str">
        <f>VLOOKUP($B44,'Raw RTF'!$B$8:$Q$1000,'Raw RTF'!H$5,FALSE)</f>
        <v>ResSHWX</v>
      </c>
      <c r="I44">
        <f>VLOOKUP($B44,'Raw RTF'!$B$8:$Q$1000,'Raw RTF'!I$5,FALSE)</f>
        <v>0</v>
      </c>
      <c r="J44">
        <f>VLOOKUP($B44,'Raw RTF'!$B$8:$Q$1000,'Raw RTF'!J$5,FALSE)</f>
        <v>0</v>
      </c>
      <c r="K44">
        <f>VLOOKUP($B44,'Raw RTF'!$B$8:$Q$1000,'Raw RTF'!K$5,FALSE)</f>
        <v>0</v>
      </c>
      <c r="L44">
        <f>VLOOKUP($B44,'Raw RTF'!$B$8:$Q$1000,'Raw RTF'!L$5,FALSE)</f>
        <v>0</v>
      </c>
      <c r="M44">
        <f>VLOOKUP($B44,'Raw RTF'!$B$8:$Q$1000,'Raw RTF'!M$5,FALSE)</f>
        <v>0</v>
      </c>
      <c r="N44">
        <f>VLOOKUP($B44,'Raw RTF'!$B$8:$Q$1000,'Raw RTF'!N$5,FALSE)</f>
        <v>0</v>
      </c>
      <c r="O44">
        <f>VLOOKUP($B44,'Raw RTF'!$B$8:$Q$1000,'Raw RTF'!O$5,FALSE)</f>
        <v>0</v>
      </c>
      <c r="P44">
        <f>VLOOKUP($B44,'Raw RTF'!$B$8:$Q$1000,'Raw RTF'!P$5,FALSE)</f>
        <v>0</v>
      </c>
      <c r="Q44">
        <f>VLOOKUP($B44,'Raw RTF'!$B$8:$Q$1000,'Raw RTF'!Q$5,FALSE)</f>
        <v>0</v>
      </c>
    </row>
    <row r="45" spans="1:17" ht="25.5">
      <c r="A45" t="str">
        <f t="shared" si="1"/>
        <v>Multi Family Weatherization - Insulate Floors - R-0 to R-19 - Heating Zone 1 (Electric FAF Heating System)FLOOR R0 - R19</v>
      </c>
      <c r="B45" s="116" t="str">
        <f>'Raw RTF'!B123</f>
        <v>Multi Family Weatherization - Insulate Floors - R-0 to R-19 - Heating Zone 1 (Electric FAF Heating System)</v>
      </c>
      <c r="C45" s="116" t="s">
        <v>70</v>
      </c>
      <c r="D45">
        <f>VLOOKUP($B45,'Raw RTF'!$B$8:$Q$1000,'Raw RTF'!D$5,FALSE)</f>
        <v>0.54992417293141704</v>
      </c>
      <c r="E45">
        <f>VLOOKUP($B45,'Raw RTF'!$B$8:$Q$1000,'Raw RTF'!E$5,FALSE)</f>
        <v>45</v>
      </c>
      <c r="F45">
        <f>VLOOKUP($B45,'Raw RTF'!$B$8:$Q$1000,'Raw RTF'!F$5,FALSE)</f>
        <v>1.1190178820234826</v>
      </c>
      <c r="G45">
        <f>VLOOKUP($B45,'Raw RTF'!$B$8:$Q$1000,'Raw RTF'!G$5,FALSE)</f>
        <v>0</v>
      </c>
      <c r="H45" t="str">
        <f>VLOOKUP($B45,'Raw RTF'!$B$8:$Q$1000,'Raw RTF'!H$5,FALSE)</f>
        <v>ResSHWX</v>
      </c>
      <c r="I45">
        <f>VLOOKUP($B45,'Raw RTF'!$B$8:$Q$1000,'Raw RTF'!I$5,FALSE)</f>
        <v>0</v>
      </c>
      <c r="J45">
        <f>VLOOKUP($B45,'Raw RTF'!$B$8:$Q$1000,'Raw RTF'!J$5,FALSE)</f>
        <v>0</v>
      </c>
      <c r="K45">
        <f>VLOOKUP($B45,'Raw RTF'!$B$8:$Q$1000,'Raw RTF'!K$5,FALSE)</f>
        <v>0</v>
      </c>
      <c r="L45">
        <f>VLOOKUP($B45,'Raw RTF'!$B$8:$Q$1000,'Raw RTF'!L$5,FALSE)</f>
        <v>0</v>
      </c>
      <c r="M45">
        <f>VLOOKUP($B45,'Raw RTF'!$B$8:$Q$1000,'Raw RTF'!M$5,FALSE)</f>
        <v>0</v>
      </c>
      <c r="N45">
        <f>VLOOKUP($B45,'Raw RTF'!$B$8:$Q$1000,'Raw RTF'!N$5,FALSE)</f>
        <v>0</v>
      </c>
      <c r="O45">
        <f>VLOOKUP($B45,'Raw RTF'!$B$8:$Q$1000,'Raw RTF'!O$5,FALSE)</f>
        <v>0</v>
      </c>
      <c r="P45">
        <f>VLOOKUP($B45,'Raw RTF'!$B$8:$Q$1000,'Raw RTF'!P$5,FALSE)</f>
        <v>0</v>
      </c>
      <c r="Q45">
        <f>VLOOKUP($B45,'Raw RTF'!$B$8:$Q$1000,'Raw RTF'!Q$5,FALSE)</f>
        <v>0</v>
      </c>
    </row>
    <row r="46" spans="1:17" ht="25.5">
      <c r="A46" t="str">
        <f t="shared" si="1"/>
        <v>Multi Family Weatherization - Insulate Floors - R-0 to R-30 - Heating Zone 1 (Electric FAF Heating System)FLOOR R0 - R30</v>
      </c>
      <c r="B46" s="116" t="str">
        <f>'Raw RTF'!B124</f>
        <v>Multi Family Weatherization - Insulate Floors - R-0 to R-30 - Heating Zone 1 (Electric FAF Heating System)</v>
      </c>
      <c r="C46" s="116" t="s">
        <v>71</v>
      </c>
      <c r="D46">
        <f>VLOOKUP($B46,'Raw RTF'!$B$8:$Q$1000,'Raw RTF'!D$5,FALSE)</f>
        <v>0.71506655842459887</v>
      </c>
      <c r="E46">
        <f>VLOOKUP($B46,'Raw RTF'!$B$8:$Q$1000,'Raw RTF'!E$5,FALSE)</f>
        <v>45</v>
      </c>
      <c r="F46">
        <f>VLOOKUP($B46,'Raw RTF'!$B$8:$Q$1000,'Raw RTF'!F$5,FALSE)</f>
        <v>1.766870340037078</v>
      </c>
      <c r="G46">
        <f>VLOOKUP($B46,'Raw RTF'!$B$8:$Q$1000,'Raw RTF'!G$5,FALSE)</f>
        <v>0</v>
      </c>
      <c r="H46" t="str">
        <f>VLOOKUP($B46,'Raw RTF'!$B$8:$Q$1000,'Raw RTF'!H$5,FALSE)</f>
        <v>ResSHWX</v>
      </c>
      <c r="I46">
        <f>VLOOKUP($B46,'Raw RTF'!$B$8:$Q$1000,'Raw RTF'!I$5,FALSE)</f>
        <v>0</v>
      </c>
      <c r="J46">
        <f>VLOOKUP($B46,'Raw RTF'!$B$8:$Q$1000,'Raw RTF'!J$5,FALSE)</f>
        <v>0</v>
      </c>
      <c r="K46">
        <f>VLOOKUP($B46,'Raw RTF'!$B$8:$Q$1000,'Raw RTF'!K$5,FALSE)</f>
        <v>0</v>
      </c>
      <c r="L46">
        <f>VLOOKUP($B46,'Raw RTF'!$B$8:$Q$1000,'Raw RTF'!L$5,FALSE)</f>
        <v>0</v>
      </c>
      <c r="M46">
        <f>VLOOKUP($B46,'Raw RTF'!$B$8:$Q$1000,'Raw RTF'!M$5,FALSE)</f>
        <v>0</v>
      </c>
      <c r="N46">
        <f>VLOOKUP($B46,'Raw RTF'!$B$8:$Q$1000,'Raw RTF'!N$5,FALSE)</f>
        <v>0</v>
      </c>
      <c r="O46">
        <f>VLOOKUP($B46,'Raw RTF'!$B$8:$Q$1000,'Raw RTF'!O$5,FALSE)</f>
        <v>0</v>
      </c>
      <c r="P46">
        <f>VLOOKUP($B46,'Raw RTF'!$B$8:$Q$1000,'Raw RTF'!P$5,FALSE)</f>
        <v>0</v>
      </c>
      <c r="Q46">
        <f>VLOOKUP($B46,'Raw RTF'!$B$8:$Q$1000,'Raw RTF'!Q$5,FALSE)</f>
        <v>0</v>
      </c>
    </row>
    <row r="47" spans="1:17" ht="25.5">
      <c r="A47" t="str">
        <f t="shared" si="1"/>
        <v>Multi Family Weatherization - Insulate Attic - R-0 to R-19 - Heating Zone 1 (Electric FAF Heating System)ATTIC R0 - R19</v>
      </c>
      <c r="B47" s="116" t="str">
        <f>'Raw RTF'!B126</f>
        <v>Multi Family Weatherization - Insulate Attic - R-0 to R-19 - Heating Zone 1 (Electric FAF Heating System)</v>
      </c>
      <c r="C47" s="116" t="s">
        <v>1201</v>
      </c>
      <c r="D47">
        <f>VLOOKUP($B47,'Raw RTF'!$B$8:$Q$1000,'Raw RTF'!D$5,FALSE)</f>
        <v>0.46621429878568194</v>
      </c>
      <c r="E47">
        <f>VLOOKUP($B47,'Raw RTF'!$B$8:$Q$1000,'Raw RTF'!E$5,FALSE)</f>
        <v>45</v>
      </c>
      <c r="F47">
        <f>VLOOKUP($B47,'Raw RTF'!$B$8:$Q$1000,'Raw RTF'!F$5,FALSE)</f>
        <v>0.58749066649983317</v>
      </c>
      <c r="G47">
        <f>VLOOKUP($B47,'Raw RTF'!$B$8:$Q$1000,'Raw RTF'!G$5,FALSE)</f>
        <v>0</v>
      </c>
      <c r="H47" t="str">
        <f>VLOOKUP($B47,'Raw RTF'!$B$8:$Q$1000,'Raw RTF'!H$5,FALSE)</f>
        <v>ResSHWX</v>
      </c>
      <c r="I47">
        <f>VLOOKUP($B47,'Raw RTF'!$B$8:$Q$1000,'Raw RTF'!I$5,FALSE)</f>
        <v>0</v>
      </c>
      <c r="J47">
        <f>VLOOKUP($B47,'Raw RTF'!$B$8:$Q$1000,'Raw RTF'!J$5,FALSE)</f>
        <v>0</v>
      </c>
      <c r="K47">
        <f>VLOOKUP($B47,'Raw RTF'!$B$8:$Q$1000,'Raw RTF'!K$5,FALSE)</f>
        <v>0</v>
      </c>
      <c r="L47">
        <f>VLOOKUP($B47,'Raw RTF'!$B$8:$Q$1000,'Raw RTF'!L$5,FALSE)</f>
        <v>0</v>
      </c>
      <c r="M47">
        <f>VLOOKUP($B47,'Raw RTF'!$B$8:$Q$1000,'Raw RTF'!M$5,FALSE)</f>
        <v>0</v>
      </c>
      <c r="N47">
        <f>VLOOKUP($B47,'Raw RTF'!$B$8:$Q$1000,'Raw RTF'!N$5,FALSE)</f>
        <v>0</v>
      </c>
      <c r="O47">
        <f>VLOOKUP($B47,'Raw RTF'!$B$8:$Q$1000,'Raw RTF'!O$5,FALSE)</f>
        <v>0</v>
      </c>
      <c r="P47">
        <f>VLOOKUP($B47,'Raw RTF'!$B$8:$Q$1000,'Raw RTF'!P$5,FALSE)</f>
        <v>0</v>
      </c>
      <c r="Q47">
        <f>VLOOKUP($B47,'Raw RTF'!$B$8:$Q$1000,'Raw RTF'!Q$5,FALSE)</f>
        <v>0</v>
      </c>
    </row>
    <row r="48" spans="1:17" ht="25.5">
      <c r="A48" t="str">
        <f t="shared" si="1"/>
        <v>Multi Family Weatherization - Insulate Attic - R-0 to R-38 - Heating Zone 1 (Electric FAF Heating System)ATTIC R0 - R38</v>
      </c>
      <c r="B48" s="116" t="str">
        <f>'Raw RTF'!B127</f>
        <v>Multi Family Weatherization - Insulate Attic - R-0 to R-38 - Heating Zone 1 (Electric FAF Heating System)</v>
      </c>
      <c r="C48" s="116" t="s">
        <v>65</v>
      </c>
      <c r="D48">
        <f>VLOOKUP($B48,'Raw RTF'!$B$8:$Q$1000,'Raw RTF'!D$5,FALSE)</f>
        <v>0.63424727150579585</v>
      </c>
      <c r="E48">
        <f>VLOOKUP($B48,'Raw RTF'!$B$8:$Q$1000,'Raw RTF'!E$5,FALSE)</f>
        <v>45</v>
      </c>
      <c r="F48">
        <f>VLOOKUP($B48,'Raw RTF'!$B$8:$Q$1000,'Raw RTF'!F$5,FALSE)</f>
        <v>1.1749813329996663</v>
      </c>
      <c r="G48">
        <f>VLOOKUP($B48,'Raw RTF'!$B$8:$Q$1000,'Raw RTF'!G$5,FALSE)</f>
        <v>0</v>
      </c>
      <c r="H48" t="str">
        <f>VLOOKUP($B48,'Raw RTF'!$B$8:$Q$1000,'Raw RTF'!H$5,FALSE)</f>
        <v>ResSHWX</v>
      </c>
      <c r="I48">
        <f>VLOOKUP($B48,'Raw RTF'!$B$8:$Q$1000,'Raw RTF'!I$5,FALSE)</f>
        <v>0</v>
      </c>
      <c r="J48">
        <f>VLOOKUP($B48,'Raw RTF'!$B$8:$Q$1000,'Raw RTF'!J$5,FALSE)</f>
        <v>0</v>
      </c>
      <c r="K48">
        <f>VLOOKUP($B48,'Raw RTF'!$B$8:$Q$1000,'Raw RTF'!K$5,FALSE)</f>
        <v>0</v>
      </c>
      <c r="L48">
        <f>VLOOKUP($B48,'Raw RTF'!$B$8:$Q$1000,'Raw RTF'!L$5,FALSE)</f>
        <v>0</v>
      </c>
      <c r="M48">
        <f>VLOOKUP($B48,'Raw RTF'!$B$8:$Q$1000,'Raw RTF'!M$5,FALSE)</f>
        <v>0</v>
      </c>
      <c r="N48">
        <f>VLOOKUP($B48,'Raw RTF'!$B$8:$Q$1000,'Raw RTF'!N$5,FALSE)</f>
        <v>0</v>
      </c>
      <c r="O48">
        <f>VLOOKUP($B48,'Raw RTF'!$B$8:$Q$1000,'Raw RTF'!O$5,FALSE)</f>
        <v>0</v>
      </c>
      <c r="P48">
        <f>VLOOKUP($B48,'Raw RTF'!$B$8:$Q$1000,'Raw RTF'!P$5,FALSE)</f>
        <v>0</v>
      </c>
      <c r="Q48">
        <f>VLOOKUP($B48,'Raw RTF'!$B$8:$Q$1000,'Raw RTF'!Q$5,FALSE)</f>
        <v>0</v>
      </c>
    </row>
    <row r="49" spans="1:17" ht="25.5">
      <c r="A49" t="str">
        <f t="shared" si="1"/>
        <v>Multi Family Weatherization - Insulate Attic - R-0 to R-49 - Heating Zone 1 (Electric FAF Heating System)ATTIC R0 - R49</v>
      </c>
      <c r="B49" s="116" t="str">
        <f>'Raw RTF'!B128</f>
        <v>Multi Family Weatherization - Insulate Attic - R-0 to R-49 - Heating Zone 1 (Electric FAF Heating System)</v>
      </c>
      <c r="C49" s="116" t="s">
        <v>66</v>
      </c>
      <c r="D49">
        <f>VLOOKUP($B49,'Raw RTF'!$B$8:$Q$1000,'Raw RTF'!D$5,FALSE)</f>
        <v>0.67311479770670479</v>
      </c>
      <c r="E49">
        <f>VLOOKUP($B49,'Raw RTF'!$B$8:$Q$1000,'Raw RTF'!E$5,FALSE)</f>
        <v>45</v>
      </c>
      <c r="F49">
        <f>VLOOKUP($B49,'Raw RTF'!$B$8:$Q$1000,'Raw RTF'!F$5,FALSE)</f>
        <v>1.515107508341675</v>
      </c>
      <c r="G49">
        <f>VLOOKUP($B49,'Raw RTF'!$B$8:$Q$1000,'Raw RTF'!G$5,FALSE)</f>
        <v>0</v>
      </c>
      <c r="H49" t="str">
        <f>VLOOKUP($B49,'Raw RTF'!$B$8:$Q$1000,'Raw RTF'!H$5,FALSE)</f>
        <v>ResSHWX</v>
      </c>
      <c r="I49">
        <f>VLOOKUP($B49,'Raw RTF'!$B$8:$Q$1000,'Raw RTF'!I$5,FALSE)</f>
        <v>0</v>
      </c>
      <c r="J49">
        <f>VLOOKUP($B49,'Raw RTF'!$B$8:$Q$1000,'Raw RTF'!J$5,FALSE)</f>
        <v>0</v>
      </c>
      <c r="K49">
        <f>VLOOKUP($B49,'Raw RTF'!$B$8:$Q$1000,'Raw RTF'!K$5,FALSE)</f>
        <v>0</v>
      </c>
      <c r="L49">
        <f>VLOOKUP($B49,'Raw RTF'!$B$8:$Q$1000,'Raw RTF'!L$5,FALSE)</f>
        <v>0</v>
      </c>
      <c r="M49">
        <f>VLOOKUP($B49,'Raw RTF'!$B$8:$Q$1000,'Raw RTF'!M$5,FALSE)</f>
        <v>0</v>
      </c>
      <c r="N49">
        <f>VLOOKUP($B49,'Raw RTF'!$B$8:$Q$1000,'Raw RTF'!N$5,FALSE)</f>
        <v>0</v>
      </c>
      <c r="O49">
        <f>VLOOKUP($B49,'Raw RTF'!$B$8:$Q$1000,'Raw RTF'!O$5,FALSE)</f>
        <v>0</v>
      </c>
      <c r="P49">
        <f>VLOOKUP($B49,'Raw RTF'!$B$8:$Q$1000,'Raw RTF'!P$5,FALSE)</f>
        <v>0</v>
      </c>
      <c r="Q49">
        <f>VLOOKUP($B49,'Raw RTF'!$B$8:$Q$1000,'Raw RTF'!Q$5,FALSE)</f>
        <v>0</v>
      </c>
    </row>
    <row r="50" spans="1:17" ht="25.5">
      <c r="A50" t="str">
        <f t="shared" si="1"/>
        <v>Multi Family Weatherization - Insulate Attic - R-19 to R-30 - Heating Zone 1 (Electric FAF Heating System)ATTIC R19 - R30</v>
      </c>
      <c r="B50" s="116" t="str">
        <f>'Raw RTF'!B132</f>
        <v>Multi Family Weatherization - Insulate Attic - R-19 to R-30 - Heating Zone 1 (Electric FAF Heating System)</v>
      </c>
      <c r="C50" s="116" t="s">
        <v>1202</v>
      </c>
      <c r="D50">
        <f>VLOOKUP($B50,'Raw RTF'!$B$8:$Q$1000,'Raw RTF'!D$5,FALSE)</f>
        <v>0.12182751685715926</v>
      </c>
      <c r="E50">
        <f>VLOOKUP($B50,'Raw RTF'!$B$8:$Q$1000,'Raw RTF'!E$5,FALSE)</f>
        <v>45</v>
      </c>
      <c r="F50">
        <f>VLOOKUP($B50,'Raw RTF'!$B$8:$Q$1000,'Raw RTF'!F$5,FALSE)</f>
        <v>0.34012617534200867</v>
      </c>
      <c r="G50">
        <f>VLOOKUP($B50,'Raw RTF'!$B$8:$Q$1000,'Raw RTF'!G$5,FALSE)</f>
        <v>0</v>
      </c>
      <c r="H50" t="str">
        <f>VLOOKUP($B50,'Raw RTF'!$B$8:$Q$1000,'Raw RTF'!H$5,FALSE)</f>
        <v>ResSHWX</v>
      </c>
      <c r="I50">
        <f>VLOOKUP($B50,'Raw RTF'!$B$8:$Q$1000,'Raw RTF'!I$5,FALSE)</f>
        <v>0</v>
      </c>
      <c r="J50">
        <f>VLOOKUP($B50,'Raw RTF'!$B$8:$Q$1000,'Raw RTF'!J$5,FALSE)</f>
        <v>0</v>
      </c>
      <c r="K50">
        <f>VLOOKUP($B50,'Raw RTF'!$B$8:$Q$1000,'Raw RTF'!K$5,FALSE)</f>
        <v>0</v>
      </c>
      <c r="L50">
        <f>VLOOKUP($B50,'Raw RTF'!$B$8:$Q$1000,'Raw RTF'!L$5,FALSE)</f>
        <v>0</v>
      </c>
      <c r="M50">
        <f>VLOOKUP($B50,'Raw RTF'!$B$8:$Q$1000,'Raw RTF'!M$5,FALSE)</f>
        <v>0</v>
      </c>
      <c r="N50">
        <f>VLOOKUP($B50,'Raw RTF'!$B$8:$Q$1000,'Raw RTF'!N$5,FALSE)</f>
        <v>0</v>
      </c>
      <c r="O50">
        <f>VLOOKUP($B50,'Raw RTF'!$B$8:$Q$1000,'Raw RTF'!O$5,FALSE)</f>
        <v>0</v>
      </c>
      <c r="P50">
        <f>VLOOKUP($B50,'Raw RTF'!$B$8:$Q$1000,'Raw RTF'!P$5,FALSE)</f>
        <v>0</v>
      </c>
      <c r="Q50">
        <f>VLOOKUP($B50,'Raw RTF'!$B$8:$Q$1000,'Raw RTF'!Q$5,FALSE)</f>
        <v>0</v>
      </c>
    </row>
    <row r="51" spans="1:17" ht="25.5">
      <c r="A51" t="str">
        <f t="shared" si="1"/>
        <v>Multi Family Weatherization - Insulate Attic - R-19 to R-38 - Heating Zone 1 (Electric FAF Heating System)ATTIC R19 - R38</v>
      </c>
      <c r="B51" s="116" t="str">
        <f>'Raw RTF'!B133</f>
        <v>Multi Family Weatherization - Insulate Attic - R-19 to R-38 - Heating Zone 1 (Electric FAF Heating System)</v>
      </c>
      <c r="C51" s="116" t="s">
        <v>67</v>
      </c>
      <c r="D51">
        <f>VLOOKUP($B51,'Raw RTF'!$B$8:$Q$1000,'Raw RTF'!D$5,FALSE)</f>
        <v>0.1680329727201138</v>
      </c>
      <c r="E51">
        <f>VLOOKUP($B51,'Raw RTF'!$B$8:$Q$1000,'Raw RTF'!E$5,FALSE)</f>
        <v>45</v>
      </c>
      <c r="F51">
        <f>VLOOKUP($B51,'Raw RTF'!$B$8:$Q$1000,'Raw RTF'!F$5,FALSE)</f>
        <v>0.58749066649983317</v>
      </c>
      <c r="G51">
        <f>VLOOKUP($B51,'Raw RTF'!$B$8:$Q$1000,'Raw RTF'!G$5,FALSE)</f>
        <v>0</v>
      </c>
      <c r="H51" t="str">
        <f>VLOOKUP($B51,'Raw RTF'!$B$8:$Q$1000,'Raw RTF'!H$5,FALSE)</f>
        <v>ResSHWX</v>
      </c>
      <c r="I51">
        <f>VLOOKUP($B51,'Raw RTF'!$B$8:$Q$1000,'Raw RTF'!I$5,FALSE)</f>
        <v>0</v>
      </c>
      <c r="J51">
        <f>VLOOKUP($B51,'Raw RTF'!$B$8:$Q$1000,'Raw RTF'!J$5,FALSE)</f>
        <v>0</v>
      </c>
      <c r="K51">
        <f>VLOOKUP($B51,'Raw RTF'!$B$8:$Q$1000,'Raw RTF'!K$5,FALSE)</f>
        <v>0</v>
      </c>
      <c r="L51">
        <f>VLOOKUP($B51,'Raw RTF'!$B$8:$Q$1000,'Raw RTF'!L$5,FALSE)</f>
        <v>0</v>
      </c>
      <c r="M51">
        <f>VLOOKUP($B51,'Raw RTF'!$B$8:$Q$1000,'Raw RTF'!M$5,FALSE)</f>
        <v>0</v>
      </c>
      <c r="N51">
        <f>VLOOKUP($B51,'Raw RTF'!$B$8:$Q$1000,'Raw RTF'!N$5,FALSE)</f>
        <v>0</v>
      </c>
      <c r="O51">
        <f>VLOOKUP($B51,'Raw RTF'!$B$8:$Q$1000,'Raw RTF'!O$5,FALSE)</f>
        <v>0</v>
      </c>
      <c r="P51">
        <f>VLOOKUP($B51,'Raw RTF'!$B$8:$Q$1000,'Raw RTF'!P$5,FALSE)</f>
        <v>0</v>
      </c>
      <c r="Q51">
        <f>VLOOKUP($B51,'Raw RTF'!$B$8:$Q$1000,'Raw RTF'!Q$5,FALSE)</f>
        <v>0</v>
      </c>
    </row>
    <row r="52" spans="1:17" ht="25.5">
      <c r="A52" t="str">
        <f t="shared" si="1"/>
        <v>Multi Family Weatherization - Insulate Attic - R-19 to R-49 - Heating Zone 1 (Electric FAF Heating System)ATTIC R19 - R49</v>
      </c>
      <c r="B52" s="116" t="str">
        <f>'Raw RTF'!B134</f>
        <v>Multi Family Weatherization - Insulate Attic - R-19 to R-49 - Heating Zone 1 (Electric FAF Heating System)</v>
      </c>
      <c r="C52" s="116" t="s">
        <v>68</v>
      </c>
      <c r="D52">
        <f>VLOOKUP($B52,'Raw RTF'!$B$8:$Q$1000,'Raw RTF'!D$5,FALSE)</f>
        <v>0.20690049892102283</v>
      </c>
      <c r="E52">
        <f>VLOOKUP($B52,'Raw RTF'!$B$8:$Q$1000,'Raw RTF'!E$5,FALSE)</f>
        <v>45</v>
      </c>
      <c r="F52">
        <f>VLOOKUP($B52,'Raw RTF'!$B$8:$Q$1000,'Raw RTF'!F$5,FALSE)</f>
        <v>0.9276168418418419</v>
      </c>
      <c r="G52">
        <f>VLOOKUP($B52,'Raw RTF'!$B$8:$Q$1000,'Raw RTF'!G$5,FALSE)</f>
        <v>0</v>
      </c>
      <c r="H52" t="str">
        <f>VLOOKUP($B52,'Raw RTF'!$B$8:$Q$1000,'Raw RTF'!H$5,FALSE)</f>
        <v>ResSHWX</v>
      </c>
      <c r="I52">
        <f>VLOOKUP($B52,'Raw RTF'!$B$8:$Q$1000,'Raw RTF'!I$5,FALSE)</f>
        <v>0</v>
      </c>
      <c r="J52">
        <f>VLOOKUP($B52,'Raw RTF'!$B$8:$Q$1000,'Raw RTF'!J$5,FALSE)</f>
        <v>0</v>
      </c>
      <c r="K52">
        <f>VLOOKUP($B52,'Raw RTF'!$B$8:$Q$1000,'Raw RTF'!K$5,FALSE)</f>
        <v>0</v>
      </c>
      <c r="L52">
        <f>VLOOKUP($B52,'Raw RTF'!$B$8:$Q$1000,'Raw RTF'!L$5,FALSE)</f>
        <v>0</v>
      </c>
      <c r="M52">
        <f>VLOOKUP($B52,'Raw RTF'!$B$8:$Q$1000,'Raw RTF'!M$5,FALSE)</f>
        <v>0</v>
      </c>
      <c r="N52">
        <f>VLOOKUP($B52,'Raw RTF'!$B$8:$Q$1000,'Raw RTF'!N$5,FALSE)</f>
        <v>0</v>
      </c>
      <c r="O52">
        <f>VLOOKUP($B52,'Raw RTF'!$B$8:$Q$1000,'Raw RTF'!O$5,FALSE)</f>
        <v>0</v>
      </c>
      <c r="P52">
        <f>VLOOKUP($B52,'Raw RTF'!$B$8:$Q$1000,'Raw RTF'!P$5,FALSE)</f>
        <v>0</v>
      </c>
      <c r="Q52">
        <f>VLOOKUP($B52,'Raw RTF'!$B$8:$Q$1000,'Raw RTF'!Q$5,FALSE)</f>
        <v>0</v>
      </c>
    </row>
    <row r="53" spans="1:17" ht="38.25">
      <c r="A53" t="str">
        <f t="shared" si="1"/>
        <v>Windows - Single Pane to Class 22 - Heating Zone 1 (Electric FAF Heating System)WINDOW CL22 Prime Window Replacement of Single Pane Base</v>
      </c>
      <c r="B53" s="116" t="str">
        <f>'Raw RTF'!B135</f>
        <v>Windows - Single Pane to Class 22 - Heating Zone 1 (Electric FAF Heating System)</v>
      </c>
      <c r="C53" s="116" t="s">
        <v>74</v>
      </c>
      <c r="D53">
        <f>VLOOKUP($B53,'Raw RTF'!$B$8:$Q$1000,'Raw RTF'!D$5,FALSE)</f>
        <v>23.366702249546424</v>
      </c>
      <c r="E53">
        <f>VLOOKUP($B53,'Raw RTF'!$B$8:$Q$1000,'Raw RTF'!E$5,FALSE)</f>
        <v>45</v>
      </c>
      <c r="F53">
        <f>VLOOKUP($B53,'Raw RTF'!$B$8:$Q$1000,'Raw RTF'!F$5,FALSE)</f>
        <v>23.573200327964955</v>
      </c>
      <c r="G53">
        <f>VLOOKUP($B53,'Raw RTF'!$B$8:$Q$1000,'Raw RTF'!G$5,FALSE)</f>
        <v>0</v>
      </c>
      <c r="H53" t="str">
        <f>VLOOKUP($B53,'Raw RTF'!$B$8:$Q$1000,'Raw RTF'!H$5,FALSE)</f>
        <v>ResSHWX</v>
      </c>
      <c r="I53">
        <f>VLOOKUP($B53,'Raw RTF'!$B$8:$Q$1000,'Raw RTF'!I$5,FALSE)</f>
        <v>0</v>
      </c>
      <c r="J53">
        <f>VLOOKUP($B53,'Raw RTF'!$B$8:$Q$1000,'Raw RTF'!J$5,FALSE)</f>
        <v>0</v>
      </c>
      <c r="K53">
        <f>VLOOKUP($B53,'Raw RTF'!$B$8:$Q$1000,'Raw RTF'!K$5,FALSE)</f>
        <v>0</v>
      </c>
      <c r="L53">
        <f>VLOOKUP($B53,'Raw RTF'!$B$8:$Q$1000,'Raw RTF'!L$5,FALSE)</f>
        <v>0</v>
      </c>
      <c r="M53">
        <f>VLOOKUP($B53,'Raw RTF'!$B$8:$Q$1000,'Raw RTF'!M$5,FALSE)</f>
        <v>0</v>
      </c>
      <c r="N53">
        <f>VLOOKUP($B53,'Raw RTF'!$B$8:$Q$1000,'Raw RTF'!N$5,FALSE)</f>
        <v>0</v>
      </c>
      <c r="O53">
        <f>VLOOKUP($B53,'Raw RTF'!$B$8:$Q$1000,'Raw RTF'!O$5,FALSE)</f>
        <v>0</v>
      </c>
      <c r="P53">
        <f>VLOOKUP($B53,'Raw RTF'!$B$8:$Q$1000,'Raw RTF'!P$5,FALSE)</f>
        <v>0</v>
      </c>
      <c r="Q53">
        <f>VLOOKUP($B53,'Raw RTF'!$B$8:$Q$1000,'Raw RTF'!Q$5,FALSE)</f>
        <v>0</v>
      </c>
    </row>
    <row r="54" spans="1:17" ht="38.25">
      <c r="A54" t="str">
        <f t="shared" si="1"/>
        <v>Windows - Double Pane to Class 22 - Heating Zone 1 (Electric FAF Heating System)WINDOW CL22 Prime Window Replacement of Double Pane Base</v>
      </c>
      <c r="B54" s="116" t="str">
        <f>'Raw RTF'!B136</f>
        <v>Windows - Double Pane to Class 22 - Heating Zone 1 (Electric FAF Heating System)</v>
      </c>
      <c r="C54" s="116" t="s">
        <v>75</v>
      </c>
      <c r="D54">
        <f>VLOOKUP($B54,'Raw RTF'!$B$8:$Q$1000,'Raw RTF'!D$5,FALSE)</f>
        <v>13.672746268447941</v>
      </c>
      <c r="E54">
        <f>VLOOKUP($B54,'Raw RTF'!$B$8:$Q$1000,'Raw RTF'!E$5,FALSE)</f>
        <v>45</v>
      </c>
      <c r="F54">
        <f>VLOOKUP($B54,'Raw RTF'!$B$8:$Q$1000,'Raw RTF'!F$5,FALSE)</f>
        <v>23.573200327964955</v>
      </c>
      <c r="G54">
        <f>VLOOKUP($B54,'Raw RTF'!$B$8:$Q$1000,'Raw RTF'!G$5,FALSE)</f>
        <v>0</v>
      </c>
      <c r="H54" t="str">
        <f>VLOOKUP($B54,'Raw RTF'!$B$8:$Q$1000,'Raw RTF'!H$5,FALSE)</f>
        <v>ResSHWX</v>
      </c>
      <c r="I54">
        <f>VLOOKUP($B54,'Raw RTF'!$B$8:$Q$1000,'Raw RTF'!I$5,FALSE)</f>
        <v>0</v>
      </c>
      <c r="J54">
        <f>VLOOKUP($B54,'Raw RTF'!$B$8:$Q$1000,'Raw RTF'!J$5,FALSE)</f>
        <v>0</v>
      </c>
      <c r="K54">
        <f>VLOOKUP($B54,'Raw RTF'!$B$8:$Q$1000,'Raw RTF'!K$5,FALSE)</f>
        <v>0</v>
      </c>
      <c r="L54">
        <f>VLOOKUP($B54,'Raw RTF'!$B$8:$Q$1000,'Raw RTF'!L$5,FALSE)</f>
        <v>0</v>
      </c>
      <c r="M54">
        <f>VLOOKUP($B54,'Raw RTF'!$B$8:$Q$1000,'Raw RTF'!M$5,FALSE)</f>
        <v>0</v>
      </c>
      <c r="N54">
        <f>VLOOKUP($B54,'Raw RTF'!$B$8:$Q$1000,'Raw RTF'!N$5,FALSE)</f>
        <v>0</v>
      </c>
      <c r="O54">
        <f>VLOOKUP($B54,'Raw RTF'!$B$8:$Q$1000,'Raw RTF'!O$5,FALSE)</f>
        <v>0</v>
      </c>
      <c r="P54">
        <f>VLOOKUP($B54,'Raw RTF'!$B$8:$Q$1000,'Raw RTF'!P$5,FALSE)</f>
        <v>0</v>
      </c>
      <c r="Q54">
        <f>VLOOKUP($B54,'Raw RTF'!$B$8:$Q$1000,'Raw RTF'!Q$5,FALSE)</f>
        <v>0</v>
      </c>
    </row>
    <row r="55" spans="1:17" ht="38.25">
      <c r="A55" t="str">
        <f t="shared" ref="A55:A98" si="2">CONCATENATE(B55,C55)</f>
        <v>Windows - Single Pane to Class 30 - Heating Zone 1 (Electric FAF Heating System)WINDOW CL30 Prime Window Replacement of Single Pane Base</v>
      </c>
      <c r="B55" s="116" t="str">
        <f>'Raw RTF'!B137</f>
        <v>Windows - Single Pane to Class 30 - Heating Zone 1 (Electric FAF Heating System)</v>
      </c>
      <c r="C55" s="116" t="s">
        <v>72</v>
      </c>
      <c r="D55">
        <f>VLOOKUP($B55,'Raw RTF'!$B$8:$Q$1000,'Raw RTF'!D$5,FALSE)</f>
        <v>21.515051429693667</v>
      </c>
      <c r="E55">
        <f>VLOOKUP($B55,'Raw RTF'!$B$8:$Q$1000,'Raw RTF'!E$5,FALSE)</f>
        <v>45</v>
      </c>
      <c r="F55">
        <f>VLOOKUP($B55,'Raw RTF'!$B$8:$Q$1000,'Raw RTF'!F$5,FALSE)</f>
        <v>22.213200327964955</v>
      </c>
      <c r="G55">
        <f>VLOOKUP($B55,'Raw RTF'!$B$8:$Q$1000,'Raw RTF'!G$5,FALSE)</f>
        <v>0</v>
      </c>
      <c r="H55" t="str">
        <f>VLOOKUP($B55,'Raw RTF'!$B$8:$Q$1000,'Raw RTF'!H$5,FALSE)</f>
        <v>ResSHWX</v>
      </c>
      <c r="I55">
        <f>VLOOKUP($B55,'Raw RTF'!$B$8:$Q$1000,'Raw RTF'!I$5,FALSE)</f>
        <v>0</v>
      </c>
      <c r="J55">
        <f>VLOOKUP($B55,'Raw RTF'!$B$8:$Q$1000,'Raw RTF'!J$5,FALSE)</f>
        <v>0</v>
      </c>
      <c r="K55">
        <f>VLOOKUP($B55,'Raw RTF'!$B$8:$Q$1000,'Raw RTF'!K$5,FALSE)</f>
        <v>0</v>
      </c>
      <c r="L55">
        <f>VLOOKUP($B55,'Raw RTF'!$B$8:$Q$1000,'Raw RTF'!L$5,FALSE)</f>
        <v>0</v>
      </c>
      <c r="M55">
        <f>VLOOKUP($B55,'Raw RTF'!$B$8:$Q$1000,'Raw RTF'!M$5,FALSE)</f>
        <v>0</v>
      </c>
      <c r="N55">
        <f>VLOOKUP($B55,'Raw RTF'!$B$8:$Q$1000,'Raw RTF'!N$5,FALSE)</f>
        <v>0</v>
      </c>
      <c r="O55">
        <f>VLOOKUP($B55,'Raw RTF'!$B$8:$Q$1000,'Raw RTF'!O$5,FALSE)</f>
        <v>0</v>
      </c>
      <c r="P55">
        <f>VLOOKUP($B55,'Raw RTF'!$B$8:$Q$1000,'Raw RTF'!P$5,FALSE)</f>
        <v>0</v>
      </c>
      <c r="Q55">
        <f>VLOOKUP($B55,'Raw RTF'!$B$8:$Q$1000,'Raw RTF'!Q$5,FALSE)</f>
        <v>0</v>
      </c>
    </row>
    <row r="56" spans="1:17" ht="38.25">
      <c r="A56" t="str">
        <f t="shared" si="2"/>
        <v>Windows - Double Pane to Class 30 - Heating Zone 1 (Electric FAF Heating System)WINDOW CL30 Prime Window Replacement of Double Pane Base</v>
      </c>
      <c r="B56" s="116" t="str">
        <f>'Raw RTF'!B138</f>
        <v>Windows - Double Pane to Class 30 - Heating Zone 1 (Electric FAF Heating System)</v>
      </c>
      <c r="C56" s="116" t="s">
        <v>73</v>
      </c>
      <c r="D56">
        <f>VLOOKUP($B56,'Raw RTF'!$B$8:$Q$1000,'Raw RTF'!D$5,FALSE)</f>
        <v>11.821095448595184</v>
      </c>
      <c r="E56">
        <f>VLOOKUP($B56,'Raw RTF'!$B$8:$Q$1000,'Raw RTF'!E$5,FALSE)</f>
        <v>45</v>
      </c>
      <c r="F56">
        <f>VLOOKUP($B56,'Raw RTF'!$B$8:$Q$1000,'Raw RTF'!F$5,FALSE)</f>
        <v>22.213200327964955</v>
      </c>
      <c r="G56">
        <f>VLOOKUP($B56,'Raw RTF'!$B$8:$Q$1000,'Raw RTF'!G$5,FALSE)</f>
        <v>0</v>
      </c>
      <c r="H56" t="str">
        <f>VLOOKUP($B56,'Raw RTF'!$B$8:$Q$1000,'Raw RTF'!H$5,FALSE)</f>
        <v>ResSHWX</v>
      </c>
      <c r="I56">
        <f>VLOOKUP($B56,'Raw RTF'!$B$8:$Q$1000,'Raw RTF'!I$5,FALSE)</f>
        <v>0</v>
      </c>
      <c r="J56">
        <f>VLOOKUP($B56,'Raw RTF'!$B$8:$Q$1000,'Raw RTF'!J$5,FALSE)</f>
        <v>0</v>
      </c>
      <c r="K56">
        <f>VLOOKUP($B56,'Raw RTF'!$B$8:$Q$1000,'Raw RTF'!K$5,FALSE)</f>
        <v>0</v>
      </c>
      <c r="L56">
        <f>VLOOKUP($B56,'Raw RTF'!$B$8:$Q$1000,'Raw RTF'!L$5,FALSE)</f>
        <v>0</v>
      </c>
      <c r="M56">
        <f>VLOOKUP($B56,'Raw RTF'!$B$8:$Q$1000,'Raw RTF'!M$5,FALSE)</f>
        <v>0</v>
      </c>
      <c r="N56">
        <f>VLOOKUP($B56,'Raw RTF'!$B$8:$Q$1000,'Raw RTF'!N$5,FALSE)</f>
        <v>0</v>
      </c>
      <c r="O56">
        <f>VLOOKUP($B56,'Raw RTF'!$B$8:$Q$1000,'Raw RTF'!O$5,FALSE)</f>
        <v>0</v>
      </c>
      <c r="P56">
        <f>VLOOKUP($B56,'Raw RTF'!$B$8:$Q$1000,'Raw RTF'!P$5,FALSE)</f>
        <v>0</v>
      </c>
      <c r="Q56">
        <f>VLOOKUP($B56,'Raw RTF'!$B$8:$Q$1000,'Raw RTF'!Q$5,FALSE)</f>
        <v>0</v>
      </c>
    </row>
    <row r="57" spans="1:17" ht="25.5">
      <c r="A57" t="str">
        <f t="shared" si="2"/>
        <v>Multi Family Weatherization - Insulate Walls - R-0 to R-11 - Heating Zone 2 (Electric FAF Heating System)WALL R0 - R11</v>
      </c>
      <c r="B57" s="116" t="str">
        <f>'Raw RTF'!B141</f>
        <v>Multi Family Weatherization - Insulate Walls - R-0 to R-11 - Heating Zone 2 (Electric FAF Heating System)</v>
      </c>
      <c r="C57" s="116" t="s">
        <v>69</v>
      </c>
      <c r="D57">
        <f>VLOOKUP($B57,'Raw RTF'!$B$8:$Q$1000,'Raw RTF'!D$5,FALSE)</f>
        <v>1.7844209808021618</v>
      </c>
      <c r="E57">
        <f>VLOOKUP($B57,'Raw RTF'!$B$8:$Q$1000,'Raw RTF'!E$5,FALSE)</f>
        <v>45</v>
      </c>
      <c r="F57">
        <f>VLOOKUP($B57,'Raw RTF'!$B$8:$Q$1000,'Raw RTF'!F$5,FALSE)</f>
        <v>0.85033582942530117</v>
      </c>
      <c r="G57">
        <f>VLOOKUP($B57,'Raw RTF'!$B$8:$Q$1000,'Raw RTF'!G$5,FALSE)</f>
        <v>0</v>
      </c>
      <c r="H57" t="str">
        <f>VLOOKUP($B57,'Raw RTF'!$B$8:$Q$1000,'Raw RTF'!H$5,FALSE)</f>
        <v>ResSHWX</v>
      </c>
      <c r="I57">
        <f>VLOOKUP($B57,'Raw RTF'!$B$8:$Q$1000,'Raw RTF'!I$5,FALSE)</f>
        <v>0</v>
      </c>
      <c r="J57">
        <f>VLOOKUP($B57,'Raw RTF'!$B$8:$Q$1000,'Raw RTF'!J$5,FALSE)</f>
        <v>0</v>
      </c>
      <c r="K57">
        <f>VLOOKUP($B57,'Raw RTF'!$B$8:$Q$1000,'Raw RTF'!K$5,FALSE)</f>
        <v>0</v>
      </c>
      <c r="L57">
        <f>VLOOKUP($B57,'Raw RTF'!$B$8:$Q$1000,'Raw RTF'!L$5,FALSE)</f>
        <v>0</v>
      </c>
      <c r="M57">
        <f>VLOOKUP($B57,'Raw RTF'!$B$8:$Q$1000,'Raw RTF'!M$5,FALSE)</f>
        <v>0</v>
      </c>
      <c r="N57">
        <f>VLOOKUP($B57,'Raw RTF'!$B$8:$Q$1000,'Raw RTF'!N$5,FALSE)</f>
        <v>0</v>
      </c>
      <c r="O57">
        <f>VLOOKUP($B57,'Raw RTF'!$B$8:$Q$1000,'Raw RTF'!O$5,FALSE)</f>
        <v>0</v>
      </c>
      <c r="P57">
        <f>VLOOKUP($B57,'Raw RTF'!$B$8:$Q$1000,'Raw RTF'!P$5,FALSE)</f>
        <v>0</v>
      </c>
      <c r="Q57">
        <f>VLOOKUP($B57,'Raw RTF'!$B$8:$Q$1000,'Raw RTF'!Q$5,FALSE)</f>
        <v>0</v>
      </c>
    </row>
    <row r="58" spans="1:17" ht="25.5">
      <c r="A58" t="str">
        <f t="shared" si="2"/>
        <v>Multi Family Weatherization - Insulate Floors - R-0 to R-19 - Heating Zone 2 (Electric FAF Heating System)FLOOR R0 - R19</v>
      </c>
      <c r="B58" s="116" t="str">
        <f>'Raw RTF'!B142</f>
        <v>Multi Family Weatherization - Insulate Floors - R-0 to R-19 - Heating Zone 2 (Electric FAF Heating System)</v>
      </c>
      <c r="C58" s="116" t="s">
        <v>70</v>
      </c>
      <c r="D58">
        <f>VLOOKUP($B58,'Raw RTF'!$B$8:$Q$1000,'Raw RTF'!D$5,FALSE)</f>
        <v>0.69790597720695102</v>
      </c>
      <c r="E58">
        <f>VLOOKUP($B58,'Raw RTF'!$B$8:$Q$1000,'Raw RTF'!E$5,FALSE)</f>
        <v>45</v>
      </c>
      <c r="F58">
        <f>VLOOKUP($B58,'Raw RTF'!$B$8:$Q$1000,'Raw RTF'!F$5,FALSE)</f>
        <v>1.1190178820234826</v>
      </c>
      <c r="G58">
        <f>VLOOKUP($B58,'Raw RTF'!$B$8:$Q$1000,'Raw RTF'!G$5,FALSE)</f>
        <v>0</v>
      </c>
      <c r="H58" t="str">
        <f>VLOOKUP($B58,'Raw RTF'!$B$8:$Q$1000,'Raw RTF'!H$5,FALSE)</f>
        <v>ResSHWX</v>
      </c>
      <c r="I58">
        <f>VLOOKUP($B58,'Raw RTF'!$B$8:$Q$1000,'Raw RTF'!I$5,FALSE)</f>
        <v>0</v>
      </c>
      <c r="J58">
        <f>VLOOKUP($B58,'Raw RTF'!$B$8:$Q$1000,'Raw RTF'!J$5,FALSE)</f>
        <v>0</v>
      </c>
      <c r="K58">
        <f>VLOOKUP($B58,'Raw RTF'!$B$8:$Q$1000,'Raw RTF'!K$5,FALSE)</f>
        <v>0</v>
      </c>
      <c r="L58">
        <f>VLOOKUP($B58,'Raw RTF'!$B$8:$Q$1000,'Raw RTF'!L$5,FALSE)</f>
        <v>0</v>
      </c>
      <c r="M58">
        <f>VLOOKUP($B58,'Raw RTF'!$B$8:$Q$1000,'Raw RTF'!M$5,FALSE)</f>
        <v>0</v>
      </c>
      <c r="N58">
        <f>VLOOKUP($B58,'Raw RTF'!$B$8:$Q$1000,'Raw RTF'!N$5,FALSE)</f>
        <v>0</v>
      </c>
      <c r="O58">
        <f>VLOOKUP($B58,'Raw RTF'!$B$8:$Q$1000,'Raw RTF'!O$5,FALSE)</f>
        <v>0</v>
      </c>
      <c r="P58">
        <f>VLOOKUP($B58,'Raw RTF'!$B$8:$Q$1000,'Raw RTF'!P$5,FALSE)</f>
        <v>0</v>
      </c>
      <c r="Q58">
        <f>VLOOKUP($B58,'Raw RTF'!$B$8:$Q$1000,'Raw RTF'!Q$5,FALSE)</f>
        <v>0</v>
      </c>
    </row>
    <row r="59" spans="1:17" ht="25.5">
      <c r="A59" t="str">
        <f t="shared" si="2"/>
        <v>Multi Family Weatherization - Insulate Floors - R-0 to R-30 - Heating Zone 2 (Electric FAF Heating System)FLOOR R0 - R30</v>
      </c>
      <c r="B59" s="116" t="str">
        <f>'Raw RTF'!B143</f>
        <v>Multi Family Weatherization - Insulate Floors - R-0 to R-30 - Heating Zone 2 (Electric FAF Heating System)</v>
      </c>
      <c r="C59" s="116" t="s">
        <v>71</v>
      </c>
      <c r="D59">
        <f>VLOOKUP($B59,'Raw RTF'!$B$8:$Q$1000,'Raw RTF'!D$5,FALSE)</f>
        <v>0.91045361186590912</v>
      </c>
      <c r="E59">
        <f>VLOOKUP($B59,'Raw RTF'!$B$8:$Q$1000,'Raw RTF'!E$5,FALSE)</f>
        <v>45</v>
      </c>
      <c r="F59">
        <f>VLOOKUP($B59,'Raw RTF'!$B$8:$Q$1000,'Raw RTF'!F$5,FALSE)</f>
        <v>1.766870340037078</v>
      </c>
      <c r="G59">
        <f>VLOOKUP($B59,'Raw RTF'!$B$8:$Q$1000,'Raw RTF'!G$5,FALSE)</f>
        <v>0</v>
      </c>
      <c r="H59" t="str">
        <f>VLOOKUP($B59,'Raw RTF'!$B$8:$Q$1000,'Raw RTF'!H$5,FALSE)</f>
        <v>ResSHWX</v>
      </c>
      <c r="I59">
        <f>VLOOKUP($B59,'Raw RTF'!$B$8:$Q$1000,'Raw RTF'!I$5,FALSE)</f>
        <v>0</v>
      </c>
      <c r="J59">
        <f>VLOOKUP($B59,'Raw RTF'!$B$8:$Q$1000,'Raw RTF'!J$5,FALSE)</f>
        <v>0</v>
      </c>
      <c r="K59">
        <f>VLOOKUP($B59,'Raw RTF'!$B$8:$Q$1000,'Raw RTF'!K$5,FALSE)</f>
        <v>0</v>
      </c>
      <c r="L59">
        <f>VLOOKUP($B59,'Raw RTF'!$B$8:$Q$1000,'Raw RTF'!L$5,FALSE)</f>
        <v>0</v>
      </c>
      <c r="M59">
        <f>VLOOKUP($B59,'Raw RTF'!$B$8:$Q$1000,'Raw RTF'!M$5,FALSE)</f>
        <v>0</v>
      </c>
      <c r="N59">
        <f>VLOOKUP($B59,'Raw RTF'!$B$8:$Q$1000,'Raw RTF'!N$5,FALSE)</f>
        <v>0</v>
      </c>
      <c r="O59">
        <f>VLOOKUP($B59,'Raw RTF'!$B$8:$Q$1000,'Raw RTF'!O$5,FALSE)</f>
        <v>0</v>
      </c>
      <c r="P59">
        <f>VLOOKUP($B59,'Raw RTF'!$B$8:$Q$1000,'Raw RTF'!P$5,FALSE)</f>
        <v>0</v>
      </c>
      <c r="Q59">
        <f>VLOOKUP($B59,'Raw RTF'!$B$8:$Q$1000,'Raw RTF'!Q$5,FALSE)</f>
        <v>0</v>
      </c>
    </row>
    <row r="60" spans="1:17" ht="25.5">
      <c r="A60" t="str">
        <f t="shared" si="2"/>
        <v>Multi Family Weatherization - Insulate Attic - R-0 to R-19 - Heating Zone 2 (Electric FAF Heating System)ATTIC R0 - R19</v>
      </c>
      <c r="B60" s="116" t="str">
        <f>'Raw RTF'!B145</f>
        <v>Multi Family Weatherization - Insulate Attic - R-0 to R-19 - Heating Zone 2 (Electric FAF Heating System)</v>
      </c>
      <c r="C60" s="116" t="s">
        <v>1201</v>
      </c>
      <c r="D60">
        <f>VLOOKUP($B60,'Raw RTF'!$B$8:$Q$1000,'Raw RTF'!D$5,FALSE)</f>
        <v>0.47962025779193168</v>
      </c>
      <c r="E60">
        <f>VLOOKUP($B60,'Raw RTF'!$B$8:$Q$1000,'Raw RTF'!E$5,FALSE)</f>
        <v>45</v>
      </c>
      <c r="F60">
        <f>VLOOKUP($B60,'Raw RTF'!$B$8:$Q$1000,'Raw RTF'!F$5,FALSE)</f>
        <v>0.58749066649983317</v>
      </c>
      <c r="G60">
        <f>VLOOKUP($B60,'Raw RTF'!$B$8:$Q$1000,'Raw RTF'!G$5,FALSE)</f>
        <v>0</v>
      </c>
      <c r="H60" t="str">
        <f>VLOOKUP($B60,'Raw RTF'!$B$8:$Q$1000,'Raw RTF'!H$5,FALSE)</f>
        <v>ResSHWX</v>
      </c>
      <c r="I60">
        <f>VLOOKUP($B60,'Raw RTF'!$B$8:$Q$1000,'Raw RTF'!I$5,FALSE)</f>
        <v>0</v>
      </c>
      <c r="J60">
        <f>VLOOKUP($B60,'Raw RTF'!$B$8:$Q$1000,'Raw RTF'!J$5,FALSE)</f>
        <v>0</v>
      </c>
      <c r="K60">
        <f>VLOOKUP($B60,'Raw RTF'!$B$8:$Q$1000,'Raw RTF'!K$5,FALSE)</f>
        <v>0</v>
      </c>
      <c r="L60">
        <f>VLOOKUP($B60,'Raw RTF'!$B$8:$Q$1000,'Raw RTF'!L$5,FALSE)</f>
        <v>0</v>
      </c>
      <c r="M60">
        <f>VLOOKUP($B60,'Raw RTF'!$B$8:$Q$1000,'Raw RTF'!M$5,FALSE)</f>
        <v>0</v>
      </c>
      <c r="N60">
        <f>VLOOKUP($B60,'Raw RTF'!$B$8:$Q$1000,'Raw RTF'!N$5,FALSE)</f>
        <v>0</v>
      </c>
      <c r="O60">
        <f>VLOOKUP($B60,'Raw RTF'!$B$8:$Q$1000,'Raw RTF'!O$5,FALSE)</f>
        <v>0</v>
      </c>
      <c r="P60">
        <f>VLOOKUP($B60,'Raw RTF'!$B$8:$Q$1000,'Raw RTF'!P$5,FALSE)</f>
        <v>0</v>
      </c>
      <c r="Q60">
        <f>VLOOKUP($B60,'Raw RTF'!$B$8:$Q$1000,'Raw RTF'!Q$5,FALSE)</f>
        <v>0</v>
      </c>
    </row>
    <row r="61" spans="1:17" ht="25.5">
      <c r="A61" t="str">
        <f t="shared" si="2"/>
        <v>Multi Family Weatherization - Insulate Attic - R-0 to R-38 - Heating Zone 2 (Electric FAF Heating System)ATTIC R0 - R38</v>
      </c>
      <c r="B61" s="116" t="str">
        <f>'Raw RTF'!B146</f>
        <v>Multi Family Weatherization - Insulate Attic - R-0 to R-38 - Heating Zone 2 (Electric FAF Heating System)</v>
      </c>
      <c r="C61" s="116" t="s">
        <v>65</v>
      </c>
      <c r="D61">
        <f>VLOOKUP($B61,'Raw RTF'!$B$8:$Q$1000,'Raw RTF'!D$5,FALSE)</f>
        <v>0.65356088579181815</v>
      </c>
      <c r="E61">
        <f>VLOOKUP($B61,'Raw RTF'!$B$8:$Q$1000,'Raw RTF'!E$5,FALSE)</f>
        <v>45</v>
      </c>
      <c r="F61">
        <f>VLOOKUP($B61,'Raw RTF'!$B$8:$Q$1000,'Raw RTF'!F$5,FALSE)</f>
        <v>1.1749813329996663</v>
      </c>
      <c r="G61">
        <f>VLOOKUP($B61,'Raw RTF'!$B$8:$Q$1000,'Raw RTF'!G$5,FALSE)</f>
        <v>0</v>
      </c>
      <c r="H61" t="str">
        <f>VLOOKUP($B61,'Raw RTF'!$B$8:$Q$1000,'Raw RTF'!H$5,FALSE)</f>
        <v>ResSHWX</v>
      </c>
      <c r="I61">
        <f>VLOOKUP($B61,'Raw RTF'!$B$8:$Q$1000,'Raw RTF'!I$5,FALSE)</f>
        <v>0</v>
      </c>
      <c r="J61">
        <f>VLOOKUP($B61,'Raw RTF'!$B$8:$Q$1000,'Raw RTF'!J$5,FALSE)</f>
        <v>0</v>
      </c>
      <c r="K61">
        <f>VLOOKUP($B61,'Raw RTF'!$B$8:$Q$1000,'Raw RTF'!K$5,FALSE)</f>
        <v>0</v>
      </c>
      <c r="L61">
        <f>VLOOKUP($B61,'Raw RTF'!$B$8:$Q$1000,'Raw RTF'!L$5,FALSE)</f>
        <v>0</v>
      </c>
      <c r="M61">
        <f>VLOOKUP($B61,'Raw RTF'!$B$8:$Q$1000,'Raw RTF'!M$5,FALSE)</f>
        <v>0</v>
      </c>
      <c r="N61">
        <f>VLOOKUP($B61,'Raw RTF'!$B$8:$Q$1000,'Raw RTF'!N$5,FALSE)</f>
        <v>0</v>
      </c>
      <c r="O61">
        <f>VLOOKUP($B61,'Raw RTF'!$B$8:$Q$1000,'Raw RTF'!O$5,FALSE)</f>
        <v>0</v>
      </c>
      <c r="P61">
        <f>VLOOKUP($B61,'Raw RTF'!$B$8:$Q$1000,'Raw RTF'!P$5,FALSE)</f>
        <v>0</v>
      </c>
      <c r="Q61">
        <f>VLOOKUP($B61,'Raw RTF'!$B$8:$Q$1000,'Raw RTF'!Q$5,FALSE)</f>
        <v>0</v>
      </c>
    </row>
    <row r="62" spans="1:17" ht="25.5">
      <c r="A62" t="str">
        <f t="shared" si="2"/>
        <v>Multi Family Weatherization - Insulate Attic - R-0 to R-49 - Heating Zone 2 (Electric FAF Heating System)ATTIC R0 - R49</v>
      </c>
      <c r="B62" s="116" t="str">
        <f>'Raw RTF'!B147</f>
        <v>Multi Family Weatherization - Insulate Attic - R-0 to R-49 - Heating Zone 2 (Electric FAF Heating System)</v>
      </c>
      <c r="C62" s="116" t="s">
        <v>66</v>
      </c>
      <c r="D62">
        <f>VLOOKUP($B62,'Raw RTF'!$B$8:$Q$1000,'Raw RTF'!D$5,FALSE)</f>
        <v>0.69395328484238672</v>
      </c>
      <c r="E62">
        <f>VLOOKUP($B62,'Raw RTF'!$B$8:$Q$1000,'Raw RTF'!E$5,FALSE)</f>
        <v>45</v>
      </c>
      <c r="F62">
        <f>VLOOKUP($B62,'Raw RTF'!$B$8:$Q$1000,'Raw RTF'!F$5,FALSE)</f>
        <v>1.515107508341675</v>
      </c>
      <c r="G62">
        <f>VLOOKUP($B62,'Raw RTF'!$B$8:$Q$1000,'Raw RTF'!G$5,FALSE)</f>
        <v>0</v>
      </c>
      <c r="H62" t="str">
        <f>VLOOKUP($B62,'Raw RTF'!$B$8:$Q$1000,'Raw RTF'!H$5,FALSE)</f>
        <v>ResSHWX</v>
      </c>
      <c r="I62">
        <f>VLOOKUP($B62,'Raw RTF'!$B$8:$Q$1000,'Raw RTF'!I$5,FALSE)</f>
        <v>0</v>
      </c>
      <c r="J62">
        <f>VLOOKUP($B62,'Raw RTF'!$B$8:$Q$1000,'Raw RTF'!J$5,FALSE)</f>
        <v>0</v>
      </c>
      <c r="K62">
        <f>VLOOKUP($B62,'Raw RTF'!$B$8:$Q$1000,'Raw RTF'!K$5,FALSE)</f>
        <v>0</v>
      </c>
      <c r="L62">
        <f>VLOOKUP($B62,'Raw RTF'!$B$8:$Q$1000,'Raw RTF'!L$5,FALSE)</f>
        <v>0</v>
      </c>
      <c r="M62">
        <f>VLOOKUP($B62,'Raw RTF'!$B$8:$Q$1000,'Raw RTF'!M$5,FALSE)</f>
        <v>0</v>
      </c>
      <c r="N62">
        <f>VLOOKUP($B62,'Raw RTF'!$B$8:$Q$1000,'Raw RTF'!N$5,FALSE)</f>
        <v>0</v>
      </c>
      <c r="O62">
        <f>VLOOKUP($B62,'Raw RTF'!$B$8:$Q$1000,'Raw RTF'!O$5,FALSE)</f>
        <v>0</v>
      </c>
      <c r="P62">
        <f>VLOOKUP($B62,'Raw RTF'!$B$8:$Q$1000,'Raw RTF'!P$5,FALSE)</f>
        <v>0</v>
      </c>
      <c r="Q62">
        <f>VLOOKUP($B62,'Raw RTF'!$B$8:$Q$1000,'Raw RTF'!Q$5,FALSE)</f>
        <v>0</v>
      </c>
    </row>
    <row r="63" spans="1:17" ht="25.5">
      <c r="A63" t="str">
        <f t="shared" si="2"/>
        <v>Multi Family Weatherization - Insulate Attic - R-19 to R-30 - Heating Zone 2 (Electric FAF Heating System)ATTIC R19 - R30</v>
      </c>
      <c r="B63" s="116" t="str">
        <f>'Raw RTF'!B151</f>
        <v>Multi Family Weatherization - Insulate Attic - R-19 to R-30 - Heating Zone 2 (Electric FAF Heating System)</v>
      </c>
      <c r="C63" s="116" t="s">
        <v>1202</v>
      </c>
      <c r="D63">
        <f>VLOOKUP($B63,'Raw RTF'!$B$8:$Q$1000,'Raw RTF'!D$5,FALSE)</f>
        <v>0.12601148434284148</v>
      </c>
      <c r="E63">
        <f>VLOOKUP($B63,'Raw RTF'!$B$8:$Q$1000,'Raw RTF'!E$5,FALSE)</f>
        <v>45</v>
      </c>
      <c r="F63">
        <f>VLOOKUP($B63,'Raw RTF'!$B$8:$Q$1000,'Raw RTF'!F$5,FALSE)</f>
        <v>0.34012617534200867</v>
      </c>
      <c r="G63">
        <f>VLOOKUP($B63,'Raw RTF'!$B$8:$Q$1000,'Raw RTF'!G$5,FALSE)</f>
        <v>0</v>
      </c>
      <c r="H63" t="str">
        <f>VLOOKUP($B63,'Raw RTF'!$B$8:$Q$1000,'Raw RTF'!H$5,FALSE)</f>
        <v>ResSHWX</v>
      </c>
      <c r="I63">
        <f>VLOOKUP($B63,'Raw RTF'!$B$8:$Q$1000,'Raw RTF'!I$5,FALSE)</f>
        <v>0</v>
      </c>
      <c r="J63">
        <f>VLOOKUP($B63,'Raw RTF'!$B$8:$Q$1000,'Raw RTF'!J$5,FALSE)</f>
        <v>0</v>
      </c>
      <c r="K63">
        <f>VLOOKUP($B63,'Raw RTF'!$B$8:$Q$1000,'Raw RTF'!K$5,FALSE)</f>
        <v>0</v>
      </c>
      <c r="L63">
        <f>VLOOKUP($B63,'Raw RTF'!$B$8:$Q$1000,'Raw RTF'!L$5,FALSE)</f>
        <v>0</v>
      </c>
      <c r="M63">
        <f>VLOOKUP($B63,'Raw RTF'!$B$8:$Q$1000,'Raw RTF'!M$5,FALSE)</f>
        <v>0</v>
      </c>
      <c r="N63">
        <f>VLOOKUP($B63,'Raw RTF'!$B$8:$Q$1000,'Raw RTF'!N$5,FALSE)</f>
        <v>0</v>
      </c>
      <c r="O63">
        <f>VLOOKUP($B63,'Raw RTF'!$B$8:$Q$1000,'Raw RTF'!O$5,FALSE)</f>
        <v>0</v>
      </c>
      <c r="P63">
        <f>VLOOKUP($B63,'Raw RTF'!$B$8:$Q$1000,'Raw RTF'!P$5,FALSE)</f>
        <v>0</v>
      </c>
      <c r="Q63">
        <f>VLOOKUP($B63,'Raw RTF'!$B$8:$Q$1000,'Raw RTF'!Q$5,FALSE)</f>
        <v>0</v>
      </c>
    </row>
    <row r="64" spans="1:17" ht="25.5">
      <c r="A64" t="str">
        <f t="shared" si="2"/>
        <v>Multi Family Weatherization - Insulate Attic - R-19 to R-38 - Heating Zone 2 (Electric FAF Heating System)ATTIC R19 - R38</v>
      </c>
      <c r="B64" s="116" t="str">
        <f>'Raw RTF'!B152</f>
        <v>Multi Family Weatherization - Insulate Attic - R-19 to R-38 - Heating Zone 2 (Electric FAF Heating System)</v>
      </c>
      <c r="C64" s="116" t="s">
        <v>67</v>
      </c>
      <c r="D64">
        <f>VLOOKUP($B64,'Raw RTF'!$B$8:$Q$1000,'Raw RTF'!D$5,FALSE)</f>
        <v>0.17394062799988647</v>
      </c>
      <c r="E64">
        <f>VLOOKUP($B64,'Raw RTF'!$B$8:$Q$1000,'Raw RTF'!E$5,FALSE)</f>
        <v>45</v>
      </c>
      <c r="F64">
        <f>VLOOKUP($B64,'Raw RTF'!$B$8:$Q$1000,'Raw RTF'!F$5,FALSE)</f>
        <v>0.58749066649983317</v>
      </c>
      <c r="G64">
        <f>VLOOKUP($B64,'Raw RTF'!$B$8:$Q$1000,'Raw RTF'!G$5,FALSE)</f>
        <v>0</v>
      </c>
      <c r="H64" t="str">
        <f>VLOOKUP($B64,'Raw RTF'!$B$8:$Q$1000,'Raw RTF'!H$5,FALSE)</f>
        <v>ResSHWX</v>
      </c>
      <c r="I64">
        <f>VLOOKUP($B64,'Raw RTF'!$B$8:$Q$1000,'Raw RTF'!I$5,FALSE)</f>
        <v>0</v>
      </c>
      <c r="J64">
        <f>VLOOKUP($B64,'Raw RTF'!$B$8:$Q$1000,'Raw RTF'!J$5,FALSE)</f>
        <v>0</v>
      </c>
      <c r="K64">
        <f>VLOOKUP($B64,'Raw RTF'!$B$8:$Q$1000,'Raw RTF'!K$5,FALSE)</f>
        <v>0</v>
      </c>
      <c r="L64">
        <f>VLOOKUP($B64,'Raw RTF'!$B$8:$Q$1000,'Raw RTF'!L$5,FALSE)</f>
        <v>0</v>
      </c>
      <c r="M64">
        <f>VLOOKUP($B64,'Raw RTF'!$B$8:$Q$1000,'Raw RTF'!M$5,FALSE)</f>
        <v>0</v>
      </c>
      <c r="N64">
        <f>VLOOKUP($B64,'Raw RTF'!$B$8:$Q$1000,'Raw RTF'!N$5,FALSE)</f>
        <v>0</v>
      </c>
      <c r="O64">
        <f>VLOOKUP($B64,'Raw RTF'!$B$8:$Q$1000,'Raw RTF'!O$5,FALSE)</f>
        <v>0</v>
      </c>
      <c r="P64">
        <f>VLOOKUP($B64,'Raw RTF'!$B$8:$Q$1000,'Raw RTF'!P$5,FALSE)</f>
        <v>0</v>
      </c>
      <c r="Q64">
        <f>VLOOKUP($B64,'Raw RTF'!$B$8:$Q$1000,'Raw RTF'!Q$5,FALSE)</f>
        <v>0</v>
      </c>
    </row>
    <row r="65" spans="1:17" ht="25.5">
      <c r="A65" t="str">
        <f t="shared" si="2"/>
        <v>Multi Family Weatherization - Insulate Attic - R-19 to R-49 - Heating Zone 2 (Electric FAF Heating System)ATTIC R19 - R49</v>
      </c>
      <c r="B65" s="116" t="str">
        <f>'Raw RTF'!B153</f>
        <v>Multi Family Weatherization - Insulate Attic - R-19 to R-49 - Heating Zone 2 (Electric FAF Heating System)</v>
      </c>
      <c r="C65" s="116" t="s">
        <v>68</v>
      </c>
      <c r="D65">
        <f>VLOOKUP($B65,'Raw RTF'!$B$8:$Q$1000,'Raw RTF'!D$5,FALSE)</f>
        <v>0.21433302705045501</v>
      </c>
      <c r="E65">
        <f>VLOOKUP($B65,'Raw RTF'!$B$8:$Q$1000,'Raw RTF'!E$5,FALSE)</f>
        <v>45</v>
      </c>
      <c r="F65">
        <f>VLOOKUP($B65,'Raw RTF'!$B$8:$Q$1000,'Raw RTF'!F$5,FALSE)</f>
        <v>0.9276168418418419</v>
      </c>
      <c r="G65">
        <f>VLOOKUP($B65,'Raw RTF'!$B$8:$Q$1000,'Raw RTF'!G$5,FALSE)</f>
        <v>0</v>
      </c>
      <c r="H65" t="str">
        <f>VLOOKUP($B65,'Raw RTF'!$B$8:$Q$1000,'Raw RTF'!H$5,FALSE)</f>
        <v>ResSHWX</v>
      </c>
      <c r="I65">
        <f>VLOOKUP($B65,'Raw RTF'!$B$8:$Q$1000,'Raw RTF'!I$5,FALSE)</f>
        <v>0</v>
      </c>
      <c r="J65">
        <f>VLOOKUP($B65,'Raw RTF'!$B$8:$Q$1000,'Raw RTF'!J$5,FALSE)</f>
        <v>0</v>
      </c>
      <c r="K65">
        <f>VLOOKUP($B65,'Raw RTF'!$B$8:$Q$1000,'Raw RTF'!K$5,FALSE)</f>
        <v>0</v>
      </c>
      <c r="L65">
        <f>VLOOKUP($B65,'Raw RTF'!$B$8:$Q$1000,'Raw RTF'!L$5,FALSE)</f>
        <v>0</v>
      </c>
      <c r="M65">
        <f>VLOOKUP($B65,'Raw RTF'!$B$8:$Q$1000,'Raw RTF'!M$5,FALSE)</f>
        <v>0</v>
      </c>
      <c r="N65">
        <f>VLOOKUP($B65,'Raw RTF'!$B$8:$Q$1000,'Raw RTF'!N$5,FALSE)</f>
        <v>0</v>
      </c>
      <c r="O65">
        <f>VLOOKUP($B65,'Raw RTF'!$B$8:$Q$1000,'Raw RTF'!O$5,FALSE)</f>
        <v>0</v>
      </c>
      <c r="P65">
        <f>VLOOKUP($B65,'Raw RTF'!$B$8:$Q$1000,'Raw RTF'!P$5,FALSE)</f>
        <v>0</v>
      </c>
      <c r="Q65">
        <f>VLOOKUP($B65,'Raw RTF'!$B$8:$Q$1000,'Raw RTF'!Q$5,FALSE)</f>
        <v>0</v>
      </c>
    </row>
    <row r="66" spans="1:17" ht="38.25">
      <c r="A66" t="str">
        <f t="shared" si="2"/>
        <v>Windows - Single Pane to Class 22 - Heating Zone 2 (Electric FAF Heating System)WINDOW CL22 Prime Window Replacement of Single Pane Base</v>
      </c>
      <c r="B66" s="116" t="str">
        <f>'Raw RTF'!B154</f>
        <v>Windows - Single Pane to Class 22 - Heating Zone 2 (Electric FAF Heating System)</v>
      </c>
      <c r="C66" s="116" t="s">
        <v>74</v>
      </c>
      <c r="D66">
        <f>VLOOKUP($B66,'Raw RTF'!$B$8:$Q$1000,'Raw RTF'!D$5,FALSE)</f>
        <v>32.30351481749824</v>
      </c>
      <c r="E66">
        <f>VLOOKUP($B66,'Raw RTF'!$B$8:$Q$1000,'Raw RTF'!E$5,FALSE)</f>
        <v>45</v>
      </c>
      <c r="F66">
        <f>VLOOKUP($B66,'Raw RTF'!$B$8:$Q$1000,'Raw RTF'!F$5,FALSE)</f>
        <v>23.573200327964955</v>
      </c>
      <c r="G66">
        <f>VLOOKUP($B66,'Raw RTF'!$B$8:$Q$1000,'Raw RTF'!G$5,FALSE)</f>
        <v>0</v>
      </c>
      <c r="H66" t="str">
        <f>VLOOKUP($B66,'Raw RTF'!$B$8:$Q$1000,'Raw RTF'!H$5,FALSE)</f>
        <v>ResSHWX</v>
      </c>
      <c r="I66">
        <f>VLOOKUP($B66,'Raw RTF'!$B$8:$Q$1000,'Raw RTF'!I$5,FALSE)</f>
        <v>0</v>
      </c>
      <c r="J66">
        <f>VLOOKUP($B66,'Raw RTF'!$B$8:$Q$1000,'Raw RTF'!J$5,FALSE)</f>
        <v>0</v>
      </c>
      <c r="K66">
        <f>VLOOKUP($B66,'Raw RTF'!$B$8:$Q$1000,'Raw RTF'!K$5,FALSE)</f>
        <v>0</v>
      </c>
      <c r="L66">
        <f>VLOOKUP($B66,'Raw RTF'!$B$8:$Q$1000,'Raw RTF'!L$5,FALSE)</f>
        <v>0</v>
      </c>
      <c r="M66">
        <f>VLOOKUP($B66,'Raw RTF'!$B$8:$Q$1000,'Raw RTF'!M$5,FALSE)</f>
        <v>0</v>
      </c>
      <c r="N66">
        <f>VLOOKUP($B66,'Raw RTF'!$B$8:$Q$1000,'Raw RTF'!N$5,FALSE)</f>
        <v>0</v>
      </c>
      <c r="O66">
        <f>VLOOKUP($B66,'Raw RTF'!$B$8:$Q$1000,'Raw RTF'!O$5,FALSE)</f>
        <v>0</v>
      </c>
      <c r="P66">
        <f>VLOOKUP($B66,'Raw RTF'!$B$8:$Q$1000,'Raw RTF'!P$5,FALSE)</f>
        <v>0</v>
      </c>
      <c r="Q66">
        <f>VLOOKUP($B66,'Raw RTF'!$B$8:$Q$1000,'Raw RTF'!Q$5,FALSE)</f>
        <v>0</v>
      </c>
    </row>
    <row r="67" spans="1:17" ht="38.25">
      <c r="A67" t="str">
        <f t="shared" si="2"/>
        <v>Windows - Double Pane to Class 22 - Heating Zone 2 (Electric FAF Heating System)WINDOW CL22 Prime Window Replacement of Double Pane Base</v>
      </c>
      <c r="B67" s="116" t="str">
        <f>'Raw RTF'!B155</f>
        <v>Windows - Double Pane to Class 22 - Heating Zone 2 (Electric FAF Heating System)</v>
      </c>
      <c r="C67" s="116" t="s">
        <v>75</v>
      </c>
      <c r="D67">
        <f>VLOOKUP($B67,'Raw RTF'!$B$8:$Q$1000,'Raw RTF'!D$5,FALSE)</f>
        <v>19.232443265234554</v>
      </c>
      <c r="E67">
        <f>VLOOKUP($B67,'Raw RTF'!$B$8:$Q$1000,'Raw RTF'!E$5,FALSE)</f>
        <v>45</v>
      </c>
      <c r="F67">
        <f>VLOOKUP($B67,'Raw RTF'!$B$8:$Q$1000,'Raw RTF'!F$5,FALSE)</f>
        <v>23.573200327964955</v>
      </c>
      <c r="G67">
        <f>VLOOKUP($B67,'Raw RTF'!$B$8:$Q$1000,'Raw RTF'!G$5,FALSE)</f>
        <v>0</v>
      </c>
      <c r="H67" t="str">
        <f>VLOOKUP($B67,'Raw RTF'!$B$8:$Q$1000,'Raw RTF'!H$5,FALSE)</f>
        <v>ResSHWX</v>
      </c>
      <c r="I67">
        <f>VLOOKUP($B67,'Raw RTF'!$B$8:$Q$1000,'Raw RTF'!I$5,FALSE)</f>
        <v>0</v>
      </c>
      <c r="J67">
        <f>VLOOKUP($B67,'Raw RTF'!$B$8:$Q$1000,'Raw RTF'!J$5,FALSE)</f>
        <v>0</v>
      </c>
      <c r="K67">
        <f>VLOOKUP($B67,'Raw RTF'!$B$8:$Q$1000,'Raw RTF'!K$5,FALSE)</f>
        <v>0</v>
      </c>
      <c r="L67">
        <f>VLOOKUP($B67,'Raw RTF'!$B$8:$Q$1000,'Raw RTF'!L$5,FALSE)</f>
        <v>0</v>
      </c>
      <c r="M67">
        <f>VLOOKUP($B67,'Raw RTF'!$B$8:$Q$1000,'Raw RTF'!M$5,FALSE)</f>
        <v>0</v>
      </c>
      <c r="N67">
        <f>VLOOKUP($B67,'Raw RTF'!$B$8:$Q$1000,'Raw RTF'!N$5,FALSE)</f>
        <v>0</v>
      </c>
      <c r="O67">
        <f>VLOOKUP($B67,'Raw RTF'!$B$8:$Q$1000,'Raw RTF'!O$5,FALSE)</f>
        <v>0</v>
      </c>
      <c r="P67">
        <f>VLOOKUP($B67,'Raw RTF'!$B$8:$Q$1000,'Raw RTF'!P$5,FALSE)</f>
        <v>0</v>
      </c>
      <c r="Q67">
        <f>VLOOKUP($B67,'Raw RTF'!$B$8:$Q$1000,'Raw RTF'!Q$5,FALSE)</f>
        <v>0</v>
      </c>
    </row>
    <row r="68" spans="1:17" ht="38.25">
      <c r="A68" t="str">
        <f t="shared" si="2"/>
        <v>Windows - Single Pane to Class 30 - Heating Zone 2 (Electric FAF Heating System)WINDOW CL30 Prime Window Replacement of Single Pane Base</v>
      </c>
      <c r="B68" s="116" t="str">
        <f>'Raw RTF'!B156</f>
        <v>Windows - Single Pane to Class 30 - Heating Zone 2 (Electric FAF Heating System)</v>
      </c>
      <c r="C68" s="116" t="s">
        <v>72</v>
      </c>
      <c r="D68">
        <f>VLOOKUP($B68,'Raw RTF'!$B$8:$Q$1000,'Raw RTF'!D$5,FALSE)</f>
        <v>29.658349144731158</v>
      </c>
      <c r="E68">
        <f>VLOOKUP($B68,'Raw RTF'!$B$8:$Q$1000,'Raw RTF'!E$5,FALSE)</f>
        <v>45</v>
      </c>
      <c r="F68">
        <f>VLOOKUP($B68,'Raw RTF'!$B$8:$Q$1000,'Raw RTF'!F$5,FALSE)</f>
        <v>22.213200327964955</v>
      </c>
      <c r="G68">
        <f>VLOOKUP($B68,'Raw RTF'!$B$8:$Q$1000,'Raw RTF'!G$5,FALSE)</f>
        <v>0</v>
      </c>
      <c r="H68" t="str">
        <f>VLOOKUP($B68,'Raw RTF'!$B$8:$Q$1000,'Raw RTF'!H$5,FALSE)</f>
        <v>ResSHWX</v>
      </c>
      <c r="I68">
        <f>VLOOKUP($B68,'Raw RTF'!$B$8:$Q$1000,'Raw RTF'!I$5,FALSE)</f>
        <v>0</v>
      </c>
      <c r="J68">
        <f>VLOOKUP($B68,'Raw RTF'!$B$8:$Q$1000,'Raw RTF'!J$5,FALSE)</f>
        <v>0</v>
      </c>
      <c r="K68">
        <f>VLOOKUP($B68,'Raw RTF'!$B$8:$Q$1000,'Raw RTF'!K$5,FALSE)</f>
        <v>0</v>
      </c>
      <c r="L68">
        <f>VLOOKUP($B68,'Raw RTF'!$B$8:$Q$1000,'Raw RTF'!L$5,FALSE)</f>
        <v>0</v>
      </c>
      <c r="M68">
        <f>VLOOKUP($B68,'Raw RTF'!$B$8:$Q$1000,'Raw RTF'!M$5,FALSE)</f>
        <v>0</v>
      </c>
      <c r="N68">
        <f>VLOOKUP($B68,'Raw RTF'!$B$8:$Q$1000,'Raw RTF'!N$5,FALSE)</f>
        <v>0</v>
      </c>
      <c r="O68">
        <f>VLOOKUP($B68,'Raw RTF'!$B$8:$Q$1000,'Raw RTF'!O$5,FALSE)</f>
        <v>0</v>
      </c>
      <c r="P68">
        <f>VLOOKUP($B68,'Raw RTF'!$B$8:$Q$1000,'Raw RTF'!P$5,FALSE)</f>
        <v>0</v>
      </c>
      <c r="Q68">
        <f>VLOOKUP($B68,'Raw RTF'!$B$8:$Q$1000,'Raw RTF'!Q$5,FALSE)</f>
        <v>0</v>
      </c>
    </row>
    <row r="69" spans="1:17" ht="38.25">
      <c r="A69" t="str">
        <f t="shared" si="2"/>
        <v>Windows - Double Pane to Class 30 - Heating Zone 2 (Electric FAF Heating System)WINDOW CL30 Prime Window Replacement of Double Pane Base</v>
      </c>
      <c r="B69" s="116" t="str">
        <f>'Raw RTF'!B157</f>
        <v>Windows - Double Pane to Class 30 - Heating Zone 2 (Electric FAF Heating System)</v>
      </c>
      <c r="C69" s="116" t="s">
        <v>73</v>
      </c>
      <c r="D69">
        <f>VLOOKUP($B69,'Raw RTF'!$B$8:$Q$1000,'Raw RTF'!D$5,FALSE)</f>
        <v>16.587277592467462</v>
      </c>
      <c r="E69">
        <f>VLOOKUP($B69,'Raw RTF'!$B$8:$Q$1000,'Raw RTF'!E$5,FALSE)</f>
        <v>45</v>
      </c>
      <c r="F69">
        <f>VLOOKUP($B69,'Raw RTF'!$B$8:$Q$1000,'Raw RTF'!F$5,FALSE)</f>
        <v>22.213200327964955</v>
      </c>
      <c r="G69">
        <f>VLOOKUP($B69,'Raw RTF'!$B$8:$Q$1000,'Raw RTF'!G$5,FALSE)</f>
        <v>0</v>
      </c>
      <c r="H69" t="str">
        <f>VLOOKUP($B69,'Raw RTF'!$B$8:$Q$1000,'Raw RTF'!H$5,FALSE)</f>
        <v>ResSHWX</v>
      </c>
      <c r="I69">
        <f>VLOOKUP($B69,'Raw RTF'!$B$8:$Q$1000,'Raw RTF'!I$5,FALSE)</f>
        <v>0</v>
      </c>
      <c r="J69">
        <f>VLOOKUP($B69,'Raw RTF'!$B$8:$Q$1000,'Raw RTF'!J$5,FALSE)</f>
        <v>0</v>
      </c>
      <c r="K69">
        <f>VLOOKUP($B69,'Raw RTF'!$B$8:$Q$1000,'Raw RTF'!K$5,FALSE)</f>
        <v>0</v>
      </c>
      <c r="L69">
        <f>VLOOKUP($B69,'Raw RTF'!$B$8:$Q$1000,'Raw RTF'!L$5,FALSE)</f>
        <v>0</v>
      </c>
      <c r="M69">
        <f>VLOOKUP($B69,'Raw RTF'!$B$8:$Q$1000,'Raw RTF'!M$5,FALSE)</f>
        <v>0</v>
      </c>
      <c r="N69">
        <f>VLOOKUP($B69,'Raw RTF'!$B$8:$Q$1000,'Raw RTF'!N$5,FALSE)</f>
        <v>0</v>
      </c>
      <c r="O69">
        <f>VLOOKUP($B69,'Raw RTF'!$B$8:$Q$1000,'Raw RTF'!O$5,FALSE)</f>
        <v>0</v>
      </c>
      <c r="P69">
        <f>VLOOKUP($B69,'Raw RTF'!$B$8:$Q$1000,'Raw RTF'!P$5,FALSE)</f>
        <v>0</v>
      </c>
      <c r="Q69">
        <f>VLOOKUP($B69,'Raw RTF'!$B$8:$Q$1000,'Raw RTF'!Q$5,FALSE)</f>
        <v>0</v>
      </c>
    </row>
    <row r="70" spans="1:17" ht="25.5">
      <c r="A70" t="str">
        <f t="shared" si="2"/>
        <v>Multi Family Weatherization - Insulate Walls - R-0 to R-11 - Heating Zone 3 (Electric FAF Heating System)WALL R0 - R11</v>
      </c>
      <c r="B70" s="116" t="str">
        <f>'Raw RTF'!B160</f>
        <v>Multi Family Weatherization - Insulate Walls - R-0 to R-11 - Heating Zone 3 (Electric FAF Heating System)</v>
      </c>
      <c r="C70" s="116" t="s">
        <v>69</v>
      </c>
      <c r="D70">
        <f>VLOOKUP($B70,'Raw RTF'!$B$8:$Q$1000,'Raw RTF'!D$5,FALSE)</f>
        <v>2.1631987251147935</v>
      </c>
      <c r="E70">
        <f>VLOOKUP($B70,'Raw RTF'!$B$8:$Q$1000,'Raw RTF'!E$5,FALSE)</f>
        <v>45</v>
      </c>
      <c r="F70">
        <f>VLOOKUP($B70,'Raw RTF'!$B$8:$Q$1000,'Raw RTF'!F$5,FALSE)</f>
        <v>0.85033582942530117</v>
      </c>
      <c r="G70">
        <f>VLOOKUP($B70,'Raw RTF'!$B$8:$Q$1000,'Raw RTF'!G$5,FALSE)</f>
        <v>0</v>
      </c>
      <c r="H70" t="str">
        <f>VLOOKUP($B70,'Raw RTF'!$B$8:$Q$1000,'Raw RTF'!H$5,FALSE)</f>
        <v>ResSHWX</v>
      </c>
      <c r="I70">
        <f>VLOOKUP($B70,'Raw RTF'!$B$8:$Q$1000,'Raw RTF'!I$5,FALSE)</f>
        <v>0</v>
      </c>
      <c r="J70">
        <f>VLOOKUP($B70,'Raw RTF'!$B$8:$Q$1000,'Raw RTF'!J$5,FALSE)</f>
        <v>0</v>
      </c>
      <c r="K70">
        <f>VLOOKUP($B70,'Raw RTF'!$B$8:$Q$1000,'Raw RTF'!K$5,FALSE)</f>
        <v>0</v>
      </c>
      <c r="L70">
        <f>VLOOKUP($B70,'Raw RTF'!$B$8:$Q$1000,'Raw RTF'!L$5,FALSE)</f>
        <v>0</v>
      </c>
      <c r="M70">
        <f>VLOOKUP($B70,'Raw RTF'!$B$8:$Q$1000,'Raw RTF'!M$5,FALSE)</f>
        <v>0</v>
      </c>
      <c r="N70">
        <f>VLOOKUP($B70,'Raw RTF'!$B$8:$Q$1000,'Raw RTF'!N$5,FALSE)</f>
        <v>0</v>
      </c>
      <c r="O70">
        <f>VLOOKUP($B70,'Raw RTF'!$B$8:$Q$1000,'Raw RTF'!O$5,FALSE)</f>
        <v>0</v>
      </c>
      <c r="P70">
        <f>VLOOKUP($B70,'Raw RTF'!$B$8:$Q$1000,'Raw RTF'!P$5,FALSE)</f>
        <v>0</v>
      </c>
      <c r="Q70">
        <f>VLOOKUP($B70,'Raw RTF'!$B$8:$Q$1000,'Raw RTF'!Q$5,FALSE)</f>
        <v>0</v>
      </c>
    </row>
    <row r="71" spans="1:17" ht="25.5">
      <c r="A71" t="str">
        <f t="shared" si="2"/>
        <v>Multi Family Weatherization - Insulate Floors - R-0 to R-19 - Heating Zone 3 (Electric FAF Heating System)FLOOR R0 - R19</v>
      </c>
      <c r="B71" s="116" t="str">
        <f>'Raw RTF'!B161</f>
        <v>Multi Family Weatherization - Insulate Floors - R-0 to R-19 - Heating Zone 3 (Electric FAF Heating System)</v>
      </c>
      <c r="C71" s="116" t="s">
        <v>70</v>
      </c>
      <c r="D71">
        <f>VLOOKUP($B71,'Raw RTF'!$B$8:$Q$1000,'Raw RTF'!D$5,FALSE)</f>
        <v>0.82437550182887731</v>
      </c>
      <c r="E71">
        <f>VLOOKUP($B71,'Raw RTF'!$B$8:$Q$1000,'Raw RTF'!E$5,FALSE)</f>
        <v>45</v>
      </c>
      <c r="F71">
        <f>VLOOKUP($B71,'Raw RTF'!$B$8:$Q$1000,'Raw RTF'!F$5,FALSE)</f>
        <v>1.1190178820234826</v>
      </c>
      <c r="G71">
        <f>VLOOKUP($B71,'Raw RTF'!$B$8:$Q$1000,'Raw RTF'!G$5,FALSE)</f>
        <v>0</v>
      </c>
      <c r="H71" t="str">
        <f>VLOOKUP($B71,'Raw RTF'!$B$8:$Q$1000,'Raw RTF'!H$5,FALSE)</f>
        <v>ResSHWX</v>
      </c>
      <c r="I71">
        <f>VLOOKUP($B71,'Raw RTF'!$B$8:$Q$1000,'Raw RTF'!I$5,FALSE)</f>
        <v>0</v>
      </c>
      <c r="J71">
        <f>VLOOKUP($B71,'Raw RTF'!$B$8:$Q$1000,'Raw RTF'!J$5,FALSE)</f>
        <v>0</v>
      </c>
      <c r="K71">
        <f>VLOOKUP($B71,'Raw RTF'!$B$8:$Q$1000,'Raw RTF'!K$5,FALSE)</f>
        <v>0</v>
      </c>
      <c r="L71">
        <f>VLOOKUP($B71,'Raw RTF'!$B$8:$Q$1000,'Raw RTF'!L$5,FALSE)</f>
        <v>0</v>
      </c>
      <c r="M71">
        <f>VLOOKUP($B71,'Raw RTF'!$B$8:$Q$1000,'Raw RTF'!M$5,FALSE)</f>
        <v>0</v>
      </c>
      <c r="N71">
        <f>VLOOKUP($B71,'Raw RTF'!$B$8:$Q$1000,'Raw RTF'!N$5,FALSE)</f>
        <v>0</v>
      </c>
      <c r="O71">
        <f>VLOOKUP($B71,'Raw RTF'!$B$8:$Q$1000,'Raw RTF'!O$5,FALSE)</f>
        <v>0</v>
      </c>
      <c r="P71">
        <f>VLOOKUP($B71,'Raw RTF'!$B$8:$Q$1000,'Raw RTF'!P$5,FALSE)</f>
        <v>0</v>
      </c>
      <c r="Q71">
        <f>VLOOKUP($B71,'Raw RTF'!$B$8:$Q$1000,'Raw RTF'!Q$5,FALSE)</f>
        <v>0</v>
      </c>
    </row>
    <row r="72" spans="1:17" ht="25.5">
      <c r="A72" t="str">
        <f t="shared" si="2"/>
        <v>Multi Family Weatherization - Insulate Floors - R-0 to R-30 - Heating Zone 3 (Electric FAF Heating System)FLOOR R0 - R30</v>
      </c>
      <c r="B72" s="116" t="str">
        <f>'Raw RTF'!B162</f>
        <v>Multi Family Weatherization - Insulate Floors - R-0 to R-30 - Heating Zone 3 (Electric FAF Heating System)</v>
      </c>
      <c r="C72" s="116" t="s">
        <v>71</v>
      </c>
      <c r="D72">
        <f>VLOOKUP($B72,'Raw RTF'!$B$8:$Q$1000,'Raw RTF'!D$5,FALSE)</f>
        <v>1.0765310108930493</v>
      </c>
      <c r="E72">
        <f>VLOOKUP($B72,'Raw RTF'!$B$8:$Q$1000,'Raw RTF'!E$5,FALSE)</f>
        <v>45</v>
      </c>
      <c r="F72">
        <f>VLOOKUP($B72,'Raw RTF'!$B$8:$Q$1000,'Raw RTF'!F$5,FALSE)</f>
        <v>1.766870340037078</v>
      </c>
      <c r="G72">
        <f>VLOOKUP($B72,'Raw RTF'!$B$8:$Q$1000,'Raw RTF'!G$5,FALSE)</f>
        <v>0</v>
      </c>
      <c r="H72" t="str">
        <f>VLOOKUP($B72,'Raw RTF'!$B$8:$Q$1000,'Raw RTF'!H$5,FALSE)</f>
        <v>ResSHWX</v>
      </c>
      <c r="I72">
        <f>VLOOKUP($B72,'Raw RTF'!$B$8:$Q$1000,'Raw RTF'!I$5,FALSE)</f>
        <v>0</v>
      </c>
      <c r="J72">
        <f>VLOOKUP($B72,'Raw RTF'!$B$8:$Q$1000,'Raw RTF'!J$5,FALSE)</f>
        <v>0</v>
      </c>
      <c r="K72">
        <f>VLOOKUP($B72,'Raw RTF'!$B$8:$Q$1000,'Raw RTF'!K$5,FALSE)</f>
        <v>0</v>
      </c>
      <c r="L72">
        <f>VLOOKUP($B72,'Raw RTF'!$B$8:$Q$1000,'Raw RTF'!L$5,FALSE)</f>
        <v>0</v>
      </c>
      <c r="M72">
        <f>VLOOKUP($B72,'Raw RTF'!$B$8:$Q$1000,'Raw RTF'!M$5,FALSE)</f>
        <v>0</v>
      </c>
      <c r="N72">
        <f>VLOOKUP($B72,'Raw RTF'!$B$8:$Q$1000,'Raw RTF'!N$5,FALSE)</f>
        <v>0</v>
      </c>
      <c r="O72">
        <f>VLOOKUP($B72,'Raw RTF'!$B$8:$Q$1000,'Raw RTF'!O$5,FALSE)</f>
        <v>0</v>
      </c>
      <c r="P72">
        <f>VLOOKUP($B72,'Raw RTF'!$B$8:$Q$1000,'Raw RTF'!P$5,FALSE)</f>
        <v>0</v>
      </c>
      <c r="Q72">
        <f>VLOOKUP($B72,'Raw RTF'!$B$8:$Q$1000,'Raw RTF'!Q$5,FALSE)</f>
        <v>0</v>
      </c>
    </row>
    <row r="73" spans="1:17" ht="25.5">
      <c r="A73" t="str">
        <f t="shared" si="2"/>
        <v>Multi Family Weatherization - Insulate Attic - R-0 to R-19 - Heating Zone 3 (Electric FAF Heating System)ATTIC R0 - R19</v>
      </c>
      <c r="B73" s="116" t="str">
        <f>'Raw RTF'!B164</f>
        <v>Multi Family Weatherization - Insulate Attic - R-0 to R-19 - Heating Zone 3 (Electric FAF Heating System)</v>
      </c>
      <c r="C73" s="116" t="s">
        <v>1201</v>
      </c>
      <c r="D73">
        <f>VLOOKUP($B73,'Raw RTF'!$B$8:$Q$1000,'Raw RTF'!D$5,FALSE)</f>
        <v>0.43941515209318205</v>
      </c>
      <c r="E73">
        <f>VLOOKUP($B73,'Raw RTF'!$B$8:$Q$1000,'Raw RTF'!E$5,FALSE)</f>
        <v>45</v>
      </c>
      <c r="F73">
        <f>VLOOKUP($B73,'Raw RTF'!$B$8:$Q$1000,'Raw RTF'!F$5,FALSE)</f>
        <v>0.58749066649983317</v>
      </c>
      <c r="G73">
        <f>VLOOKUP($B73,'Raw RTF'!$B$8:$Q$1000,'Raw RTF'!G$5,FALSE)</f>
        <v>0</v>
      </c>
      <c r="H73" t="str">
        <f>VLOOKUP($B73,'Raw RTF'!$B$8:$Q$1000,'Raw RTF'!H$5,FALSE)</f>
        <v>ResSHWX</v>
      </c>
      <c r="I73">
        <f>VLOOKUP($B73,'Raw RTF'!$B$8:$Q$1000,'Raw RTF'!I$5,FALSE)</f>
        <v>0</v>
      </c>
      <c r="J73">
        <f>VLOOKUP($B73,'Raw RTF'!$B$8:$Q$1000,'Raw RTF'!J$5,FALSE)</f>
        <v>0</v>
      </c>
      <c r="K73">
        <f>VLOOKUP($B73,'Raw RTF'!$B$8:$Q$1000,'Raw RTF'!K$5,FALSE)</f>
        <v>0</v>
      </c>
      <c r="L73">
        <f>VLOOKUP($B73,'Raw RTF'!$B$8:$Q$1000,'Raw RTF'!L$5,FALSE)</f>
        <v>0</v>
      </c>
      <c r="M73">
        <f>VLOOKUP($B73,'Raw RTF'!$B$8:$Q$1000,'Raw RTF'!M$5,FALSE)</f>
        <v>0</v>
      </c>
      <c r="N73">
        <f>VLOOKUP($B73,'Raw RTF'!$B$8:$Q$1000,'Raw RTF'!N$5,FALSE)</f>
        <v>0</v>
      </c>
      <c r="O73">
        <f>VLOOKUP($B73,'Raw RTF'!$B$8:$Q$1000,'Raw RTF'!O$5,FALSE)</f>
        <v>0</v>
      </c>
      <c r="P73">
        <f>VLOOKUP($B73,'Raw RTF'!$B$8:$Q$1000,'Raw RTF'!P$5,FALSE)</f>
        <v>0</v>
      </c>
      <c r="Q73">
        <f>VLOOKUP($B73,'Raw RTF'!$B$8:$Q$1000,'Raw RTF'!Q$5,FALSE)</f>
        <v>0</v>
      </c>
    </row>
    <row r="74" spans="1:17" ht="25.5">
      <c r="A74" t="str">
        <f t="shared" si="2"/>
        <v>Multi Family Weatherization - Insulate Attic - R-0 to R-38 - Heating Zone 3 (Electric FAF Heating System)ATTIC R0 - R38</v>
      </c>
      <c r="B74" s="116" t="str">
        <f>'Raw RTF'!B165</f>
        <v>Multi Family Weatherization - Insulate Attic - R-0 to R-38 - Heating Zone 3 (Electric FAF Heating System)</v>
      </c>
      <c r="C74" s="116" t="s">
        <v>65</v>
      </c>
      <c r="D74">
        <f>VLOOKUP($B74,'Raw RTF'!$B$8:$Q$1000,'Raw RTF'!D$5,FALSE)</f>
        <v>0.59990572675681908</v>
      </c>
      <c r="E74">
        <f>VLOOKUP($B74,'Raw RTF'!$B$8:$Q$1000,'Raw RTF'!E$5,FALSE)</f>
        <v>45</v>
      </c>
      <c r="F74">
        <f>VLOOKUP($B74,'Raw RTF'!$B$8:$Q$1000,'Raw RTF'!F$5,FALSE)</f>
        <v>1.1749813329996663</v>
      </c>
      <c r="G74">
        <f>VLOOKUP($B74,'Raw RTF'!$B$8:$Q$1000,'Raw RTF'!G$5,FALSE)</f>
        <v>0</v>
      </c>
      <c r="H74" t="str">
        <f>VLOOKUP($B74,'Raw RTF'!$B$8:$Q$1000,'Raw RTF'!H$5,FALSE)</f>
        <v>ResSHWX</v>
      </c>
      <c r="I74">
        <f>VLOOKUP($B74,'Raw RTF'!$B$8:$Q$1000,'Raw RTF'!I$5,FALSE)</f>
        <v>0</v>
      </c>
      <c r="J74">
        <f>VLOOKUP($B74,'Raw RTF'!$B$8:$Q$1000,'Raw RTF'!J$5,FALSE)</f>
        <v>0</v>
      </c>
      <c r="K74">
        <f>VLOOKUP($B74,'Raw RTF'!$B$8:$Q$1000,'Raw RTF'!K$5,FALSE)</f>
        <v>0</v>
      </c>
      <c r="L74">
        <f>VLOOKUP($B74,'Raw RTF'!$B$8:$Q$1000,'Raw RTF'!L$5,FALSE)</f>
        <v>0</v>
      </c>
      <c r="M74">
        <f>VLOOKUP($B74,'Raw RTF'!$B$8:$Q$1000,'Raw RTF'!M$5,FALSE)</f>
        <v>0</v>
      </c>
      <c r="N74">
        <f>VLOOKUP($B74,'Raw RTF'!$B$8:$Q$1000,'Raw RTF'!N$5,FALSE)</f>
        <v>0</v>
      </c>
      <c r="O74">
        <f>VLOOKUP($B74,'Raw RTF'!$B$8:$Q$1000,'Raw RTF'!O$5,FALSE)</f>
        <v>0</v>
      </c>
      <c r="P74">
        <f>VLOOKUP($B74,'Raw RTF'!$B$8:$Q$1000,'Raw RTF'!P$5,FALSE)</f>
        <v>0</v>
      </c>
      <c r="Q74">
        <f>VLOOKUP($B74,'Raw RTF'!$B$8:$Q$1000,'Raw RTF'!Q$5,FALSE)</f>
        <v>0</v>
      </c>
    </row>
    <row r="75" spans="1:17" ht="25.5">
      <c r="A75" t="str">
        <f t="shared" si="2"/>
        <v>Multi Family Weatherization - Insulate Attic - R-0 to R-49 - Heating Zone 3 (Electric FAF Heating System)ATTIC R0 - R49</v>
      </c>
      <c r="B75" s="116" t="str">
        <f>'Raw RTF'!B166</f>
        <v>Multi Family Weatherization - Insulate Attic - R-0 to R-49 - Heating Zone 3 (Electric FAF Heating System)</v>
      </c>
      <c r="C75" s="116" t="s">
        <v>66</v>
      </c>
      <c r="D75">
        <f>VLOOKUP($B75,'Raw RTF'!$B$8:$Q$1000,'Raw RTF'!D$5,FALSE)</f>
        <v>0.63720868576363709</v>
      </c>
      <c r="E75">
        <f>VLOOKUP($B75,'Raw RTF'!$B$8:$Q$1000,'Raw RTF'!E$5,FALSE)</f>
        <v>45</v>
      </c>
      <c r="F75">
        <f>VLOOKUP($B75,'Raw RTF'!$B$8:$Q$1000,'Raw RTF'!F$5,FALSE)</f>
        <v>1.515107508341675</v>
      </c>
      <c r="G75">
        <f>VLOOKUP($B75,'Raw RTF'!$B$8:$Q$1000,'Raw RTF'!G$5,FALSE)</f>
        <v>0</v>
      </c>
      <c r="H75" t="str">
        <f>VLOOKUP($B75,'Raw RTF'!$B$8:$Q$1000,'Raw RTF'!H$5,FALSE)</f>
        <v>ResSHWX</v>
      </c>
      <c r="I75">
        <f>VLOOKUP($B75,'Raw RTF'!$B$8:$Q$1000,'Raw RTF'!I$5,FALSE)</f>
        <v>0</v>
      </c>
      <c r="J75">
        <f>VLOOKUP($B75,'Raw RTF'!$B$8:$Q$1000,'Raw RTF'!J$5,FALSE)</f>
        <v>0</v>
      </c>
      <c r="K75">
        <f>VLOOKUP($B75,'Raw RTF'!$B$8:$Q$1000,'Raw RTF'!K$5,FALSE)</f>
        <v>0</v>
      </c>
      <c r="L75">
        <f>VLOOKUP($B75,'Raw RTF'!$B$8:$Q$1000,'Raw RTF'!L$5,FALSE)</f>
        <v>0</v>
      </c>
      <c r="M75">
        <f>VLOOKUP($B75,'Raw RTF'!$B$8:$Q$1000,'Raw RTF'!M$5,FALSE)</f>
        <v>0</v>
      </c>
      <c r="N75">
        <f>VLOOKUP($B75,'Raw RTF'!$B$8:$Q$1000,'Raw RTF'!N$5,FALSE)</f>
        <v>0</v>
      </c>
      <c r="O75">
        <f>VLOOKUP($B75,'Raw RTF'!$B$8:$Q$1000,'Raw RTF'!O$5,FALSE)</f>
        <v>0</v>
      </c>
      <c r="P75">
        <f>VLOOKUP($B75,'Raw RTF'!$B$8:$Q$1000,'Raw RTF'!P$5,FALSE)</f>
        <v>0</v>
      </c>
      <c r="Q75">
        <f>VLOOKUP($B75,'Raw RTF'!$B$8:$Q$1000,'Raw RTF'!Q$5,FALSE)</f>
        <v>0</v>
      </c>
    </row>
    <row r="76" spans="1:17" ht="25.5">
      <c r="A76" t="str">
        <f t="shared" si="2"/>
        <v>Multi Family Weatherization - Insulate Attic - R-19 to R-30 - Heating Zone 3 (Electric FAF Heating System)ATTIC R19 - R30</v>
      </c>
      <c r="B76" s="116" t="str">
        <f>'Raw RTF'!B170</f>
        <v>Multi Family Weatherization - Insulate Attic - R-19 to R-30 - Heating Zone 3 (Electric FAF Heating System)</v>
      </c>
      <c r="C76" s="116" t="s">
        <v>1202</v>
      </c>
      <c r="D76">
        <f>VLOOKUP($B76,'Raw RTF'!$B$8:$Q$1000,'Raw RTF'!D$5,FALSE)</f>
        <v>0.11624279014318187</v>
      </c>
      <c r="E76">
        <f>VLOOKUP($B76,'Raw RTF'!$B$8:$Q$1000,'Raw RTF'!E$5,FALSE)</f>
        <v>45</v>
      </c>
      <c r="F76">
        <f>VLOOKUP($B76,'Raw RTF'!$B$8:$Q$1000,'Raw RTF'!F$5,FALSE)</f>
        <v>0.34012617534200867</v>
      </c>
      <c r="G76">
        <f>VLOOKUP($B76,'Raw RTF'!$B$8:$Q$1000,'Raw RTF'!G$5,FALSE)</f>
        <v>0</v>
      </c>
      <c r="H76" t="str">
        <f>VLOOKUP($B76,'Raw RTF'!$B$8:$Q$1000,'Raw RTF'!H$5,FALSE)</f>
        <v>ResSHWX</v>
      </c>
      <c r="I76">
        <f>VLOOKUP($B76,'Raw RTF'!$B$8:$Q$1000,'Raw RTF'!I$5,FALSE)</f>
        <v>0</v>
      </c>
      <c r="J76">
        <f>VLOOKUP($B76,'Raw RTF'!$B$8:$Q$1000,'Raw RTF'!J$5,FALSE)</f>
        <v>0</v>
      </c>
      <c r="K76">
        <f>VLOOKUP($B76,'Raw RTF'!$B$8:$Q$1000,'Raw RTF'!K$5,FALSE)</f>
        <v>0</v>
      </c>
      <c r="L76">
        <f>VLOOKUP($B76,'Raw RTF'!$B$8:$Q$1000,'Raw RTF'!L$5,FALSE)</f>
        <v>0</v>
      </c>
      <c r="M76">
        <f>VLOOKUP($B76,'Raw RTF'!$B$8:$Q$1000,'Raw RTF'!M$5,FALSE)</f>
        <v>0</v>
      </c>
      <c r="N76">
        <f>VLOOKUP($B76,'Raw RTF'!$B$8:$Q$1000,'Raw RTF'!N$5,FALSE)</f>
        <v>0</v>
      </c>
      <c r="O76">
        <f>VLOOKUP($B76,'Raw RTF'!$B$8:$Q$1000,'Raw RTF'!O$5,FALSE)</f>
        <v>0</v>
      </c>
      <c r="P76">
        <f>VLOOKUP($B76,'Raw RTF'!$B$8:$Q$1000,'Raw RTF'!P$5,FALSE)</f>
        <v>0</v>
      </c>
      <c r="Q76">
        <f>VLOOKUP($B76,'Raw RTF'!$B$8:$Q$1000,'Raw RTF'!Q$5,FALSE)</f>
        <v>0</v>
      </c>
    </row>
    <row r="77" spans="1:17" ht="25.5">
      <c r="A77" t="str">
        <f t="shared" si="2"/>
        <v>Multi Family Weatherization - Insulate Attic - R-19 to R-38 - Heating Zone 3 (Electric FAF Heating System)ATTIC R19 - R38</v>
      </c>
      <c r="B77" s="116" t="str">
        <f>'Raw RTF'!B171</f>
        <v>Multi Family Weatherization - Insulate Attic - R-19 to R-38 - Heating Zone 3 (Electric FAF Heating System)</v>
      </c>
      <c r="C77" s="116" t="s">
        <v>67</v>
      </c>
      <c r="D77">
        <f>VLOOKUP($B77,'Raw RTF'!$B$8:$Q$1000,'Raw RTF'!D$5,FALSE)</f>
        <v>0.16049057466363709</v>
      </c>
      <c r="E77">
        <f>VLOOKUP($B77,'Raw RTF'!$B$8:$Q$1000,'Raw RTF'!E$5,FALSE)</f>
        <v>45</v>
      </c>
      <c r="F77">
        <f>VLOOKUP($B77,'Raw RTF'!$B$8:$Q$1000,'Raw RTF'!F$5,FALSE)</f>
        <v>0.58749066649983317</v>
      </c>
      <c r="G77">
        <f>VLOOKUP($B77,'Raw RTF'!$B$8:$Q$1000,'Raw RTF'!G$5,FALSE)</f>
        <v>0</v>
      </c>
      <c r="H77" t="str">
        <f>VLOOKUP($B77,'Raw RTF'!$B$8:$Q$1000,'Raw RTF'!H$5,FALSE)</f>
        <v>ResSHWX</v>
      </c>
      <c r="I77">
        <f>VLOOKUP($B77,'Raw RTF'!$B$8:$Q$1000,'Raw RTF'!I$5,FALSE)</f>
        <v>0</v>
      </c>
      <c r="J77">
        <f>VLOOKUP($B77,'Raw RTF'!$B$8:$Q$1000,'Raw RTF'!J$5,FALSE)</f>
        <v>0</v>
      </c>
      <c r="K77">
        <f>VLOOKUP($B77,'Raw RTF'!$B$8:$Q$1000,'Raw RTF'!K$5,FALSE)</f>
        <v>0</v>
      </c>
      <c r="L77">
        <f>VLOOKUP($B77,'Raw RTF'!$B$8:$Q$1000,'Raw RTF'!L$5,FALSE)</f>
        <v>0</v>
      </c>
      <c r="M77">
        <f>VLOOKUP($B77,'Raw RTF'!$B$8:$Q$1000,'Raw RTF'!M$5,FALSE)</f>
        <v>0</v>
      </c>
      <c r="N77">
        <f>VLOOKUP($B77,'Raw RTF'!$B$8:$Q$1000,'Raw RTF'!N$5,FALSE)</f>
        <v>0</v>
      </c>
      <c r="O77">
        <f>VLOOKUP($B77,'Raw RTF'!$B$8:$Q$1000,'Raw RTF'!O$5,FALSE)</f>
        <v>0</v>
      </c>
      <c r="P77">
        <f>VLOOKUP($B77,'Raw RTF'!$B$8:$Q$1000,'Raw RTF'!P$5,FALSE)</f>
        <v>0</v>
      </c>
      <c r="Q77">
        <f>VLOOKUP($B77,'Raw RTF'!$B$8:$Q$1000,'Raw RTF'!Q$5,FALSE)</f>
        <v>0</v>
      </c>
    </row>
    <row r="78" spans="1:17" ht="25.5">
      <c r="A78" t="str">
        <f t="shared" si="2"/>
        <v>Multi Family Weatherization - Insulate Attic - R-19 to R-49 - Heating Zone 3 (Electric FAF Heating System)ATTIC R19 - R49</v>
      </c>
      <c r="B78" s="116" t="str">
        <f>'Raw RTF'!B172</f>
        <v>Multi Family Weatherization - Insulate Attic - R-19 to R-49 - Heating Zone 3 (Electric FAF Heating System)</v>
      </c>
      <c r="C78" s="116" t="s">
        <v>68</v>
      </c>
      <c r="D78">
        <f>VLOOKUP($B78,'Raw RTF'!$B$8:$Q$1000,'Raw RTF'!D$5,FALSE)</f>
        <v>0.1977935336704551</v>
      </c>
      <c r="E78">
        <f>VLOOKUP($B78,'Raw RTF'!$B$8:$Q$1000,'Raw RTF'!E$5,FALSE)</f>
        <v>45</v>
      </c>
      <c r="F78">
        <f>VLOOKUP($B78,'Raw RTF'!$B$8:$Q$1000,'Raw RTF'!F$5,FALSE)</f>
        <v>0.9276168418418419</v>
      </c>
      <c r="G78">
        <f>VLOOKUP($B78,'Raw RTF'!$B$8:$Q$1000,'Raw RTF'!G$5,FALSE)</f>
        <v>0</v>
      </c>
      <c r="H78" t="str">
        <f>VLOOKUP($B78,'Raw RTF'!$B$8:$Q$1000,'Raw RTF'!H$5,FALSE)</f>
        <v>ResSHWX</v>
      </c>
      <c r="I78">
        <f>VLOOKUP($B78,'Raw RTF'!$B$8:$Q$1000,'Raw RTF'!I$5,FALSE)</f>
        <v>0</v>
      </c>
      <c r="J78">
        <f>VLOOKUP($B78,'Raw RTF'!$B$8:$Q$1000,'Raw RTF'!J$5,FALSE)</f>
        <v>0</v>
      </c>
      <c r="K78">
        <f>VLOOKUP($B78,'Raw RTF'!$B$8:$Q$1000,'Raw RTF'!K$5,FALSE)</f>
        <v>0</v>
      </c>
      <c r="L78">
        <f>VLOOKUP($B78,'Raw RTF'!$B$8:$Q$1000,'Raw RTF'!L$5,FALSE)</f>
        <v>0</v>
      </c>
      <c r="M78">
        <f>VLOOKUP($B78,'Raw RTF'!$B$8:$Q$1000,'Raw RTF'!M$5,FALSE)</f>
        <v>0</v>
      </c>
      <c r="N78">
        <f>VLOOKUP($B78,'Raw RTF'!$B$8:$Q$1000,'Raw RTF'!N$5,FALSE)</f>
        <v>0</v>
      </c>
      <c r="O78">
        <f>VLOOKUP($B78,'Raw RTF'!$B$8:$Q$1000,'Raw RTF'!O$5,FALSE)</f>
        <v>0</v>
      </c>
      <c r="P78">
        <f>VLOOKUP($B78,'Raw RTF'!$B$8:$Q$1000,'Raw RTF'!P$5,FALSE)</f>
        <v>0</v>
      </c>
      <c r="Q78">
        <f>VLOOKUP($B78,'Raw RTF'!$B$8:$Q$1000,'Raw RTF'!Q$5,FALSE)</f>
        <v>0</v>
      </c>
    </row>
    <row r="79" spans="1:17" ht="38.25">
      <c r="A79" t="str">
        <f t="shared" si="2"/>
        <v>Windows - Single Pane to Class 22 - Heating Zone 3 (Electric FAF Heating System)WINDOW CL22 Prime Window Replacement of Single Pane Base</v>
      </c>
      <c r="B79" s="116" t="str">
        <f>'Raw RTF'!B173</f>
        <v>Windows - Single Pane to Class 22 - Heating Zone 3 (Electric FAF Heating System)</v>
      </c>
      <c r="C79" s="116" t="s">
        <v>74</v>
      </c>
      <c r="D79">
        <f>VLOOKUP($B79,'Raw RTF'!$B$8:$Q$1000,'Raw RTF'!D$5,FALSE)</f>
        <v>39.377109278117715</v>
      </c>
      <c r="E79">
        <f>VLOOKUP($B79,'Raw RTF'!$B$8:$Q$1000,'Raw RTF'!E$5,FALSE)</f>
        <v>45</v>
      </c>
      <c r="F79">
        <f>VLOOKUP($B79,'Raw RTF'!$B$8:$Q$1000,'Raw RTF'!F$5,FALSE)</f>
        <v>23.573200327964955</v>
      </c>
      <c r="G79">
        <f>VLOOKUP($B79,'Raw RTF'!$B$8:$Q$1000,'Raw RTF'!G$5,FALSE)</f>
        <v>0</v>
      </c>
      <c r="H79" t="str">
        <f>VLOOKUP($B79,'Raw RTF'!$B$8:$Q$1000,'Raw RTF'!H$5,FALSE)</f>
        <v>ResSHWX</v>
      </c>
      <c r="I79">
        <f>VLOOKUP($B79,'Raw RTF'!$B$8:$Q$1000,'Raw RTF'!I$5,FALSE)</f>
        <v>0</v>
      </c>
      <c r="J79">
        <f>VLOOKUP($B79,'Raw RTF'!$B$8:$Q$1000,'Raw RTF'!J$5,FALSE)</f>
        <v>0</v>
      </c>
      <c r="K79">
        <f>VLOOKUP($B79,'Raw RTF'!$B$8:$Q$1000,'Raw RTF'!K$5,FALSE)</f>
        <v>0</v>
      </c>
      <c r="L79">
        <f>VLOOKUP($B79,'Raw RTF'!$B$8:$Q$1000,'Raw RTF'!L$5,FALSE)</f>
        <v>0</v>
      </c>
      <c r="M79">
        <f>VLOOKUP($B79,'Raw RTF'!$B$8:$Q$1000,'Raw RTF'!M$5,FALSE)</f>
        <v>0</v>
      </c>
      <c r="N79">
        <f>VLOOKUP($B79,'Raw RTF'!$B$8:$Q$1000,'Raw RTF'!N$5,FALSE)</f>
        <v>0</v>
      </c>
      <c r="O79">
        <f>VLOOKUP($B79,'Raw RTF'!$B$8:$Q$1000,'Raw RTF'!O$5,FALSE)</f>
        <v>0</v>
      </c>
      <c r="P79">
        <f>VLOOKUP($B79,'Raw RTF'!$B$8:$Q$1000,'Raw RTF'!P$5,FALSE)</f>
        <v>0</v>
      </c>
      <c r="Q79">
        <f>VLOOKUP($B79,'Raw RTF'!$B$8:$Q$1000,'Raw RTF'!Q$5,FALSE)</f>
        <v>0</v>
      </c>
    </row>
    <row r="80" spans="1:17" ht="38.25">
      <c r="A80" t="str">
        <f t="shared" si="2"/>
        <v>Windows - Double Pane to Class 22 - Heating Zone 3 (Electric FAF Heating System)WINDOW CL22 Prime Window Replacement of Double Pane Base</v>
      </c>
      <c r="B80" s="116" t="str">
        <f>'Raw RTF'!B174</f>
        <v>Windows - Double Pane to Class 22 - Heating Zone 3 (Electric FAF Heating System)</v>
      </c>
      <c r="C80" s="116" t="s">
        <v>75</v>
      </c>
      <c r="D80">
        <f>VLOOKUP($B80,'Raw RTF'!$B$8:$Q$1000,'Raw RTF'!D$5,FALSE)</f>
        <v>23.769003469110334</v>
      </c>
      <c r="E80">
        <f>VLOOKUP($B80,'Raw RTF'!$B$8:$Q$1000,'Raw RTF'!E$5,FALSE)</f>
        <v>45</v>
      </c>
      <c r="F80">
        <f>VLOOKUP($B80,'Raw RTF'!$B$8:$Q$1000,'Raw RTF'!F$5,FALSE)</f>
        <v>23.573200327964955</v>
      </c>
      <c r="G80">
        <f>VLOOKUP($B80,'Raw RTF'!$B$8:$Q$1000,'Raw RTF'!G$5,FALSE)</f>
        <v>0</v>
      </c>
      <c r="H80" t="str">
        <f>VLOOKUP($B80,'Raw RTF'!$B$8:$Q$1000,'Raw RTF'!H$5,FALSE)</f>
        <v>ResSHWX</v>
      </c>
      <c r="I80">
        <f>VLOOKUP($B80,'Raw RTF'!$B$8:$Q$1000,'Raw RTF'!I$5,FALSE)</f>
        <v>0</v>
      </c>
      <c r="J80">
        <f>VLOOKUP($B80,'Raw RTF'!$B$8:$Q$1000,'Raw RTF'!J$5,FALSE)</f>
        <v>0</v>
      </c>
      <c r="K80">
        <f>VLOOKUP($B80,'Raw RTF'!$B$8:$Q$1000,'Raw RTF'!K$5,FALSE)</f>
        <v>0</v>
      </c>
      <c r="L80">
        <f>VLOOKUP($B80,'Raw RTF'!$B$8:$Q$1000,'Raw RTF'!L$5,FALSE)</f>
        <v>0</v>
      </c>
      <c r="M80">
        <f>VLOOKUP($B80,'Raw RTF'!$B$8:$Q$1000,'Raw RTF'!M$5,FALSE)</f>
        <v>0</v>
      </c>
      <c r="N80">
        <f>VLOOKUP($B80,'Raw RTF'!$B$8:$Q$1000,'Raw RTF'!N$5,FALSE)</f>
        <v>0</v>
      </c>
      <c r="O80">
        <f>VLOOKUP($B80,'Raw RTF'!$B$8:$Q$1000,'Raw RTF'!O$5,FALSE)</f>
        <v>0</v>
      </c>
      <c r="P80">
        <f>VLOOKUP($B80,'Raw RTF'!$B$8:$Q$1000,'Raw RTF'!P$5,FALSE)</f>
        <v>0</v>
      </c>
      <c r="Q80">
        <f>VLOOKUP($B80,'Raw RTF'!$B$8:$Q$1000,'Raw RTF'!Q$5,FALSE)</f>
        <v>0</v>
      </c>
    </row>
    <row r="81" spans="1:17" ht="38.25">
      <c r="A81" t="str">
        <f t="shared" si="2"/>
        <v>Windows - Single Pane to Class 30 - Heating Zone 3 (Electric FAF Heating System)WINDOW CL30 Prime Window Replacement of Single Pane Base</v>
      </c>
      <c r="B81" s="116" t="str">
        <f>'Raw RTF'!B175</f>
        <v>Windows - Single Pane to Class 30 - Heating Zone 3 (Electric FAF Heating System)</v>
      </c>
      <c r="C81" s="116" t="s">
        <v>72</v>
      </c>
      <c r="D81">
        <f>VLOOKUP($B81,'Raw RTF'!$B$8:$Q$1000,'Raw RTF'!D$5,FALSE)</f>
        <v>36.103945684943668</v>
      </c>
      <c r="E81">
        <f>VLOOKUP($B81,'Raw RTF'!$B$8:$Q$1000,'Raw RTF'!E$5,FALSE)</f>
        <v>45</v>
      </c>
      <c r="F81">
        <f>VLOOKUP($B81,'Raw RTF'!$B$8:$Q$1000,'Raw RTF'!F$5,FALSE)</f>
        <v>22.213200327964955</v>
      </c>
      <c r="G81">
        <f>VLOOKUP($B81,'Raw RTF'!$B$8:$Q$1000,'Raw RTF'!G$5,FALSE)</f>
        <v>0</v>
      </c>
      <c r="H81" t="str">
        <f>VLOOKUP($B81,'Raw RTF'!$B$8:$Q$1000,'Raw RTF'!H$5,FALSE)</f>
        <v>ResSHWX</v>
      </c>
      <c r="I81">
        <f>VLOOKUP($B81,'Raw RTF'!$B$8:$Q$1000,'Raw RTF'!I$5,FALSE)</f>
        <v>0</v>
      </c>
      <c r="J81">
        <f>VLOOKUP($B81,'Raw RTF'!$B$8:$Q$1000,'Raw RTF'!J$5,FALSE)</f>
        <v>0</v>
      </c>
      <c r="K81">
        <f>VLOOKUP($B81,'Raw RTF'!$B$8:$Q$1000,'Raw RTF'!K$5,FALSE)</f>
        <v>0</v>
      </c>
      <c r="L81">
        <f>VLOOKUP($B81,'Raw RTF'!$B$8:$Q$1000,'Raw RTF'!L$5,FALSE)</f>
        <v>0</v>
      </c>
      <c r="M81">
        <f>VLOOKUP($B81,'Raw RTF'!$B$8:$Q$1000,'Raw RTF'!M$5,FALSE)</f>
        <v>0</v>
      </c>
      <c r="N81">
        <f>VLOOKUP($B81,'Raw RTF'!$B$8:$Q$1000,'Raw RTF'!N$5,FALSE)</f>
        <v>0</v>
      </c>
      <c r="O81">
        <f>VLOOKUP($B81,'Raw RTF'!$B$8:$Q$1000,'Raw RTF'!O$5,FALSE)</f>
        <v>0</v>
      </c>
      <c r="P81">
        <f>VLOOKUP($B81,'Raw RTF'!$B$8:$Q$1000,'Raw RTF'!P$5,FALSE)</f>
        <v>0</v>
      </c>
      <c r="Q81">
        <f>VLOOKUP($B81,'Raw RTF'!$B$8:$Q$1000,'Raw RTF'!Q$5,FALSE)</f>
        <v>0</v>
      </c>
    </row>
    <row r="82" spans="1:17" ht="38.25">
      <c r="A82" t="str">
        <f t="shared" si="2"/>
        <v>Windows - Double Pane to Class 30 - Heating Zone 3 (Electric FAF Heating System)WINDOW CL30 Prime Window Replacement of Double Pane Base</v>
      </c>
      <c r="B82" s="116" t="str">
        <f>'Raw RTF'!B176</f>
        <v>Windows - Double Pane to Class 30 - Heating Zone 3 (Electric FAF Heating System)</v>
      </c>
      <c r="C82" s="116" t="s">
        <v>73</v>
      </c>
      <c r="D82">
        <f>VLOOKUP($B82,'Raw RTF'!$B$8:$Q$1000,'Raw RTF'!D$5,FALSE)</f>
        <v>20.495839875936287</v>
      </c>
      <c r="E82">
        <f>VLOOKUP($B82,'Raw RTF'!$B$8:$Q$1000,'Raw RTF'!E$5,FALSE)</f>
        <v>45</v>
      </c>
      <c r="F82">
        <f>VLOOKUP($B82,'Raw RTF'!$B$8:$Q$1000,'Raw RTF'!F$5,FALSE)</f>
        <v>22.213200327964955</v>
      </c>
      <c r="G82">
        <f>VLOOKUP($B82,'Raw RTF'!$B$8:$Q$1000,'Raw RTF'!G$5,FALSE)</f>
        <v>0</v>
      </c>
      <c r="H82" t="str">
        <f>VLOOKUP($B82,'Raw RTF'!$B$8:$Q$1000,'Raw RTF'!H$5,FALSE)</f>
        <v>ResSHWX</v>
      </c>
      <c r="I82">
        <f>VLOOKUP($B82,'Raw RTF'!$B$8:$Q$1000,'Raw RTF'!I$5,FALSE)</f>
        <v>0</v>
      </c>
      <c r="J82">
        <f>VLOOKUP($B82,'Raw RTF'!$B$8:$Q$1000,'Raw RTF'!J$5,FALSE)</f>
        <v>0</v>
      </c>
      <c r="K82">
        <f>VLOOKUP($B82,'Raw RTF'!$B$8:$Q$1000,'Raw RTF'!K$5,FALSE)</f>
        <v>0</v>
      </c>
      <c r="L82">
        <f>VLOOKUP($B82,'Raw RTF'!$B$8:$Q$1000,'Raw RTF'!L$5,FALSE)</f>
        <v>0</v>
      </c>
      <c r="M82">
        <f>VLOOKUP($B82,'Raw RTF'!$B$8:$Q$1000,'Raw RTF'!M$5,FALSE)</f>
        <v>0</v>
      </c>
      <c r="N82">
        <f>VLOOKUP($B82,'Raw RTF'!$B$8:$Q$1000,'Raw RTF'!N$5,FALSE)</f>
        <v>0</v>
      </c>
      <c r="O82">
        <f>VLOOKUP($B82,'Raw RTF'!$B$8:$Q$1000,'Raw RTF'!O$5,FALSE)</f>
        <v>0</v>
      </c>
      <c r="P82">
        <f>VLOOKUP($B82,'Raw RTF'!$B$8:$Q$1000,'Raw RTF'!P$5,FALSE)</f>
        <v>0</v>
      </c>
      <c r="Q82">
        <f>VLOOKUP($B82,'Raw RTF'!$B$8:$Q$1000,'Raw RTF'!Q$5,FALSE)</f>
        <v>0</v>
      </c>
    </row>
    <row r="83" spans="1:17" ht="25.5">
      <c r="A83" t="str">
        <f t="shared" si="2"/>
        <v>Multi Family Weatherization - Insulate Walls - R-0 to R-11 - Heating Zone 1 (Heat Pump Heating System)WALL R0 - R11</v>
      </c>
      <c r="B83" s="116" t="str">
        <f>'Raw RTF'!B179</f>
        <v>Multi Family Weatherization - Insulate Walls - R-0 to R-11 - Heating Zone 1 (Heat Pump Heating System)</v>
      </c>
      <c r="C83" s="116" t="s">
        <v>69</v>
      </c>
      <c r="D83">
        <f>VLOOKUP($B83,'Raw RTF'!$B$8:$Q$1000,'Raw RTF'!D$5,FALSE)</f>
        <v>0.56704099465606805</v>
      </c>
      <c r="E83">
        <f>VLOOKUP($B83,'Raw RTF'!$B$8:$Q$1000,'Raw RTF'!E$5,FALSE)</f>
        <v>45</v>
      </c>
      <c r="F83">
        <f>VLOOKUP($B83,'Raw RTF'!$B$8:$Q$1000,'Raw RTF'!F$5,FALSE)</f>
        <v>0.85033582942530117</v>
      </c>
      <c r="G83">
        <f>VLOOKUP($B83,'Raw RTF'!$B$8:$Q$1000,'Raw RTF'!G$5,FALSE)</f>
        <v>0</v>
      </c>
      <c r="H83" t="str">
        <f>VLOOKUP($B83,'Raw RTF'!$B$8:$Q$1000,'Raw RTF'!H$5,FALSE)</f>
        <v>ResSHWX</v>
      </c>
      <c r="I83">
        <f>VLOOKUP($B83,'Raw RTF'!$B$8:$Q$1000,'Raw RTF'!I$5,FALSE)</f>
        <v>0</v>
      </c>
      <c r="J83">
        <f>VLOOKUP($B83,'Raw RTF'!$B$8:$Q$1000,'Raw RTF'!J$5,FALSE)</f>
        <v>0</v>
      </c>
      <c r="K83">
        <f>VLOOKUP($B83,'Raw RTF'!$B$8:$Q$1000,'Raw RTF'!K$5,FALSE)</f>
        <v>0</v>
      </c>
      <c r="L83">
        <f>VLOOKUP($B83,'Raw RTF'!$B$8:$Q$1000,'Raw RTF'!L$5,FALSE)</f>
        <v>0</v>
      </c>
      <c r="M83">
        <f>VLOOKUP($B83,'Raw RTF'!$B$8:$Q$1000,'Raw RTF'!M$5,FALSE)</f>
        <v>0</v>
      </c>
      <c r="N83">
        <f>VLOOKUP($B83,'Raw RTF'!$B$8:$Q$1000,'Raw RTF'!N$5,FALSE)</f>
        <v>0</v>
      </c>
      <c r="O83">
        <f>VLOOKUP($B83,'Raw RTF'!$B$8:$Q$1000,'Raw RTF'!O$5,FALSE)</f>
        <v>0</v>
      </c>
      <c r="P83">
        <f>VLOOKUP($B83,'Raw RTF'!$B$8:$Q$1000,'Raw RTF'!P$5,FALSE)</f>
        <v>0</v>
      </c>
      <c r="Q83">
        <f>VLOOKUP($B83,'Raw RTF'!$B$8:$Q$1000,'Raw RTF'!Q$5,FALSE)</f>
        <v>0</v>
      </c>
    </row>
    <row r="84" spans="1:17" ht="25.5">
      <c r="A84" t="str">
        <f t="shared" si="2"/>
        <v>Multi Family Weatherization - Insulate Floors - R-0 to R-19 - Heating Zone 1 (Heat Pump Heating System)FLOOR R0 - R19</v>
      </c>
      <c r="B84" s="116" t="str">
        <f>'Raw RTF'!B180</f>
        <v>Multi Family Weatherization - Insulate Floors - R-0 to R-19 - Heating Zone 1 (Heat Pump Heating System)</v>
      </c>
      <c r="C84" s="116" t="s">
        <v>70</v>
      </c>
      <c r="D84">
        <f>VLOOKUP($B84,'Raw RTF'!$B$8:$Q$1000,'Raw RTF'!D$5,FALSE)</f>
        <v>0.14831121359689345</v>
      </c>
      <c r="E84">
        <f>VLOOKUP($B84,'Raw RTF'!$B$8:$Q$1000,'Raw RTF'!E$5,FALSE)</f>
        <v>45</v>
      </c>
      <c r="F84">
        <f>VLOOKUP($B84,'Raw RTF'!$B$8:$Q$1000,'Raw RTF'!F$5,FALSE)</f>
        <v>1.1190178820234826</v>
      </c>
      <c r="G84">
        <f>VLOOKUP($B84,'Raw RTF'!$B$8:$Q$1000,'Raw RTF'!G$5,FALSE)</f>
        <v>0</v>
      </c>
      <c r="H84" t="str">
        <f>VLOOKUP($B84,'Raw RTF'!$B$8:$Q$1000,'Raw RTF'!H$5,FALSE)</f>
        <v>ResSHWX</v>
      </c>
      <c r="I84">
        <f>VLOOKUP($B84,'Raw RTF'!$B$8:$Q$1000,'Raw RTF'!I$5,FALSE)</f>
        <v>0</v>
      </c>
      <c r="J84">
        <f>VLOOKUP($B84,'Raw RTF'!$B$8:$Q$1000,'Raw RTF'!J$5,FALSE)</f>
        <v>0</v>
      </c>
      <c r="K84">
        <f>VLOOKUP($B84,'Raw RTF'!$B$8:$Q$1000,'Raw RTF'!K$5,FALSE)</f>
        <v>0</v>
      </c>
      <c r="L84">
        <f>VLOOKUP($B84,'Raw RTF'!$B$8:$Q$1000,'Raw RTF'!L$5,FALSE)</f>
        <v>0</v>
      </c>
      <c r="M84">
        <f>VLOOKUP($B84,'Raw RTF'!$B$8:$Q$1000,'Raw RTF'!M$5,FALSE)</f>
        <v>0</v>
      </c>
      <c r="N84">
        <f>VLOOKUP($B84,'Raw RTF'!$B$8:$Q$1000,'Raw RTF'!N$5,FALSE)</f>
        <v>0</v>
      </c>
      <c r="O84">
        <f>VLOOKUP($B84,'Raw RTF'!$B$8:$Q$1000,'Raw RTF'!O$5,FALSE)</f>
        <v>0</v>
      </c>
      <c r="P84">
        <f>VLOOKUP($B84,'Raw RTF'!$B$8:$Q$1000,'Raw RTF'!P$5,FALSE)</f>
        <v>0</v>
      </c>
      <c r="Q84">
        <f>VLOOKUP($B84,'Raw RTF'!$B$8:$Q$1000,'Raw RTF'!Q$5,FALSE)</f>
        <v>0</v>
      </c>
    </row>
    <row r="85" spans="1:17" ht="25.5">
      <c r="A85" t="str">
        <f t="shared" si="2"/>
        <v>Multi Family Weatherization - Insulate Floors - R-0 to R-30 - Heating Zone 1 (Heat Pump Heating System)FLOOR R0 - R30</v>
      </c>
      <c r="B85" s="116" t="str">
        <f>'Raw RTF'!B181</f>
        <v>Multi Family Weatherization - Insulate Floors - R-0 to R-30 - Heating Zone 1 (Heat Pump Heating System)</v>
      </c>
      <c r="C85" s="116" t="s">
        <v>71</v>
      </c>
      <c r="D85">
        <f>VLOOKUP($B85,'Raw RTF'!$B$8:$Q$1000,'Raw RTF'!D$5,FALSE)</f>
        <v>0.19106876188479843</v>
      </c>
      <c r="E85">
        <f>VLOOKUP($B85,'Raw RTF'!$B$8:$Q$1000,'Raw RTF'!E$5,FALSE)</f>
        <v>45</v>
      </c>
      <c r="F85">
        <f>VLOOKUP($B85,'Raw RTF'!$B$8:$Q$1000,'Raw RTF'!F$5,FALSE)</f>
        <v>1.766870340037078</v>
      </c>
      <c r="G85">
        <f>VLOOKUP($B85,'Raw RTF'!$B$8:$Q$1000,'Raw RTF'!G$5,FALSE)</f>
        <v>0</v>
      </c>
      <c r="H85" t="str">
        <f>VLOOKUP($B85,'Raw RTF'!$B$8:$Q$1000,'Raw RTF'!H$5,FALSE)</f>
        <v>ResSHWX</v>
      </c>
      <c r="I85">
        <f>VLOOKUP($B85,'Raw RTF'!$B$8:$Q$1000,'Raw RTF'!I$5,FALSE)</f>
        <v>0</v>
      </c>
      <c r="J85">
        <f>VLOOKUP($B85,'Raw RTF'!$B$8:$Q$1000,'Raw RTF'!J$5,FALSE)</f>
        <v>0</v>
      </c>
      <c r="K85">
        <f>VLOOKUP($B85,'Raw RTF'!$B$8:$Q$1000,'Raw RTF'!K$5,FALSE)</f>
        <v>0</v>
      </c>
      <c r="L85">
        <f>VLOOKUP($B85,'Raw RTF'!$B$8:$Q$1000,'Raw RTF'!L$5,FALSE)</f>
        <v>0</v>
      </c>
      <c r="M85">
        <f>VLOOKUP($B85,'Raw RTF'!$B$8:$Q$1000,'Raw RTF'!M$5,FALSE)</f>
        <v>0</v>
      </c>
      <c r="N85">
        <f>VLOOKUP($B85,'Raw RTF'!$B$8:$Q$1000,'Raw RTF'!N$5,FALSE)</f>
        <v>0</v>
      </c>
      <c r="O85">
        <f>VLOOKUP($B85,'Raw RTF'!$B$8:$Q$1000,'Raw RTF'!O$5,FALSE)</f>
        <v>0</v>
      </c>
      <c r="P85">
        <f>VLOOKUP($B85,'Raw RTF'!$B$8:$Q$1000,'Raw RTF'!P$5,FALSE)</f>
        <v>0</v>
      </c>
      <c r="Q85">
        <f>VLOOKUP($B85,'Raw RTF'!$B$8:$Q$1000,'Raw RTF'!Q$5,FALSE)</f>
        <v>0</v>
      </c>
    </row>
    <row r="86" spans="1:17">
      <c r="A86" t="str">
        <f t="shared" si="2"/>
        <v>Multi Family Weatherization - Insulate Attic - R-0 to R-19 - Heating Zone 1 (Heat Pump Heating System)ATTIC R0 - R19</v>
      </c>
      <c r="B86" s="116" t="str">
        <f>'Raw RTF'!B183</f>
        <v>Multi Family Weatherization - Insulate Attic - R-0 to R-19 - Heating Zone 1 (Heat Pump Heating System)</v>
      </c>
      <c r="C86" s="116" t="s">
        <v>1201</v>
      </c>
      <c r="D86">
        <f>VLOOKUP($B86,'Raw RTF'!$B$8:$Q$1000,'Raw RTF'!D$5,FALSE)</f>
        <v>0.2378419643350404</v>
      </c>
      <c r="E86">
        <f>VLOOKUP($B86,'Raw RTF'!$B$8:$Q$1000,'Raw RTF'!E$5,FALSE)</f>
        <v>45</v>
      </c>
      <c r="F86">
        <f>VLOOKUP($B86,'Raw RTF'!$B$8:$Q$1000,'Raw RTF'!F$5,FALSE)</f>
        <v>0.58749066649983317</v>
      </c>
      <c r="G86">
        <f>VLOOKUP($B86,'Raw RTF'!$B$8:$Q$1000,'Raw RTF'!G$5,FALSE)</f>
        <v>0</v>
      </c>
      <c r="H86" t="str">
        <f>VLOOKUP($B86,'Raw RTF'!$B$8:$Q$1000,'Raw RTF'!H$5,FALSE)</f>
        <v>ResSHWX</v>
      </c>
      <c r="I86">
        <f>VLOOKUP($B86,'Raw RTF'!$B$8:$Q$1000,'Raw RTF'!I$5,FALSE)</f>
        <v>0</v>
      </c>
      <c r="J86">
        <f>VLOOKUP($B86,'Raw RTF'!$B$8:$Q$1000,'Raw RTF'!J$5,FALSE)</f>
        <v>0</v>
      </c>
      <c r="K86">
        <f>VLOOKUP($B86,'Raw RTF'!$B$8:$Q$1000,'Raw RTF'!K$5,FALSE)</f>
        <v>0</v>
      </c>
      <c r="L86">
        <f>VLOOKUP($B86,'Raw RTF'!$B$8:$Q$1000,'Raw RTF'!L$5,FALSE)</f>
        <v>0</v>
      </c>
      <c r="M86">
        <f>VLOOKUP($B86,'Raw RTF'!$B$8:$Q$1000,'Raw RTF'!M$5,FALSE)</f>
        <v>0</v>
      </c>
      <c r="N86">
        <f>VLOOKUP($B86,'Raw RTF'!$B$8:$Q$1000,'Raw RTF'!N$5,FALSE)</f>
        <v>0</v>
      </c>
      <c r="O86">
        <f>VLOOKUP($B86,'Raw RTF'!$B$8:$Q$1000,'Raw RTF'!O$5,FALSE)</f>
        <v>0</v>
      </c>
      <c r="P86">
        <f>VLOOKUP($B86,'Raw RTF'!$B$8:$Q$1000,'Raw RTF'!P$5,FALSE)</f>
        <v>0</v>
      </c>
      <c r="Q86">
        <f>VLOOKUP($B86,'Raw RTF'!$B$8:$Q$1000,'Raw RTF'!Q$5,FALSE)</f>
        <v>0</v>
      </c>
    </row>
    <row r="87" spans="1:17">
      <c r="A87" t="str">
        <f t="shared" si="2"/>
        <v>Multi Family Weatherization - Insulate Attic - R-0 to R-38 - Heating Zone 1 (Heat Pump Heating System)ATTIC R0 - R38</v>
      </c>
      <c r="B87" s="116" t="str">
        <f>'Raw RTF'!B184</f>
        <v>Multi Family Weatherization - Insulate Attic - R-0 to R-38 - Heating Zone 1 (Heat Pump Heating System)</v>
      </c>
      <c r="C87" s="116" t="s">
        <v>65</v>
      </c>
      <c r="D87">
        <f>VLOOKUP($B87,'Raw RTF'!$B$8:$Q$1000,'Raw RTF'!D$5,FALSE)</f>
        <v>0.32397243656769398</v>
      </c>
      <c r="E87">
        <f>VLOOKUP($B87,'Raw RTF'!$B$8:$Q$1000,'Raw RTF'!E$5,FALSE)</f>
        <v>45</v>
      </c>
      <c r="F87">
        <f>VLOOKUP($B87,'Raw RTF'!$B$8:$Q$1000,'Raw RTF'!F$5,FALSE)</f>
        <v>1.1749813329996663</v>
      </c>
      <c r="G87">
        <f>VLOOKUP($B87,'Raw RTF'!$B$8:$Q$1000,'Raw RTF'!G$5,FALSE)</f>
        <v>0</v>
      </c>
      <c r="H87" t="str">
        <f>VLOOKUP($B87,'Raw RTF'!$B$8:$Q$1000,'Raw RTF'!H$5,FALSE)</f>
        <v>ResSHWX</v>
      </c>
      <c r="I87">
        <f>VLOOKUP($B87,'Raw RTF'!$B$8:$Q$1000,'Raw RTF'!I$5,FALSE)</f>
        <v>0</v>
      </c>
      <c r="J87">
        <f>VLOOKUP($B87,'Raw RTF'!$B$8:$Q$1000,'Raw RTF'!J$5,FALSE)</f>
        <v>0</v>
      </c>
      <c r="K87">
        <f>VLOOKUP($B87,'Raw RTF'!$B$8:$Q$1000,'Raw RTF'!K$5,FALSE)</f>
        <v>0</v>
      </c>
      <c r="L87">
        <f>VLOOKUP($B87,'Raw RTF'!$B$8:$Q$1000,'Raw RTF'!L$5,FALSE)</f>
        <v>0</v>
      </c>
      <c r="M87">
        <f>VLOOKUP($B87,'Raw RTF'!$B$8:$Q$1000,'Raw RTF'!M$5,FALSE)</f>
        <v>0</v>
      </c>
      <c r="N87">
        <f>VLOOKUP($B87,'Raw RTF'!$B$8:$Q$1000,'Raw RTF'!N$5,FALSE)</f>
        <v>0</v>
      </c>
      <c r="O87">
        <f>VLOOKUP($B87,'Raw RTF'!$B$8:$Q$1000,'Raw RTF'!O$5,FALSE)</f>
        <v>0</v>
      </c>
      <c r="P87">
        <f>VLOOKUP($B87,'Raw RTF'!$B$8:$Q$1000,'Raw RTF'!P$5,FALSE)</f>
        <v>0</v>
      </c>
      <c r="Q87">
        <f>VLOOKUP($B87,'Raw RTF'!$B$8:$Q$1000,'Raw RTF'!Q$5,FALSE)</f>
        <v>0</v>
      </c>
    </row>
    <row r="88" spans="1:17">
      <c r="A88" t="str">
        <f t="shared" si="2"/>
        <v>Multi Family Weatherization - Insulate Attic - R-0 to R-49 - Heating Zone 1 (Heat Pump Heating System)ATTIC R0 - R49</v>
      </c>
      <c r="B88" s="116" t="str">
        <f>'Raw RTF'!B185</f>
        <v>Multi Family Weatherization - Insulate Attic - R-0 to R-49 - Heating Zone 1 (Heat Pump Heating System)</v>
      </c>
      <c r="C88" s="116" t="s">
        <v>66</v>
      </c>
      <c r="D88">
        <f>VLOOKUP($B88,'Raw RTF'!$B$8:$Q$1000,'Raw RTF'!D$5,FALSE)</f>
        <v>0.34378132024225933</v>
      </c>
      <c r="E88">
        <f>VLOOKUP($B88,'Raw RTF'!$B$8:$Q$1000,'Raw RTF'!E$5,FALSE)</f>
        <v>45</v>
      </c>
      <c r="F88">
        <f>VLOOKUP($B88,'Raw RTF'!$B$8:$Q$1000,'Raw RTF'!F$5,FALSE)</f>
        <v>1.515107508341675</v>
      </c>
      <c r="G88">
        <f>VLOOKUP($B88,'Raw RTF'!$B$8:$Q$1000,'Raw RTF'!G$5,FALSE)</f>
        <v>0</v>
      </c>
      <c r="H88" t="str">
        <f>VLOOKUP($B88,'Raw RTF'!$B$8:$Q$1000,'Raw RTF'!H$5,FALSE)</f>
        <v>ResSHWX</v>
      </c>
      <c r="I88">
        <f>VLOOKUP($B88,'Raw RTF'!$B$8:$Q$1000,'Raw RTF'!I$5,FALSE)</f>
        <v>0</v>
      </c>
      <c r="J88">
        <f>VLOOKUP($B88,'Raw RTF'!$B$8:$Q$1000,'Raw RTF'!J$5,FALSE)</f>
        <v>0</v>
      </c>
      <c r="K88">
        <f>VLOOKUP($B88,'Raw RTF'!$B$8:$Q$1000,'Raw RTF'!K$5,FALSE)</f>
        <v>0</v>
      </c>
      <c r="L88">
        <f>VLOOKUP($B88,'Raw RTF'!$B$8:$Q$1000,'Raw RTF'!L$5,FALSE)</f>
        <v>0</v>
      </c>
      <c r="M88">
        <f>VLOOKUP($B88,'Raw RTF'!$B$8:$Q$1000,'Raw RTF'!M$5,FALSE)</f>
        <v>0</v>
      </c>
      <c r="N88">
        <f>VLOOKUP($B88,'Raw RTF'!$B$8:$Q$1000,'Raw RTF'!N$5,FALSE)</f>
        <v>0</v>
      </c>
      <c r="O88">
        <f>VLOOKUP($B88,'Raw RTF'!$B$8:$Q$1000,'Raw RTF'!O$5,FALSE)</f>
        <v>0</v>
      </c>
      <c r="P88">
        <f>VLOOKUP($B88,'Raw RTF'!$B$8:$Q$1000,'Raw RTF'!P$5,FALSE)</f>
        <v>0</v>
      </c>
      <c r="Q88">
        <f>VLOOKUP($B88,'Raw RTF'!$B$8:$Q$1000,'Raw RTF'!Q$5,FALSE)</f>
        <v>0</v>
      </c>
    </row>
    <row r="89" spans="1:17" ht="25.5">
      <c r="A89" t="str">
        <f t="shared" si="2"/>
        <v>Multi Family Weatherization - Insulate Attic - R-19 to R-30 - Heating Zone 1 (Heat Pump Heating System)ATTIC R19 - R30</v>
      </c>
      <c r="B89" s="116" t="str">
        <f>'Raw RTF'!B189</f>
        <v>Multi Family Weatherization - Insulate Attic - R-19 to R-30 - Heating Zone 1 (Heat Pump Heating System)</v>
      </c>
      <c r="C89" s="116" t="s">
        <v>1202</v>
      </c>
      <c r="D89">
        <f>VLOOKUP($B89,'Raw RTF'!$B$8:$Q$1000,'Raw RTF'!D$5,FALSE)</f>
        <v>6.2310759344451648E-2</v>
      </c>
      <c r="E89">
        <f>VLOOKUP($B89,'Raw RTF'!$B$8:$Q$1000,'Raw RTF'!E$5,FALSE)</f>
        <v>45</v>
      </c>
      <c r="F89">
        <f>VLOOKUP($B89,'Raw RTF'!$B$8:$Q$1000,'Raw RTF'!F$5,FALSE)</f>
        <v>0.34012617534200867</v>
      </c>
      <c r="G89">
        <f>VLOOKUP($B89,'Raw RTF'!$B$8:$Q$1000,'Raw RTF'!G$5,FALSE)</f>
        <v>0</v>
      </c>
      <c r="H89" t="str">
        <f>VLOOKUP($B89,'Raw RTF'!$B$8:$Q$1000,'Raw RTF'!H$5,FALSE)</f>
        <v>ResSHWX</v>
      </c>
      <c r="I89">
        <f>VLOOKUP($B89,'Raw RTF'!$B$8:$Q$1000,'Raw RTF'!I$5,FALSE)</f>
        <v>0</v>
      </c>
      <c r="J89">
        <f>VLOOKUP($B89,'Raw RTF'!$B$8:$Q$1000,'Raw RTF'!J$5,FALSE)</f>
        <v>0</v>
      </c>
      <c r="K89">
        <f>VLOOKUP($B89,'Raw RTF'!$B$8:$Q$1000,'Raw RTF'!K$5,FALSE)</f>
        <v>0</v>
      </c>
      <c r="L89">
        <f>VLOOKUP($B89,'Raw RTF'!$B$8:$Q$1000,'Raw RTF'!L$5,FALSE)</f>
        <v>0</v>
      </c>
      <c r="M89">
        <f>VLOOKUP($B89,'Raw RTF'!$B$8:$Q$1000,'Raw RTF'!M$5,FALSE)</f>
        <v>0</v>
      </c>
      <c r="N89">
        <f>VLOOKUP($B89,'Raw RTF'!$B$8:$Q$1000,'Raw RTF'!N$5,FALSE)</f>
        <v>0</v>
      </c>
      <c r="O89">
        <f>VLOOKUP($B89,'Raw RTF'!$B$8:$Q$1000,'Raw RTF'!O$5,FALSE)</f>
        <v>0</v>
      </c>
      <c r="P89">
        <f>VLOOKUP($B89,'Raw RTF'!$B$8:$Q$1000,'Raw RTF'!P$5,FALSE)</f>
        <v>0</v>
      </c>
      <c r="Q89">
        <f>VLOOKUP($B89,'Raw RTF'!$B$8:$Q$1000,'Raw RTF'!Q$5,FALSE)</f>
        <v>0</v>
      </c>
    </row>
    <row r="90" spans="1:17" ht="25.5">
      <c r="A90" t="str">
        <f t="shared" si="2"/>
        <v>Multi Family Weatherization - Insulate Attic - R-19 to R-38 - Heating Zone 1 (Heat Pump Heating System)ATTIC R19 - R38</v>
      </c>
      <c r="B90" s="116" t="str">
        <f>'Raw RTF'!B190</f>
        <v>Multi Family Weatherization - Insulate Attic - R-19 to R-38 - Heating Zone 1 (Heat Pump Heating System)</v>
      </c>
      <c r="C90" s="116" t="s">
        <v>67</v>
      </c>
      <c r="D90">
        <f>VLOOKUP($B90,'Raw RTF'!$B$8:$Q$1000,'Raw RTF'!D$5,FALSE)</f>
        <v>8.6130472232653535E-2</v>
      </c>
      <c r="E90">
        <f>VLOOKUP($B90,'Raw RTF'!$B$8:$Q$1000,'Raw RTF'!E$5,FALSE)</f>
        <v>45</v>
      </c>
      <c r="F90">
        <f>VLOOKUP($B90,'Raw RTF'!$B$8:$Q$1000,'Raw RTF'!F$5,FALSE)</f>
        <v>0.58749066649983317</v>
      </c>
      <c r="G90">
        <f>VLOOKUP($B90,'Raw RTF'!$B$8:$Q$1000,'Raw RTF'!G$5,FALSE)</f>
        <v>0</v>
      </c>
      <c r="H90" t="str">
        <f>VLOOKUP($B90,'Raw RTF'!$B$8:$Q$1000,'Raw RTF'!H$5,FALSE)</f>
        <v>ResSHWX</v>
      </c>
      <c r="I90">
        <f>VLOOKUP($B90,'Raw RTF'!$B$8:$Q$1000,'Raw RTF'!I$5,FALSE)</f>
        <v>0</v>
      </c>
      <c r="J90">
        <f>VLOOKUP($B90,'Raw RTF'!$B$8:$Q$1000,'Raw RTF'!J$5,FALSE)</f>
        <v>0</v>
      </c>
      <c r="K90">
        <f>VLOOKUP($B90,'Raw RTF'!$B$8:$Q$1000,'Raw RTF'!K$5,FALSE)</f>
        <v>0</v>
      </c>
      <c r="L90">
        <f>VLOOKUP($B90,'Raw RTF'!$B$8:$Q$1000,'Raw RTF'!L$5,FALSE)</f>
        <v>0</v>
      </c>
      <c r="M90">
        <f>VLOOKUP($B90,'Raw RTF'!$B$8:$Q$1000,'Raw RTF'!M$5,FALSE)</f>
        <v>0</v>
      </c>
      <c r="N90">
        <f>VLOOKUP($B90,'Raw RTF'!$B$8:$Q$1000,'Raw RTF'!N$5,FALSE)</f>
        <v>0</v>
      </c>
      <c r="O90">
        <f>VLOOKUP($B90,'Raw RTF'!$B$8:$Q$1000,'Raw RTF'!O$5,FALSE)</f>
        <v>0</v>
      </c>
      <c r="P90">
        <f>VLOOKUP($B90,'Raw RTF'!$B$8:$Q$1000,'Raw RTF'!P$5,FALSE)</f>
        <v>0</v>
      </c>
      <c r="Q90">
        <f>VLOOKUP($B90,'Raw RTF'!$B$8:$Q$1000,'Raw RTF'!Q$5,FALSE)</f>
        <v>0</v>
      </c>
    </row>
    <row r="91" spans="1:17" ht="25.5">
      <c r="A91" t="str">
        <f t="shared" si="2"/>
        <v>Multi Family Weatherization - Insulate Attic - R-19 to R-49 - Heating Zone 1 (Heat Pump Heating System)ATTIC R19 - R49</v>
      </c>
      <c r="B91" s="116" t="str">
        <f>'Raw RTF'!B191</f>
        <v>Multi Family Weatherization - Insulate Attic - R-19 to R-49 - Heating Zone 1 (Heat Pump Heating System)</v>
      </c>
      <c r="C91" s="116" t="s">
        <v>68</v>
      </c>
      <c r="D91">
        <f>VLOOKUP($B91,'Raw RTF'!$B$8:$Q$1000,'Raw RTF'!D$5,FALSE)</f>
        <v>0.1059393559072189</v>
      </c>
      <c r="E91">
        <f>VLOOKUP($B91,'Raw RTF'!$B$8:$Q$1000,'Raw RTF'!E$5,FALSE)</f>
        <v>45</v>
      </c>
      <c r="F91">
        <f>VLOOKUP($B91,'Raw RTF'!$B$8:$Q$1000,'Raw RTF'!F$5,FALSE)</f>
        <v>0.9276168418418419</v>
      </c>
      <c r="G91">
        <f>VLOOKUP($B91,'Raw RTF'!$B$8:$Q$1000,'Raw RTF'!G$5,FALSE)</f>
        <v>0</v>
      </c>
      <c r="H91" t="str">
        <f>VLOOKUP($B91,'Raw RTF'!$B$8:$Q$1000,'Raw RTF'!H$5,FALSE)</f>
        <v>ResSHWX</v>
      </c>
      <c r="I91">
        <f>VLOOKUP($B91,'Raw RTF'!$B$8:$Q$1000,'Raw RTF'!I$5,FALSE)</f>
        <v>0</v>
      </c>
      <c r="J91">
        <f>VLOOKUP($B91,'Raw RTF'!$B$8:$Q$1000,'Raw RTF'!J$5,FALSE)</f>
        <v>0</v>
      </c>
      <c r="K91">
        <f>VLOOKUP($B91,'Raw RTF'!$B$8:$Q$1000,'Raw RTF'!K$5,FALSE)</f>
        <v>0</v>
      </c>
      <c r="L91">
        <f>VLOOKUP($B91,'Raw RTF'!$B$8:$Q$1000,'Raw RTF'!L$5,FALSE)</f>
        <v>0</v>
      </c>
      <c r="M91">
        <f>VLOOKUP($B91,'Raw RTF'!$B$8:$Q$1000,'Raw RTF'!M$5,FALSE)</f>
        <v>0</v>
      </c>
      <c r="N91">
        <f>VLOOKUP($B91,'Raw RTF'!$B$8:$Q$1000,'Raw RTF'!N$5,FALSE)</f>
        <v>0</v>
      </c>
      <c r="O91">
        <f>VLOOKUP($B91,'Raw RTF'!$B$8:$Q$1000,'Raw RTF'!O$5,FALSE)</f>
        <v>0</v>
      </c>
      <c r="P91">
        <f>VLOOKUP($B91,'Raw RTF'!$B$8:$Q$1000,'Raw RTF'!P$5,FALSE)</f>
        <v>0</v>
      </c>
      <c r="Q91">
        <f>VLOOKUP($B91,'Raw RTF'!$B$8:$Q$1000,'Raw RTF'!Q$5,FALSE)</f>
        <v>0</v>
      </c>
    </row>
    <row r="92" spans="1:17" ht="38.25">
      <c r="A92" t="str">
        <f t="shared" si="2"/>
        <v>Windows - Single Pane to Class 22 - Heating Zone 1 (Heat Pump Heating System)WINDOW CL22 Prime Window Replacement of Single Pane Base</v>
      </c>
      <c r="B92" s="116" t="str">
        <f>'Raw RTF'!B192</f>
        <v>Windows - Single Pane to Class 22 - Heating Zone 1 (Heat Pump Heating System)</v>
      </c>
      <c r="C92" s="116" t="s">
        <v>74</v>
      </c>
      <c r="D92">
        <f>VLOOKUP($B92,'Raw RTF'!$B$8:$Q$1000,'Raw RTF'!D$5,FALSE)</f>
        <v>12.098422049953051</v>
      </c>
      <c r="E92">
        <f>VLOOKUP($B92,'Raw RTF'!$B$8:$Q$1000,'Raw RTF'!E$5,FALSE)</f>
        <v>45</v>
      </c>
      <c r="F92">
        <f>VLOOKUP($B92,'Raw RTF'!$B$8:$Q$1000,'Raw RTF'!F$5,FALSE)</f>
        <v>23.573200327964955</v>
      </c>
      <c r="G92">
        <f>VLOOKUP($B92,'Raw RTF'!$B$8:$Q$1000,'Raw RTF'!G$5,FALSE)</f>
        <v>0</v>
      </c>
      <c r="H92" t="str">
        <f>VLOOKUP($B92,'Raw RTF'!$B$8:$Q$1000,'Raw RTF'!H$5,FALSE)</f>
        <v>ResSHWX</v>
      </c>
      <c r="I92">
        <f>VLOOKUP($B92,'Raw RTF'!$B$8:$Q$1000,'Raw RTF'!I$5,FALSE)</f>
        <v>0</v>
      </c>
      <c r="J92">
        <f>VLOOKUP($B92,'Raw RTF'!$B$8:$Q$1000,'Raw RTF'!J$5,FALSE)</f>
        <v>0</v>
      </c>
      <c r="K92">
        <f>VLOOKUP($B92,'Raw RTF'!$B$8:$Q$1000,'Raw RTF'!K$5,FALSE)</f>
        <v>0</v>
      </c>
      <c r="L92">
        <f>VLOOKUP($B92,'Raw RTF'!$B$8:$Q$1000,'Raw RTF'!L$5,FALSE)</f>
        <v>0</v>
      </c>
      <c r="M92">
        <f>VLOOKUP($B92,'Raw RTF'!$B$8:$Q$1000,'Raw RTF'!M$5,FALSE)</f>
        <v>0</v>
      </c>
      <c r="N92">
        <f>VLOOKUP($B92,'Raw RTF'!$B$8:$Q$1000,'Raw RTF'!N$5,FALSE)</f>
        <v>0</v>
      </c>
      <c r="O92">
        <f>VLOOKUP($B92,'Raw RTF'!$B$8:$Q$1000,'Raw RTF'!O$5,FALSE)</f>
        <v>0</v>
      </c>
      <c r="P92">
        <f>VLOOKUP($B92,'Raw RTF'!$B$8:$Q$1000,'Raw RTF'!P$5,FALSE)</f>
        <v>0</v>
      </c>
      <c r="Q92">
        <f>VLOOKUP($B92,'Raw RTF'!$B$8:$Q$1000,'Raw RTF'!Q$5,FALSE)</f>
        <v>0</v>
      </c>
    </row>
    <row r="93" spans="1:17" ht="38.25">
      <c r="A93" t="str">
        <f t="shared" si="2"/>
        <v>Windows - Double Pane to Class 22 - Heating Zone 1 (Heat Pump Heating System)WINDOW CL22 Prime Window Replacement of Double Pane Base</v>
      </c>
      <c r="B93" s="116" t="str">
        <f>'Raw RTF'!B193</f>
        <v>Windows - Double Pane to Class 22 - Heating Zone 1 (Heat Pump Heating System)</v>
      </c>
      <c r="C93" s="116" t="s">
        <v>75</v>
      </c>
      <c r="D93">
        <f>VLOOKUP($B93,'Raw RTF'!$B$8:$Q$1000,'Raw RTF'!D$5,FALSE)</f>
        <v>7.9265206080719528</v>
      </c>
      <c r="E93">
        <f>VLOOKUP($B93,'Raw RTF'!$B$8:$Q$1000,'Raw RTF'!E$5,FALSE)</f>
        <v>45</v>
      </c>
      <c r="F93">
        <f>VLOOKUP($B93,'Raw RTF'!$B$8:$Q$1000,'Raw RTF'!F$5,FALSE)</f>
        <v>23.573200327964955</v>
      </c>
      <c r="G93">
        <f>VLOOKUP($B93,'Raw RTF'!$B$8:$Q$1000,'Raw RTF'!G$5,FALSE)</f>
        <v>0</v>
      </c>
      <c r="H93" t="str">
        <f>VLOOKUP($B93,'Raw RTF'!$B$8:$Q$1000,'Raw RTF'!H$5,FALSE)</f>
        <v>ResSHWX</v>
      </c>
      <c r="I93">
        <f>VLOOKUP($B93,'Raw RTF'!$B$8:$Q$1000,'Raw RTF'!I$5,FALSE)</f>
        <v>0</v>
      </c>
      <c r="J93">
        <f>VLOOKUP($B93,'Raw RTF'!$B$8:$Q$1000,'Raw RTF'!J$5,FALSE)</f>
        <v>0</v>
      </c>
      <c r="K93">
        <f>VLOOKUP($B93,'Raw RTF'!$B$8:$Q$1000,'Raw RTF'!K$5,FALSE)</f>
        <v>0</v>
      </c>
      <c r="L93">
        <f>VLOOKUP($B93,'Raw RTF'!$B$8:$Q$1000,'Raw RTF'!L$5,FALSE)</f>
        <v>0</v>
      </c>
      <c r="M93">
        <f>VLOOKUP($B93,'Raw RTF'!$B$8:$Q$1000,'Raw RTF'!M$5,FALSE)</f>
        <v>0</v>
      </c>
      <c r="N93">
        <f>VLOOKUP($B93,'Raw RTF'!$B$8:$Q$1000,'Raw RTF'!N$5,FALSE)</f>
        <v>0</v>
      </c>
      <c r="O93">
        <f>VLOOKUP($B93,'Raw RTF'!$B$8:$Q$1000,'Raw RTF'!O$5,FALSE)</f>
        <v>0</v>
      </c>
      <c r="P93">
        <f>VLOOKUP($B93,'Raw RTF'!$B$8:$Q$1000,'Raw RTF'!P$5,FALSE)</f>
        <v>0</v>
      </c>
      <c r="Q93">
        <f>VLOOKUP($B93,'Raw RTF'!$B$8:$Q$1000,'Raw RTF'!Q$5,FALSE)</f>
        <v>0</v>
      </c>
    </row>
    <row r="94" spans="1:17" ht="38.25">
      <c r="A94" t="str">
        <f t="shared" si="2"/>
        <v>Windows - Single Pane to Class 30 - Heating Zone 1 (Heat Pump Heating System)WINDOW CL30 Prime Window Replacement of Single Pane Base</v>
      </c>
      <c r="B94" s="116" t="str">
        <f>'Raw RTF'!B194</f>
        <v>Windows - Single Pane to Class 30 - Heating Zone 1 (Heat Pump Heating System)</v>
      </c>
      <c r="C94" s="116" t="s">
        <v>72</v>
      </c>
      <c r="D94">
        <f>VLOOKUP($B94,'Raw RTF'!$B$8:$Q$1000,'Raw RTF'!D$5,FALSE)</f>
        <v>11.203747332145323</v>
      </c>
      <c r="E94">
        <f>VLOOKUP($B94,'Raw RTF'!$B$8:$Q$1000,'Raw RTF'!E$5,FALSE)</f>
        <v>45</v>
      </c>
      <c r="F94">
        <f>VLOOKUP($B94,'Raw RTF'!$B$8:$Q$1000,'Raw RTF'!F$5,FALSE)</f>
        <v>22.213200327964955</v>
      </c>
      <c r="G94">
        <f>VLOOKUP($B94,'Raw RTF'!$B$8:$Q$1000,'Raw RTF'!G$5,FALSE)</f>
        <v>0</v>
      </c>
      <c r="H94" t="str">
        <f>VLOOKUP($B94,'Raw RTF'!$B$8:$Q$1000,'Raw RTF'!H$5,FALSE)</f>
        <v>ResSHWX</v>
      </c>
      <c r="I94">
        <f>VLOOKUP($B94,'Raw RTF'!$B$8:$Q$1000,'Raw RTF'!I$5,FALSE)</f>
        <v>0</v>
      </c>
      <c r="J94">
        <f>VLOOKUP($B94,'Raw RTF'!$B$8:$Q$1000,'Raw RTF'!J$5,FALSE)</f>
        <v>0</v>
      </c>
      <c r="K94">
        <f>VLOOKUP($B94,'Raw RTF'!$B$8:$Q$1000,'Raw RTF'!K$5,FALSE)</f>
        <v>0</v>
      </c>
      <c r="L94">
        <f>VLOOKUP($B94,'Raw RTF'!$B$8:$Q$1000,'Raw RTF'!L$5,FALSE)</f>
        <v>0</v>
      </c>
      <c r="M94">
        <f>VLOOKUP($B94,'Raw RTF'!$B$8:$Q$1000,'Raw RTF'!M$5,FALSE)</f>
        <v>0</v>
      </c>
      <c r="N94">
        <f>VLOOKUP($B94,'Raw RTF'!$B$8:$Q$1000,'Raw RTF'!N$5,FALSE)</f>
        <v>0</v>
      </c>
      <c r="O94">
        <f>VLOOKUP($B94,'Raw RTF'!$B$8:$Q$1000,'Raw RTF'!O$5,FALSE)</f>
        <v>0</v>
      </c>
      <c r="P94">
        <f>VLOOKUP($B94,'Raw RTF'!$B$8:$Q$1000,'Raw RTF'!P$5,FALSE)</f>
        <v>0</v>
      </c>
      <c r="Q94">
        <f>VLOOKUP($B94,'Raw RTF'!$B$8:$Q$1000,'Raw RTF'!Q$5,FALSE)</f>
        <v>0</v>
      </c>
    </row>
    <row r="95" spans="1:17" ht="38.25">
      <c r="A95" t="str">
        <f t="shared" si="2"/>
        <v>Windows - Double Pane to Class 30 - Heating Zone 1 (Heat Pump Heating System)WINDOW CL30 Prime Window Replacement of Double Pane Base</v>
      </c>
      <c r="B95" s="116" t="str">
        <f>'Raw RTF'!B195</f>
        <v>Windows - Double Pane to Class 30 - Heating Zone 1 (Heat Pump Heating System)</v>
      </c>
      <c r="C95" s="116" t="s">
        <v>73</v>
      </c>
      <c r="D95">
        <f>VLOOKUP($B95,'Raw RTF'!$B$8:$Q$1000,'Raw RTF'!D$5,FALSE)</f>
        <v>7.0318458902642256</v>
      </c>
      <c r="E95">
        <f>VLOOKUP($B95,'Raw RTF'!$B$8:$Q$1000,'Raw RTF'!E$5,FALSE)</f>
        <v>45</v>
      </c>
      <c r="F95">
        <f>VLOOKUP($B95,'Raw RTF'!$B$8:$Q$1000,'Raw RTF'!F$5,FALSE)</f>
        <v>22.213200327964955</v>
      </c>
      <c r="G95">
        <f>VLOOKUP($B95,'Raw RTF'!$B$8:$Q$1000,'Raw RTF'!G$5,FALSE)</f>
        <v>0</v>
      </c>
      <c r="H95" t="str">
        <f>VLOOKUP($B95,'Raw RTF'!$B$8:$Q$1000,'Raw RTF'!H$5,FALSE)</f>
        <v>ResSHWX</v>
      </c>
      <c r="I95">
        <f>VLOOKUP($B95,'Raw RTF'!$B$8:$Q$1000,'Raw RTF'!I$5,FALSE)</f>
        <v>0</v>
      </c>
      <c r="J95">
        <f>VLOOKUP($B95,'Raw RTF'!$B$8:$Q$1000,'Raw RTF'!J$5,FALSE)</f>
        <v>0</v>
      </c>
      <c r="K95">
        <f>VLOOKUP($B95,'Raw RTF'!$B$8:$Q$1000,'Raw RTF'!K$5,FALSE)</f>
        <v>0</v>
      </c>
      <c r="L95">
        <f>VLOOKUP($B95,'Raw RTF'!$B$8:$Q$1000,'Raw RTF'!L$5,FALSE)</f>
        <v>0</v>
      </c>
      <c r="M95">
        <f>VLOOKUP($B95,'Raw RTF'!$B$8:$Q$1000,'Raw RTF'!M$5,FALSE)</f>
        <v>0</v>
      </c>
      <c r="N95">
        <f>VLOOKUP($B95,'Raw RTF'!$B$8:$Q$1000,'Raw RTF'!N$5,FALSE)</f>
        <v>0</v>
      </c>
      <c r="O95">
        <f>VLOOKUP($B95,'Raw RTF'!$B$8:$Q$1000,'Raw RTF'!O$5,FALSE)</f>
        <v>0</v>
      </c>
      <c r="P95">
        <f>VLOOKUP($B95,'Raw RTF'!$B$8:$Q$1000,'Raw RTF'!P$5,FALSE)</f>
        <v>0</v>
      </c>
      <c r="Q95">
        <f>VLOOKUP($B95,'Raw RTF'!$B$8:$Q$1000,'Raw RTF'!Q$5,FALSE)</f>
        <v>0</v>
      </c>
    </row>
    <row r="96" spans="1:17" ht="25.5">
      <c r="A96" t="str">
        <f t="shared" si="2"/>
        <v>Multi Family Weatherization - Insulate Walls - R-0 to R-11 - Heating Zone 2 (Heat Pump Heating System)WALL R0 - R11</v>
      </c>
      <c r="B96" s="116" t="str">
        <f>'Raw RTF'!B198</f>
        <v>Multi Family Weatherization - Insulate Walls - R-0 to R-11 - Heating Zone 2 (Heat Pump Heating System)</v>
      </c>
      <c r="C96" s="116" t="s">
        <v>69</v>
      </c>
      <c r="D96">
        <f>VLOOKUP($B96,'Raw RTF'!$B$8:$Q$1000,'Raw RTF'!D$5,FALSE)</f>
        <v>0.94615692756686232</v>
      </c>
      <c r="E96">
        <f>VLOOKUP($B96,'Raw RTF'!$B$8:$Q$1000,'Raw RTF'!E$5,FALSE)</f>
        <v>45</v>
      </c>
      <c r="F96">
        <f>VLOOKUP($B96,'Raw RTF'!$B$8:$Q$1000,'Raw RTF'!F$5,FALSE)</f>
        <v>0.85033582942530117</v>
      </c>
      <c r="G96">
        <f>VLOOKUP($B96,'Raw RTF'!$B$8:$Q$1000,'Raw RTF'!G$5,FALSE)</f>
        <v>0</v>
      </c>
      <c r="H96" t="str">
        <f>VLOOKUP($B96,'Raw RTF'!$B$8:$Q$1000,'Raw RTF'!H$5,FALSE)</f>
        <v>ResSHWX</v>
      </c>
      <c r="I96">
        <f>VLOOKUP($B96,'Raw RTF'!$B$8:$Q$1000,'Raw RTF'!I$5,FALSE)</f>
        <v>0</v>
      </c>
      <c r="J96">
        <f>VLOOKUP($B96,'Raw RTF'!$B$8:$Q$1000,'Raw RTF'!J$5,FALSE)</f>
        <v>0</v>
      </c>
      <c r="K96">
        <f>VLOOKUP($B96,'Raw RTF'!$B$8:$Q$1000,'Raw RTF'!K$5,FALSE)</f>
        <v>0</v>
      </c>
      <c r="L96">
        <f>VLOOKUP($B96,'Raw RTF'!$B$8:$Q$1000,'Raw RTF'!L$5,FALSE)</f>
        <v>0</v>
      </c>
      <c r="M96">
        <f>VLOOKUP($B96,'Raw RTF'!$B$8:$Q$1000,'Raw RTF'!M$5,FALSE)</f>
        <v>0</v>
      </c>
      <c r="N96">
        <f>VLOOKUP($B96,'Raw RTF'!$B$8:$Q$1000,'Raw RTF'!N$5,FALSE)</f>
        <v>0</v>
      </c>
      <c r="O96">
        <f>VLOOKUP($B96,'Raw RTF'!$B$8:$Q$1000,'Raw RTF'!O$5,FALSE)</f>
        <v>0</v>
      </c>
      <c r="P96">
        <f>VLOOKUP($B96,'Raw RTF'!$B$8:$Q$1000,'Raw RTF'!P$5,FALSE)</f>
        <v>0</v>
      </c>
      <c r="Q96">
        <f>VLOOKUP($B96,'Raw RTF'!$B$8:$Q$1000,'Raw RTF'!Q$5,FALSE)</f>
        <v>0</v>
      </c>
    </row>
    <row r="97" spans="1:17" ht="25.5">
      <c r="A97" t="str">
        <f t="shared" si="2"/>
        <v>Multi Family Weatherization - Insulate Floors - R-0 to R-19 - Heating Zone 2 (Heat Pump Heating System)FLOOR R0 - R19</v>
      </c>
      <c r="B97" s="116" t="str">
        <f>'Raw RTF'!B199</f>
        <v>Multi Family Weatherization - Insulate Floors - R-0 to R-19 - Heating Zone 2 (Heat Pump Heating System)</v>
      </c>
      <c r="C97" s="116" t="s">
        <v>70</v>
      </c>
      <c r="D97">
        <f>VLOOKUP($B97,'Raw RTF'!$B$8:$Q$1000,'Raw RTF'!D$5,FALSE)</f>
        <v>0.23201473628994176</v>
      </c>
      <c r="E97">
        <f>VLOOKUP($B97,'Raw RTF'!$B$8:$Q$1000,'Raw RTF'!E$5,FALSE)</f>
        <v>45</v>
      </c>
      <c r="F97">
        <f>VLOOKUP($B97,'Raw RTF'!$B$8:$Q$1000,'Raw RTF'!F$5,FALSE)</f>
        <v>1.1190178820234826</v>
      </c>
      <c r="G97">
        <f>VLOOKUP($B97,'Raw RTF'!$B$8:$Q$1000,'Raw RTF'!G$5,FALSE)</f>
        <v>0</v>
      </c>
      <c r="H97" t="str">
        <f>VLOOKUP($B97,'Raw RTF'!$B$8:$Q$1000,'Raw RTF'!H$5,FALSE)</f>
        <v>ResSHWX</v>
      </c>
      <c r="I97">
        <f>VLOOKUP($B97,'Raw RTF'!$B$8:$Q$1000,'Raw RTF'!I$5,FALSE)</f>
        <v>0</v>
      </c>
      <c r="J97">
        <f>VLOOKUP($B97,'Raw RTF'!$B$8:$Q$1000,'Raw RTF'!J$5,FALSE)</f>
        <v>0</v>
      </c>
      <c r="K97">
        <f>VLOOKUP($B97,'Raw RTF'!$B$8:$Q$1000,'Raw RTF'!K$5,FALSE)</f>
        <v>0</v>
      </c>
      <c r="L97">
        <f>VLOOKUP($B97,'Raw RTF'!$B$8:$Q$1000,'Raw RTF'!L$5,FALSE)</f>
        <v>0</v>
      </c>
      <c r="M97">
        <f>VLOOKUP($B97,'Raw RTF'!$B$8:$Q$1000,'Raw RTF'!M$5,FALSE)</f>
        <v>0</v>
      </c>
      <c r="N97">
        <f>VLOOKUP($B97,'Raw RTF'!$B$8:$Q$1000,'Raw RTF'!N$5,FALSE)</f>
        <v>0</v>
      </c>
      <c r="O97">
        <f>VLOOKUP($B97,'Raw RTF'!$B$8:$Q$1000,'Raw RTF'!O$5,FALSE)</f>
        <v>0</v>
      </c>
      <c r="P97">
        <f>VLOOKUP($B97,'Raw RTF'!$B$8:$Q$1000,'Raw RTF'!P$5,FALSE)</f>
        <v>0</v>
      </c>
      <c r="Q97">
        <f>VLOOKUP($B97,'Raw RTF'!$B$8:$Q$1000,'Raw RTF'!Q$5,FALSE)</f>
        <v>0</v>
      </c>
    </row>
    <row r="98" spans="1:17" ht="25.5">
      <c r="A98" t="str">
        <f t="shared" si="2"/>
        <v>Multi Family Weatherization - Insulate Floors - R-0 to R-30 - Heating Zone 2 (Heat Pump Heating System)FLOOR R0 - R30</v>
      </c>
      <c r="B98" s="116" t="str">
        <f>'Raw RTF'!B200</f>
        <v>Multi Family Weatherization - Insulate Floors - R-0 to R-30 - Heating Zone 2 (Heat Pump Heating System)</v>
      </c>
      <c r="C98" s="116" t="s">
        <v>71</v>
      </c>
      <c r="D98">
        <f>VLOOKUP($B98,'Raw RTF'!$B$8:$Q$1000,'Raw RTF'!D$5,FALSE)</f>
        <v>0.30129039106057726</v>
      </c>
      <c r="E98">
        <f>VLOOKUP($B98,'Raw RTF'!$B$8:$Q$1000,'Raw RTF'!E$5,FALSE)</f>
        <v>45</v>
      </c>
      <c r="F98">
        <f>VLOOKUP($B98,'Raw RTF'!$B$8:$Q$1000,'Raw RTF'!F$5,FALSE)</f>
        <v>1.766870340037078</v>
      </c>
      <c r="G98">
        <f>VLOOKUP($B98,'Raw RTF'!$B$8:$Q$1000,'Raw RTF'!G$5,FALSE)</f>
        <v>0</v>
      </c>
      <c r="H98" t="str">
        <f>VLOOKUP($B98,'Raw RTF'!$B$8:$Q$1000,'Raw RTF'!H$5,FALSE)</f>
        <v>ResSHWX</v>
      </c>
      <c r="I98">
        <f>VLOOKUP($B98,'Raw RTF'!$B$8:$Q$1000,'Raw RTF'!I$5,FALSE)</f>
        <v>0</v>
      </c>
      <c r="J98">
        <f>VLOOKUP($B98,'Raw RTF'!$B$8:$Q$1000,'Raw RTF'!J$5,FALSE)</f>
        <v>0</v>
      </c>
      <c r="K98">
        <f>VLOOKUP($B98,'Raw RTF'!$B$8:$Q$1000,'Raw RTF'!K$5,FALSE)</f>
        <v>0</v>
      </c>
      <c r="L98">
        <f>VLOOKUP($B98,'Raw RTF'!$B$8:$Q$1000,'Raw RTF'!L$5,FALSE)</f>
        <v>0</v>
      </c>
      <c r="M98">
        <f>VLOOKUP($B98,'Raw RTF'!$B$8:$Q$1000,'Raw RTF'!M$5,FALSE)</f>
        <v>0</v>
      </c>
      <c r="N98">
        <f>VLOOKUP($B98,'Raw RTF'!$B$8:$Q$1000,'Raw RTF'!N$5,FALSE)</f>
        <v>0</v>
      </c>
      <c r="O98">
        <f>VLOOKUP($B98,'Raw RTF'!$B$8:$Q$1000,'Raw RTF'!O$5,FALSE)</f>
        <v>0</v>
      </c>
      <c r="P98">
        <f>VLOOKUP($B98,'Raw RTF'!$B$8:$Q$1000,'Raw RTF'!P$5,FALSE)</f>
        <v>0</v>
      </c>
      <c r="Q98">
        <f>VLOOKUP($B98,'Raw RTF'!$B$8:$Q$1000,'Raw RTF'!Q$5,FALSE)</f>
        <v>0</v>
      </c>
    </row>
    <row r="99" spans="1:17">
      <c r="A99" t="str">
        <f t="shared" ref="A99:A121" si="3">CONCATENATE(B99,C99)</f>
        <v>Multi Family Weatherization - Insulate Attic - R-0 to R-19 - Heating Zone 2 (Heat Pump Heating System)ATTIC R0 - R19</v>
      </c>
      <c r="B99" s="116" t="str">
        <f>'Raw RTF'!B202</f>
        <v>Multi Family Weatherization - Insulate Attic - R-0 to R-19 - Heating Zone 2 (Heat Pump Heating System)</v>
      </c>
      <c r="C99" s="116" t="s">
        <v>1201</v>
      </c>
      <c r="D99">
        <f>VLOOKUP($B99,'Raw RTF'!$B$8:$Q$1000,'Raw RTF'!D$5,FALSE)</f>
        <v>0.29017141751085562</v>
      </c>
      <c r="E99">
        <f>VLOOKUP($B99,'Raw RTF'!$B$8:$Q$1000,'Raw RTF'!E$5,FALSE)</f>
        <v>45</v>
      </c>
      <c r="F99">
        <f>VLOOKUP($B99,'Raw RTF'!$B$8:$Q$1000,'Raw RTF'!F$5,FALSE)</f>
        <v>0.58749066649983317</v>
      </c>
      <c r="G99">
        <f>VLOOKUP($B99,'Raw RTF'!$B$8:$Q$1000,'Raw RTF'!G$5,FALSE)</f>
        <v>0</v>
      </c>
      <c r="H99" t="str">
        <f>VLOOKUP($B99,'Raw RTF'!$B$8:$Q$1000,'Raw RTF'!H$5,FALSE)</f>
        <v>ResSHWX</v>
      </c>
      <c r="I99">
        <f>VLOOKUP($B99,'Raw RTF'!$B$8:$Q$1000,'Raw RTF'!I$5,FALSE)</f>
        <v>0</v>
      </c>
      <c r="J99">
        <f>VLOOKUP($B99,'Raw RTF'!$B$8:$Q$1000,'Raw RTF'!J$5,FALSE)</f>
        <v>0</v>
      </c>
      <c r="K99">
        <f>VLOOKUP($B99,'Raw RTF'!$B$8:$Q$1000,'Raw RTF'!K$5,FALSE)</f>
        <v>0</v>
      </c>
      <c r="L99">
        <f>VLOOKUP($B99,'Raw RTF'!$B$8:$Q$1000,'Raw RTF'!L$5,FALSE)</f>
        <v>0</v>
      </c>
      <c r="M99">
        <f>VLOOKUP($B99,'Raw RTF'!$B$8:$Q$1000,'Raw RTF'!M$5,FALSE)</f>
        <v>0</v>
      </c>
      <c r="N99">
        <f>VLOOKUP($B99,'Raw RTF'!$B$8:$Q$1000,'Raw RTF'!N$5,FALSE)</f>
        <v>0</v>
      </c>
      <c r="O99">
        <f>VLOOKUP($B99,'Raw RTF'!$B$8:$Q$1000,'Raw RTF'!O$5,FALSE)</f>
        <v>0</v>
      </c>
      <c r="P99">
        <f>VLOOKUP($B99,'Raw RTF'!$B$8:$Q$1000,'Raw RTF'!P$5,FALSE)</f>
        <v>0</v>
      </c>
      <c r="Q99">
        <f>VLOOKUP($B99,'Raw RTF'!$B$8:$Q$1000,'Raw RTF'!Q$5,FALSE)</f>
        <v>0</v>
      </c>
    </row>
    <row r="100" spans="1:17">
      <c r="A100" t="str">
        <f t="shared" si="3"/>
        <v>Multi Family Weatherization - Insulate Attic - R-0 to R-38 - Heating Zone 2 (Heat Pump Heating System)ATTIC R0 - R38</v>
      </c>
      <c r="B100" s="116" t="str">
        <f>'Raw RTF'!B203</f>
        <v>Multi Family Weatherization - Insulate Attic - R-0 to R-38 - Heating Zone 2 (Heat Pump Heating System)</v>
      </c>
      <c r="C100" s="116" t="s">
        <v>65</v>
      </c>
      <c r="D100">
        <f>VLOOKUP($B100,'Raw RTF'!$B$8:$Q$1000,'Raw RTF'!D$5,FALSE)</f>
        <v>0.39657896165268069</v>
      </c>
      <c r="E100">
        <f>VLOOKUP($B100,'Raw RTF'!$B$8:$Q$1000,'Raw RTF'!E$5,FALSE)</f>
        <v>45</v>
      </c>
      <c r="F100">
        <f>VLOOKUP($B100,'Raw RTF'!$B$8:$Q$1000,'Raw RTF'!F$5,FALSE)</f>
        <v>1.1749813329996663</v>
      </c>
      <c r="G100">
        <f>VLOOKUP($B100,'Raw RTF'!$B$8:$Q$1000,'Raw RTF'!G$5,FALSE)</f>
        <v>0</v>
      </c>
      <c r="H100" t="str">
        <f>VLOOKUP($B100,'Raw RTF'!$B$8:$Q$1000,'Raw RTF'!H$5,FALSE)</f>
        <v>ResSHWX</v>
      </c>
      <c r="I100">
        <f>VLOOKUP($B100,'Raw RTF'!$B$8:$Q$1000,'Raw RTF'!I$5,FALSE)</f>
        <v>0</v>
      </c>
      <c r="J100">
        <f>VLOOKUP($B100,'Raw RTF'!$B$8:$Q$1000,'Raw RTF'!J$5,FALSE)</f>
        <v>0</v>
      </c>
      <c r="K100">
        <f>VLOOKUP($B100,'Raw RTF'!$B$8:$Q$1000,'Raw RTF'!K$5,FALSE)</f>
        <v>0</v>
      </c>
      <c r="L100">
        <f>VLOOKUP($B100,'Raw RTF'!$B$8:$Q$1000,'Raw RTF'!L$5,FALSE)</f>
        <v>0</v>
      </c>
      <c r="M100">
        <f>VLOOKUP($B100,'Raw RTF'!$B$8:$Q$1000,'Raw RTF'!M$5,FALSE)</f>
        <v>0</v>
      </c>
      <c r="N100">
        <f>VLOOKUP($B100,'Raw RTF'!$B$8:$Q$1000,'Raw RTF'!N$5,FALSE)</f>
        <v>0</v>
      </c>
      <c r="O100">
        <f>VLOOKUP($B100,'Raw RTF'!$B$8:$Q$1000,'Raw RTF'!O$5,FALSE)</f>
        <v>0</v>
      </c>
      <c r="P100">
        <f>VLOOKUP($B100,'Raw RTF'!$B$8:$Q$1000,'Raw RTF'!P$5,FALSE)</f>
        <v>0</v>
      </c>
      <c r="Q100">
        <f>VLOOKUP($B100,'Raw RTF'!$B$8:$Q$1000,'Raw RTF'!Q$5,FALSE)</f>
        <v>0</v>
      </c>
    </row>
    <row r="101" spans="1:17">
      <c r="A101" t="str">
        <f t="shared" si="3"/>
        <v>Multi Family Weatherization - Insulate Attic - R-0 to R-49 - Heating Zone 2 (Heat Pump Heating System)ATTIC R0 - R49</v>
      </c>
      <c r="B101" s="116" t="str">
        <f>'Raw RTF'!B204</f>
        <v>Multi Family Weatherization - Insulate Attic - R-0 to R-49 - Heating Zone 2 (Heat Pump Heating System)</v>
      </c>
      <c r="C101" s="116" t="s">
        <v>66</v>
      </c>
      <c r="D101">
        <f>VLOOKUP($B101,'Raw RTF'!$B$8:$Q$1000,'Raw RTF'!D$5,FALSE)</f>
        <v>0.42126474119411056</v>
      </c>
      <c r="E101">
        <f>VLOOKUP($B101,'Raw RTF'!$B$8:$Q$1000,'Raw RTF'!E$5,FALSE)</f>
        <v>45</v>
      </c>
      <c r="F101">
        <f>VLOOKUP($B101,'Raw RTF'!$B$8:$Q$1000,'Raw RTF'!F$5,FALSE)</f>
        <v>1.515107508341675</v>
      </c>
      <c r="G101">
        <f>VLOOKUP($B101,'Raw RTF'!$B$8:$Q$1000,'Raw RTF'!G$5,FALSE)</f>
        <v>0</v>
      </c>
      <c r="H101" t="str">
        <f>VLOOKUP($B101,'Raw RTF'!$B$8:$Q$1000,'Raw RTF'!H$5,FALSE)</f>
        <v>ResSHWX</v>
      </c>
      <c r="I101">
        <f>VLOOKUP($B101,'Raw RTF'!$B$8:$Q$1000,'Raw RTF'!I$5,FALSE)</f>
        <v>0</v>
      </c>
      <c r="J101">
        <f>VLOOKUP($B101,'Raw RTF'!$B$8:$Q$1000,'Raw RTF'!J$5,FALSE)</f>
        <v>0</v>
      </c>
      <c r="K101">
        <f>VLOOKUP($B101,'Raw RTF'!$B$8:$Q$1000,'Raw RTF'!K$5,FALSE)</f>
        <v>0</v>
      </c>
      <c r="L101">
        <f>VLOOKUP($B101,'Raw RTF'!$B$8:$Q$1000,'Raw RTF'!L$5,FALSE)</f>
        <v>0</v>
      </c>
      <c r="M101">
        <f>VLOOKUP($B101,'Raw RTF'!$B$8:$Q$1000,'Raw RTF'!M$5,FALSE)</f>
        <v>0</v>
      </c>
      <c r="N101">
        <f>VLOOKUP($B101,'Raw RTF'!$B$8:$Q$1000,'Raw RTF'!N$5,FALSE)</f>
        <v>0</v>
      </c>
      <c r="O101">
        <f>VLOOKUP($B101,'Raw RTF'!$B$8:$Q$1000,'Raw RTF'!O$5,FALSE)</f>
        <v>0</v>
      </c>
      <c r="P101">
        <f>VLOOKUP($B101,'Raw RTF'!$B$8:$Q$1000,'Raw RTF'!P$5,FALSE)</f>
        <v>0</v>
      </c>
      <c r="Q101">
        <f>VLOOKUP($B101,'Raw RTF'!$B$8:$Q$1000,'Raw RTF'!Q$5,FALSE)</f>
        <v>0</v>
      </c>
    </row>
    <row r="102" spans="1:17" ht="25.5">
      <c r="A102" t="str">
        <f t="shared" si="3"/>
        <v>Multi Family Weatherization - Insulate Attic - R-19 to R-30 - Heating Zone 2 (Heat Pump Heating System)ATTIC R19 - R30</v>
      </c>
      <c r="B102" s="116" t="str">
        <f>'Raw RTF'!B208</f>
        <v>Multi Family Weatherization - Insulate Attic - R-19 to R-30 - Heating Zone 2 (Heat Pump Heating System)</v>
      </c>
      <c r="C102" s="116" t="s">
        <v>1202</v>
      </c>
      <c r="D102">
        <f>VLOOKUP($B102,'Raw RTF'!$B$8:$Q$1000,'Raw RTF'!D$5,FALSE)</f>
        <v>7.6892171421062416E-2</v>
      </c>
      <c r="E102">
        <f>VLOOKUP($B102,'Raw RTF'!$B$8:$Q$1000,'Raw RTF'!E$5,FALSE)</f>
        <v>45</v>
      </c>
      <c r="F102">
        <f>VLOOKUP($B102,'Raw RTF'!$B$8:$Q$1000,'Raw RTF'!F$5,FALSE)</f>
        <v>0.34012617534200867</v>
      </c>
      <c r="G102">
        <f>VLOOKUP($B102,'Raw RTF'!$B$8:$Q$1000,'Raw RTF'!G$5,FALSE)</f>
        <v>0</v>
      </c>
      <c r="H102" t="str">
        <f>VLOOKUP($B102,'Raw RTF'!$B$8:$Q$1000,'Raw RTF'!H$5,FALSE)</f>
        <v>ResSHWX</v>
      </c>
      <c r="I102">
        <f>VLOOKUP($B102,'Raw RTF'!$B$8:$Q$1000,'Raw RTF'!I$5,FALSE)</f>
        <v>0</v>
      </c>
      <c r="J102">
        <f>VLOOKUP($B102,'Raw RTF'!$B$8:$Q$1000,'Raw RTF'!J$5,FALSE)</f>
        <v>0</v>
      </c>
      <c r="K102">
        <f>VLOOKUP($B102,'Raw RTF'!$B$8:$Q$1000,'Raw RTF'!K$5,FALSE)</f>
        <v>0</v>
      </c>
      <c r="L102">
        <f>VLOOKUP($B102,'Raw RTF'!$B$8:$Q$1000,'Raw RTF'!L$5,FALSE)</f>
        <v>0</v>
      </c>
      <c r="M102">
        <f>VLOOKUP($B102,'Raw RTF'!$B$8:$Q$1000,'Raw RTF'!M$5,FALSE)</f>
        <v>0</v>
      </c>
      <c r="N102">
        <f>VLOOKUP($B102,'Raw RTF'!$B$8:$Q$1000,'Raw RTF'!N$5,FALSE)</f>
        <v>0</v>
      </c>
      <c r="O102">
        <f>VLOOKUP($B102,'Raw RTF'!$B$8:$Q$1000,'Raw RTF'!O$5,FALSE)</f>
        <v>0</v>
      </c>
      <c r="P102">
        <f>VLOOKUP($B102,'Raw RTF'!$B$8:$Q$1000,'Raw RTF'!P$5,FALSE)</f>
        <v>0</v>
      </c>
      <c r="Q102">
        <f>VLOOKUP($B102,'Raw RTF'!$B$8:$Q$1000,'Raw RTF'!Q$5,FALSE)</f>
        <v>0</v>
      </c>
    </row>
    <row r="103" spans="1:17" ht="25.5">
      <c r="A103" t="str">
        <f t="shared" si="3"/>
        <v>Multi Family Weatherization - Insulate Attic - R-19 to R-38 - Heating Zone 2 (Heat Pump Heating System)ATTIC R19 - R38</v>
      </c>
      <c r="B103" s="116" t="str">
        <f>'Raw RTF'!B209</f>
        <v>Multi Family Weatherization - Insulate Attic - R-19 to R-38 - Heating Zone 2 (Heat Pump Heating System)</v>
      </c>
      <c r="C103" s="116" t="s">
        <v>67</v>
      </c>
      <c r="D103">
        <f>VLOOKUP($B103,'Raw RTF'!$B$8:$Q$1000,'Raw RTF'!D$5,FALSE)</f>
        <v>0.1064075441418251</v>
      </c>
      <c r="E103">
        <f>VLOOKUP($B103,'Raw RTF'!$B$8:$Q$1000,'Raw RTF'!E$5,FALSE)</f>
        <v>45</v>
      </c>
      <c r="F103">
        <f>VLOOKUP($B103,'Raw RTF'!$B$8:$Q$1000,'Raw RTF'!F$5,FALSE)</f>
        <v>0.58749066649983317</v>
      </c>
      <c r="G103">
        <f>VLOOKUP($B103,'Raw RTF'!$B$8:$Q$1000,'Raw RTF'!G$5,FALSE)</f>
        <v>0</v>
      </c>
      <c r="H103" t="str">
        <f>VLOOKUP($B103,'Raw RTF'!$B$8:$Q$1000,'Raw RTF'!H$5,FALSE)</f>
        <v>ResSHWX</v>
      </c>
      <c r="I103">
        <f>VLOOKUP($B103,'Raw RTF'!$B$8:$Q$1000,'Raw RTF'!I$5,FALSE)</f>
        <v>0</v>
      </c>
      <c r="J103">
        <f>VLOOKUP($B103,'Raw RTF'!$B$8:$Q$1000,'Raw RTF'!J$5,FALSE)</f>
        <v>0</v>
      </c>
      <c r="K103">
        <f>VLOOKUP($B103,'Raw RTF'!$B$8:$Q$1000,'Raw RTF'!K$5,FALSE)</f>
        <v>0</v>
      </c>
      <c r="L103">
        <f>VLOOKUP($B103,'Raw RTF'!$B$8:$Q$1000,'Raw RTF'!L$5,FALSE)</f>
        <v>0</v>
      </c>
      <c r="M103">
        <f>VLOOKUP($B103,'Raw RTF'!$B$8:$Q$1000,'Raw RTF'!M$5,FALSE)</f>
        <v>0</v>
      </c>
      <c r="N103">
        <f>VLOOKUP($B103,'Raw RTF'!$B$8:$Q$1000,'Raw RTF'!N$5,FALSE)</f>
        <v>0</v>
      </c>
      <c r="O103">
        <f>VLOOKUP($B103,'Raw RTF'!$B$8:$Q$1000,'Raw RTF'!O$5,FALSE)</f>
        <v>0</v>
      </c>
      <c r="P103">
        <f>VLOOKUP($B103,'Raw RTF'!$B$8:$Q$1000,'Raw RTF'!P$5,FALSE)</f>
        <v>0</v>
      </c>
      <c r="Q103">
        <f>VLOOKUP($B103,'Raw RTF'!$B$8:$Q$1000,'Raw RTF'!Q$5,FALSE)</f>
        <v>0</v>
      </c>
    </row>
    <row r="104" spans="1:17" ht="25.5">
      <c r="A104" t="str">
        <f t="shared" si="3"/>
        <v>Multi Family Weatherization - Insulate Attic - R-19 to R-49 - Heating Zone 2 (Heat Pump Heating System)ATTIC R19 - R49</v>
      </c>
      <c r="B104" s="116" t="str">
        <f>'Raw RTF'!B210</f>
        <v>Multi Family Weatherization - Insulate Attic - R-19 to R-49 - Heating Zone 2 (Heat Pump Heating System)</v>
      </c>
      <c r="C104" s="116" t="s">
        <v>68</v>
      </c>
      <c r="D104">
        <f>VLOOKUP($B104,'Raw RTF'!$B$8:$Q$1000,'Raw RTF'!D$5,FALSE)</f>
        <v>0.13109332368325505</v>
      </c>
      <c r="E104">
        <f>VLOOKUP($B104,'Raw RTF'!$B$8:$Q$1000,'Raw RTF'!E$5,FALSE)</f>
        <v>45</v>
      </c>
      <c r="F104">
        <f>VLOOKUP($B104,'Raw RTF'!$B$8:$Q$1000,'Raw RTF'!F$5,FALSE)</f>
        <v>0.9276168418418419</v>
      </c>
      <c r="G104">
        <f>VLOOKUP($B104,'Raw RTF'!$B$8:$Q$1000,'Raw RTF'!G$5,FALSE)</f>
        <v>0</v>
      </c>
      <c r="H104" t="str">
        <f>VLOOKUP($B104,'Raw RTF'!$B$8:$Q$1000,'Raw RTF'!H$5,FALSE)</f>
        <v>ResSHWX</v>
      </c>
      <c r="I104">
        <f>VLOOKUP($B104,'Raw RTF'!$B$8:$Q$1000,'Raw RTF'!I$5,FALSE)</f>
        <v>0</v>
      </c>
      <c r="J104">
        <f>VLOOKUP($B104,'Raw RTF'!$B$8:$Q$1000,'Raw RTF'!J$5,FALSE)</f>
        <v>0</v>
      </c>
      <c r="K104">
        <f>VLOOKUP($B104,'Raw RTF'!$B$8:$Q$1000,'Raw RTF'!K$5,FALSE)</f>
        <v>0</v>
      </c>
      <c r="L104">
        <f>VLOOKUP($B104,'Raw RTF'!$B$8:$Q$1000,'Raw RTF'!L$5,FALSE)</f>
        <v>0</v>
      </c>
      <c r="M104">
        <f>VLOOKUP($B104,'Raw RTF'!$B$8:$Q$1000,'Raw RTF'!M$5,FALSE)</f>
        <v>0</v>
      </c>
      <c r="N104">
        <f>VLOOKUP($B104,'Raw RTF'!$B$8:$Q$1000,'Raw RTF'!N$5,FALSE)</f>
        <v>0</v>
      </c>
      <c r="O104">
        <f>VLOOKUP($B104,'Raw RTF'!$B$8:$Q$1000,'Raw RTF'!O$5,FALSE)</f>
        <v>0</v>
      </c>
      <c r="P104">
        <f>VLOOKUP($B104,'Raw RTF'!$B$8:$Q$1000,'Raw RTF'!P$5,FALSE)</f>
        <v>0</v>
      </c>
      <c r="Q104">
        <f>VLOOKUP($B104,'Raw RTF'!$B$8:$Q$1000,'Raw RTF'!Q$5,FALSE)</f>
        <v>0</v>
      </c>
    </row>
    <row r="105" spans="1:17" ht="38.25">
      <c r="A105" t="str">
        <f t="shared" si="3"/>
        <v>Windows - Single Pane to Class 22 - Heating Zone 2 (Heat Pump Heating System)WINDOW CL22 Prime Window Replacement of Single Pane Base</v>
      </c>
      <c r="B105" s="116" t="str">
        <f>'Raw RTF'!B211</f>
        <v>Windows - Single Pane to Class 22 - Heating Zone 2 (Heat Pump Heating System)</v>
      </c>
      <c r="C105" s="116" t="s">
        <v>74</v>
      </c>
      <c r="D105">
        <f>VLOOKUP($B105,'Raw RTF'!$B$8:$Q$1000,'Raw RTF'!D$5,FALSE)</f>
        <v>20.171723506066453</v>
      </c>
      <c r="E105">
        <f>VLOOKUP($B105,'Raw RTF'!$B$8:$Q$1000,'Raw RTF'!E$5,FALSE)</f>
        <v>45</v>
      </c>
      <c r="F105">
        <f>VLOOKUP($B105,'Raw RTF'!$B$8:$Q$1000,'Raw RTF'!F$5,FALSE)</f>
        <v>23.573200327964955</v>
      </c>
      <c r="G105">
        <f>VLOOKUP($B105,'Raw RTF'!$B$8:$Q$1000,'Raw RTF'!G$5,FALSE)</f>
        <v>0</v>
      </c>
      <c r="H105" t="str">
        <f>VLOOKUP($B105,'Raw RTF'!$B$8:$Q$1000,'Raw RTF'!H$5,FALSE)</f>
        <v>ResSHWX</v>
      </c>
      <c r="I105">
        <f>VLOOKUP($B105,'Raw RTF'!$B$8:$Q$1000,'Raw RTF'!I$5,FALSE)</f>
        <v>0</v>
      </c>
      <c r="J105">
        <f>VLOOKUP($B105,'Raw RTF'!$B$8:$Q$1000,'Raw RTF'!J$5,FALSE)</f>
        <v>0</v>
      </c>
      <c r="K105">
        <f>VLOOKUP($B105,'Raw RTF'!$B$8:$Q$1000,'Raw RTF'!K$5,FALSE)</f>
        <v>0</v>
      </c>
      <c r="L105">
        <f>VLOOKUP($B105,'Raw RTF'!$B$8:$Q$1000,'Raw RTF'!L$5,FALSE)</f>
        <v>0</v>
      </c>
      <c r="M105">
        <f>VLOOKUP($B105,'Raw RTF'!$B$8:$Q$1000,'Raw RTF'!M$5,FALSE)</f>
        <v>0</v>
      </c>
      <c r="N105">
        <f>VLOOKUP($B105,'Raw RTF'!$B$8:$Q$1000,'Raw RTF'!N$5,FALSE)</f>
        <v>0</v>
      </c>
      <c r="O105">
        <f>VLOOKUP($B105,'Raw RTF'!$B$8:$Q$1000,'Raw RTF'!O$5,FALSE)</f>
        <v>0</v>
      </c>
      <c r="P105">
        <f>VLOOKUP($B105,'Raw RTF'!$B$8:$Q$1000,'Raw RTF'!P$5,FALSE)</f>
        <v>0</v>
      </c>
      <c r="Q105">
        <f>VLOOKUP($B105,'Raw RTF'!$B$8:$Q$1000,'Raw RTF'!Q$5,FALSE)</f>
        <v>0</v>
      </c>
    </row>
    <row r="106" spans="1:17" ht="38.25">
      <c r="A106" t="str">
        <f t="shared" si="3"/>
        <v>Windows - Double Pane to Class 22 - Heating Zone 2 (Heat Pump Heating System)WINDOW CL22 Prime Window Replacement of Double Pane Base</v>
      </c>
      <c r="B106" s="116" t="str">
        <f>'Raw RTF'!B212</f>
        <v>Windows - Double Pane to Class 22 - Heating Zone 2 (Heat Pump Heating System)</v>
      </c>
      <c r="C106" s="116" t="s">
        <v>75</v>
      </c>
      <c r="D106">
        <f>VLOOKUP($B106,'Raw RTF'!$B$8:$Q$1000,'Raw RTF'!D$5,FALSE)</f>
        <v>12.847438413151799</v>
      </c>
      <c r="E106">
        <f>VLOOKUP($B106,'Raw RTF'!$B$8:$Q$1000,'Raw RTF'!E$5,FALSE)</f>
        <v>45</v>
      </c>
      <c r="F106">
        <f>VLOOKUP($B106,'Raw RTF'!$B$8:$Q$1000,'Raw RTF'!F$5,FALSE)</f>
        <v>23.573200327964955</v>
      </c>
      <c r="G106">
        <f>VLOOKUP($B106,'Raw RTF'!$B$8:$Q$1000,'Raw RTF'!G$5,FALSE)</f>
        <v>0</v>
      </c>
      <c r="H106" t="str">
        <f>VLOOKUP($B106,'Raw RTF'!$B$8:$Q$1000,'Raw RTF'!H$5,FALSE)</f>
        <v>ResSHWX</v>
      </c>
      <c r="I106">
        <f>VLOOKUP($B106,'Raw RTF'!$B$8:$Q$1000,'Raw RTF'!I$5,FALSE)</f>
        <v>0</v>
      </c>
      <c r="J106">
        <f>VLOOKUP($B106,'Raw RTF'!$B$8:$Q$1000,'Raw RTF'!J$5,FALSE)</f>
        <v>0</v>
      </c>
      <c r="K106">
        <f>VLOOKUP($B106,'Raw RTF'!$B$8:$Q$1000,'Raw RTF'!K$5,FALSE)</f>
        <v>0</v>
      </c>
      <c r="L106">
        <f>VLOOKUP($B106,'Raw RTF'!$B$8:$Q$1000,'Raw RTF'!L$5,FALSE)</f>
        <v>0</v>
      </c>
      <c r="M106">
        <f>VLOOKUP($B106,'Raw RTF'!$B$8:$Q$1000,'Raw RTF'!M$5,FALSE)</f>
        <v>0</v>
      </c>
      <c r="N106">
        <f>VLOOKUP($B106,'Raw RTF'!$B$8:$Q$1000,'Raw RTF'!N$5,FALSE)</f>
        <v>0</v>
      </c>
      <c r="O106">
        <f>VLOOKUP($B106,'Raw RTF'!$B$8:$Q$1000,'Raw RTF'!O$5,FALSE)</f>
        <v>0</v>
      </c>
      <c r="P106">
        <f>VLOOKUP($B106,'Raw RTF'!$B$8:$Q$1000,'Raw RTF'!P$5,FALSE)</f>
        <v>0</v>
      </c>
      <c r="Q106">
        <f>VLOOKUP($B106,'Raw RTF'!$B$8:$Q$1000,'Raw RTF'!Q$5,FALSE)</f>
        <v>0</v>
      </c>
    </row>
    <row r="107" spans="1:17" ht="38.25">
      <c r="A107" t="str">
        <f t="shared" si="3"/>
        <v>Windows - Single Pane to Class 30 - Heating Zone 2 (Heat Pump Heating System)WINDOW CL30 Prime Window Replacement of Single Pane Base</v>
      </c>
      <c r="B107" s="116" t="str">
        <f>'Raw RTF'!B213</f>
        <v>Windows - Single Pane to Class 30 - Heating Zone 2 (Heat Pump Heating System)</v>
      </c>
      <c r="C107" s="116" t="s">
        <v>72</v>
      </c>
      <c r="D107">
        <f>VLOOKUP($B107,'Raw RTF'!$B$8:$Q$1000,'Raw RTF'!D$5,FALSE)</f>
        <v>18.694813712413456</v>
      </c>
      <c r="E107">
        <f>VLOOKUP($B107,'Raw RTF'!$B$8:$Q$1000,'Raw RTF'!E$5,FALSE)</f>
        <v>45</v>
      </c>
      <c r="F107">
        <f>VLOOKUP($B107,'Raw RTF'!$B$8:$Q$1000,'Raw RTF'!F$5,FALSE)</f>
        <v>22.213200327964955</v>
      </c>
      <c r="G107">
        <f>VLOOKUP($B107,'Raw RTF'!$B$8:$Q$1000,'Raw RTF'!G$5,FALSE)</f>
        <v>0</v>
      </c>
      <c r="H107" t="str">
        <f>VLOOKUP($B107,'Raw RTF'!$B$8:$Q$1000,'Raw RTF'!H$5,FALSE)</f>
        <v>ResSHWX</v>
      </c>
      <c r="I107">
        <f>VLOOKUP($B107,'Raw RTF'!$B$8:$Q$1000,'Raw RTF'!I$5,FALSE)</f>
        <v>0</v>
      </c>
      <c r="J107">
        <f>VLOOKUP($B107,'Raw RTF'!$B$8:$Q$1000,'Raw RTF'!J$5,FALSE)</f>
        <v>0</v>
      </c>
      <c r="K107">
        <f>VLOOKUP($B107,'Raw RTF'!$B$8:$Q$1000,'Raw RTF'!K$5,FALSE)</f>
        <v>0</v>
      </c>
      <c r="L107">
        <f>VLOOKUP($B107,'Raw RTF'!$B$8:$Q$1000,'Raw RTF'!L$5,FALSE)</f>
        <v>0</v>
      </c>
      <c r="M107">
        <f>VLOOKUP($B107,'Raw RTF'!$B$8:$Q$1000,'Raw RTF'!M$5,FALSE)</f>
        <v>0</v>
      </c>
      <c r="N107">
        <f>VLOOKUP($B107,'Raw RTF'!$B$8:$Q$1000,'Raw RTF'!N$5,FALSE)</f>
        <v>0</v>
      </c>
      <c r="O107">
        <f>VLOOKUP($B107,'Raw RTF'!$B$8:$Q$1000,'Raw RTF'!O$5,FALSE)</f>
        <v>0</v>
      </c>
      <c r="P107">
        <f>VLOOKUP($B107,'Raw RTF'!$B$8:$Q$1000,'Raw RTF'!P$5,FALSE)</f>
        <v>0</v>
      </c>
      <c r="Q107">
        <f>VLOOKUP($B107,'Raw RTF'!$B$8:$Q$1000,'Raw RTF'!Q$5,FALSE)</f>
        <v>0</v>
      </c>
    </row>
    <row r="108" spans="1:17" ht="38.25">
      <c r="A108" t="str">
        <f t="shared" si="3"/>
        <v>Windows - Double Pane to Class 30 - Heating Zone 2 (Heat Pump Heating System)WINDOW CL30 Prime Window Replacement of Double Pane Base</v>
      </c>
      <c r="B108" s="116" t="str">
        <f>'Raw RTF'!B214</f>
        <v>Windows - Double Pane to Class 30 - Heating Zone 2 (Heat Pump Heating System)</v>
      </c>
      <c r="C108" s="116" t="s">
        <v>73</v>
      </c>
      <c r="D108">
        <f>VLOOKUP($B108,'Raw RTF'!$B$8:$Q$1000,'Raw RTF'!D$5,FALSE)</f>
        <v>11.370528619498806</v>
      </c>
      <c r="E108">
        <f>VLOOKUP($B108,'Raw RTF'!$B$8:$Q$1000,'Raw RTF'!E$5,FALSE)</f>
        <v>45</v>
      </c>
      <c r="F108">
        <f>VLOOKUP($B108,'Raw RTF'!$B$8:$Q$1000,'Raw RTF'!F$5,FALSE)</f>
        <v>22.213200327964955</v>
      </c>
      <c r="G108">
        <f>VLOOKUP($B108,'Raw RTF'!$B$8:$Q$1000,'Raw RTF'!G$5,FALSE)</f>
        <v>0</v>
      </c>
      <c r="H108" t="str">
        <f>VLOOKUP($B108,'Raw RTF'!$B$8:$Q$1000,'Raw RTF'!H$5,FALSE)</f>
        <v>ResSHWX</v>
      </c>
      <c r="I108">
        <f>VLOOKUP($B108,'Raw RTF'!$B$8:$Q$1000,'Raw RTF'!I$5,FALSE)</f>
        <v>0</v>
      </c>
      <c r="J108">
        <f>VLOOKUP($B108,'Raw RTF'!$B$8:$Q$1000,'Raw RTF'!J$5,FALSE)</f>
        <v>0</v>
      </c>
      <c r="K108">
        <f>VLOOKUP($B108,'Raw RTF'!$B$8:$Q$1000,'Raw RTF'!K$5,FALSE)</f>
        <v>0</v>
      </c>
      <c r="L108">
        <f>VLOOKUP($B108,'Raw RTF'!$B$8:$Q$1000,'Raw RTF'!L$5,FALSE)</f>
        <v>0</v>
      </c>
      <c r="M108">
        <f>VLOOKUP($B108,'Raw RTF'!$B$8:$Q$1000,'Raw RTF'!M$5,FALSE)</f>
        <v>0</v>
      </c>
      <c r="N108">
        <f>VLOOKUP($B108,'Raw RTF'!$B$8:$Q$1000,'Raw RTF'!N$5,FALSE)</f>
        <v>0</v>
      </c>
      <c r="O108">
        <f>VLOOKUP($B108,'Raw RTF'!$B$8:$Q$1000,'Raw RTF'!O$5,FALSE)</f>
        <v>0</v>
      </c>
      <c r="P108">
        <f>VLOOKUP($B108,'Raw RTF'!$B$8:$Q$1000,'Raw RTF'!P$5,FALSE)</f>
        <v>0</v>
      </c>
      <c r="Q108">
        <f>VLOOKUP($B108,'Raw RTF'!$B$8:$Q$1000,'Raw RTF'!Q$5,FALSE)</f>
        <v>0</v>
      </c>
    </row>
    <row r="109" spans="1:17" ht="25.5">
      <c r="A109" t="str">
        <f t="shared" si="3"/>
        <v>Multi Family Weatherization - Insulate Walls - R-0 to R-11 - Heating Zone 3 (Heat Pump Heating System)WALL R0 - R11</v>
      </c>
      <c r="B109" s="116" t="str">
        <f>'Raw RTF'!B217</f>
        <v>Multi Family Weatherization - Insulate Walls - R-0 to R-11 - Heating Zone 3 (Heat Pump Heating System)</v>
      </c>
      <c r="C109" s="116" t="s">
        <v>69</v>
      </c>
      <c r="D109">
        <f>VLOOKUP($B109,'Raw RTF'!$B$8:$Q$1000,'Raw RTF'!D$5,FALSE)</f>
        <v>1.3213025861608312</v>
      </c>
      <c r="E109">
        <f>VLOOKUP($B109,'Raw RTF'!$B$8:$Q$1000,'Raw RTF'!E$5,FALSE)</f>
        <v>45</v>
      </c>
      <c r="F109">
        <f>VLOOKUP($B109,'Raw RTF'!$B$8:$Q$1000,'Raw RTF'!F$5,FALSE)</f>
        <v>0.85033582942530117</v>
      </c>
      <c r="G109">
        <f>VLOOKUP($B109,'Raw RTF'!$B$8:$Q$1000,'Raw RTF'!G$5,FALSE)</f>
        <v>0</v>
      </c>
      <c r="H109" t="str">
        <f>VLOOKUP($B109,'Raw RTF'!$B$8:$Q$1000,'Raw RTF'!H$5,FALSE)</f>
        <v>ResSHWX</v>
      </c>
      <c r="I109">
        <f>VLOOKUP($B109,'Raw RTF'!$B$8:$Q$1000,'Raw RTF'!I$5,FALSE)</f>
        <v>0</v>
      </c>
      <c r="J109">
        <f>VLOOKUP($B109,'Raw RTF'!$B$8:$Q$1000,'Raw RTF'!J$5,FALSE)</f>
        <v>0</v>
      </c>
      <c r="K109">
        <f>VLOOKUP($B109,'Raw RTF'!$B$8:$Q$1000,'Raw RTF'!K$5,FALSE)</f>
        <v>0</v>
      </c>
      <c r="L109">
        <f>VLOOKUP($B109,'Raw RTF'!$B$8:$Q$1000,'Raw RTF'!L$5,FALSE)</f>
        <v>0</v>
      </c>
      <c r="M109">
        <f>VLOOKUP($B109,'Raw RTF'!$B$8:$Q$1000,'Raw RTF'!M$5,FALSE)</f>
        <v>0</v>
      </c>
      <c r="N109">
        <f>VLOOKUP($B109,'Raw RTF'!$B$8:$Q$1000,'Raw RTF'!N$5,FALSE)</f>
        <v>0</v>
      </c>
      <c r="O109">
        <f>VLOOKUP($B109,'Raw RTF'!$B$8:$Q$1000,'Raw RTF'!O$5,FALSE)</f>
        <v>0</v>
      </c>
      <c r="P109">
        <f>VLOOKUP($B109,'Raw RTF'!$B$8:$Q$1000,'Raw RTF'!P$5,FALSE)</f>
        <v>0</v>
      </c>
      <c r="Q109">
        <f>VLOOKUP($B109,'Raw RTF'!$B$8:$Q$1000,'Raw RTF'!Q$5,FALSE)</f>
        <v>0</v>
      </c>
    </row>
    <row r="110" spans="1:17" ht="25.5">
      <c r="A110" t="str">
        <f t="shared" si="3"/>
        <v>Multi Family Weatherization - Insulate Floors - R-0 to R-19 - Heating Zone 3 (Heat Pump Heating System)FLOOR R0 - R19</v>
      </c>
      <c r="B110" s="116" t="str">
        <f>'Raw RTF'!B218</f>
        <v>Multi Family Weatherization - Insulate Floors - R-0 to R-19 - Heating Zone 3 (Heat Pump Heating System)</v>
      </c>
      <c r="C110" s="116" t="s">
        <v>70</v>
      </c>
      <c r="D110">
        <f>VLOOKUP($B110,'Raw RTF'!$B$8:$Q$1000,'Raw RTF'!D$5,FALSE)</f>
        <v>0.31001003183548304</v>
      </c>
      <c r="E110">
        <f>VLOOKUP($B110,'Raw RTF'!$B$8:$Q$1000,'Raw RTF'!E$5,FALSE)</f>
        <v>45</v>
      </c>
      <c r="F110">
        <f>VLOOKUP($B110,'Raw RTF'!$B$8:$Q$1000,'Raw RTF'!F$5,FALSE)</f>
        <v>1.1190178820234826</v>
      </c>
      <c r="G110">
        <f>VLOOKUP($B110,'Raw RTF'!$B$8:$Q$1000,'Raw RTF'!G$5,FALSE)</f>
        <v>0</v>
      </c>
      <c r="H110" t="str">
        <f>VLOOKUP($B110,'Raw RTF'!$B$8:$Q$1000,'Raw RTF'!H$5,FALSE)</f>
        <v>ResSHWX</v>
      </c>
      <c r="I110">
        <f>VLOOKUP($B110,'Raw RTF'!$B$8:$Q$1000,'Raw RTF'!I$5,FALSE)</f>
        <v>0</v>
      </c>
      <c r="J110">
        <f>VLOOKUP($B110,'Raw RTF'!$B$8:$Q$1000,'Raw RTF'!J$5,FALSE)</f>
        <v>0</v>
      </c>
      <c r="K110">
        <f>VLOOKUP($B110,'Raw RTF'!$B$8:$Q$1000,'Raw RTF'!K$5,FALSE)</f>
        <v>0</v>
      </c>
      <c r="L110">
        <f>VLOOKUP($B110,'Raw RTF'!$B$8:$Q$1000,'Raw RTF'!L$5,FALSE)</f>
        <v>0</v>
      </c>
      <c r="M110">
        <f>VLOOKUP($B110,'Raw RTF'!$B$8:$Q$1000,'Raw RTF'!M$5,FALSE)</f>
        <v>0</v>
      </c>
      <c r="N110">
        <f>VLOOKUP($B110,'Raw RTF'!$B$8:$Q$1000,'Raw RTF'!N$5,FALSE)</f>
        <v>0</v>
      </c>
      <c r="O110">
        <f>VLOOKUP($B110,'Raw RTF'!$B$8:$Q$1000,'Raw RTF'!O$5,FALSE)</f>
        <v>0</v>
      </c>
      <c r="P110">
        <f>VLOOKUP($B110,'Raw RTF'!$B$8:$Q$1000,'Raw RTF'!P$5,FALSE)</f>
        <v>0</v>
      </c>
      <c r="Q110">
        <f>VLOOKUP($B110,'Raw RTF'!$B$8:$Q$1000,'Raw RTF'!Q$5,FALSE)</f>
        <v>0</v>
      </c>
    </row>
    <row r="111" spans="1:17" ht="25.5">
      <c r="A111" t="str">
        <f t="shared" si="3"/>
        <v>Multi Family Weatherization - Insulate Floors - R-0 to R-30 - Heating Zone 3 (Heat Pump Heating System)FLOOR R0 - R30</v>
      </c>
      <c r="B111" s="116" t="str">
        <f>'Raw RTF'!B219</f>
        <v>Multi Family Weatherization - Insulate Floors - R-0 to R-30 - Heating Zone 3 (Heat Pump Heating System)</v>
      </c>
      <c r="C111" s="116" t="s">
        <v>71</v>
      </c>
      <c r="D111">
        <f>VLOOKUP($B111,'Raw RTF'!$B$8:$Q$1000,'Raw RTF'!D$5,FALSE)</f>
        <v>0.40151500277901819</v>
      </c>
      <c r="E111">
        <f>VLOOKUP($B111,'Raw RTF'!$B$8:$Q$1000,'Raw RTF'!E$5,FALSE)</f>
        <v>45</v>
      </c>
      <c r="F111">
        <f>VLOOKUP($B111,'Raw RTF'!$B$8:$Q$1000,'Raw RTF'!F$5,FALSE)</f>
        <v>1.766870340037078</v>
      </c>
      <c r="G111">
        <f>VLOOKUP($B111,'Raw RTF'!$B$8:$Q$1000,'Raw RTF'!G$5,FALSE)</f>
        <v>0</v>
      </c>
      <c r="H111" t="str">
        <f>VLOOKUP($B111,'Raw RTF'!$B$8:$Q$1000,'Raw RTF'!H$5,FALSE)</f>
        <v>ResSHWX</v>
      </c>
      <c r="I111">
        <f>VLOOKUP($B111,'Raw RTF'!$B$8:$Q$1000,'Raw RTF'!I$5,FALSE)</f>
        <v>0</v>
      </c>
      <c r="J111">
        <f>VLOOKUP($B111,'Raw RTF'!$B$8:$Q$1000,'Raw RTF'!J$5,FALSE)</f>
        <v>0</v>
      </c>
      <c r="K111">
        <f>VLOOKUP($B111,'Raw RTF'!$B$8:$Q$1000,'Raw RTF'!K$5,FALSE)</f>
        <v>0</v>
      </c>
      <c r="L111">
        <f>VLOOKUP($B111,'Raw RTF'!$B$8:$Q$1000,'Raw RTF'!L$5,FALSE)</f>
        <v>0</v>
      </c>
      <c r="M111">
        <f>VLOOKUP($B111,'Raw RTF'!$B$8:$Q$1000,'Raw RTF'!M$5,FALSE)</f>
        <v>0</v>
      </c>
      <c r="N111">
        <f>VLOOKUP($B111,'Raw RTF'!$B$8:$Q$1000,'Raw RTF'!N$5,FALSE)</f>
        <v>0</v>
      </c>
      <c r="O111">
        <f>VLOOKUP($B111,'Raw RTF'!$B$8:$Q$1000,'Raw RTF'!O$5,FALSE)</f>
        <v>0</v>
      </c>
      <c r="P111">
        <f>VLOOKUP($B111,'Raw RTF'!$B$8:$Q$1000,'Raw RTF'!P$5,FALSE)</f>
        <v>0</v>
      </c>
      <c r="Q111">
        <f>VLOOKUP($B111,'Raw RTF'!$B$8:$Q$1000,'Raw RTF'!Q$5,FALSE)</f>
        <v>0</v>
      </c>
    </row>
    <row r="112" spans="1:17">
      <c r="A112" t="str">
        <f t="shared" si="3"/>
        <v>Multi Family Weatherization - Insulate Attic - R-0 to R-19 - Heating Zone 3 (Heat Pump Heating System)ATTIC R0 - R19</v>
      </c>
      <c r="B112" s="116" t="str">
        <f>'Raw RTF'!B221</f>
        <v>Multi Family Weatherization - Insulate Attic - R-0 to R-19 - Heating Zone 3 (Heat Pump Heating System)</v>
      </c>
      <c r="C112" s="116" t="s">
        <v>1201</v>
      </c>
      <c r="D112">
        <f>VLOOKUP($B112,'Raw RTF'!$B$8:$Q$1000,'Raw RTF'!D$5,FALSE)</f>
        <v>0.32811324606203218</v>
      </c>
      <c r="E112">
        <f>VLOOKUP($B112,'Raw RTF'!$B$8:$Q$1000,'Raw RTF'!E$5,FALSE)</f>
        <v>45</v>
      </c>
      <c r="F112">
        <f>VLOOKUP($B112,'Raw RTF'!$B$8:$Q$1000,'Raw RTF'!F$5,FALSE)</f>
        <v>0.58749066649983317</v>
      </c>
      <c r="G112">
        <f>VLOOKUP($B112,'Raw RTF'!$B$8:$Q$1000,'Raw RTF'!G$5,FALSE)</f>
        <v>0</v>
      </c>
      <c r="H112" t="str">
        <f>VLOOKUP($B112,'Raw RTF'!$B$8:$Q$1000,'Raw RTF'!H$5,FALSE)</f>
        <v>ResSHWX</v>
      </c>
      <c r="I112">
        <f>VLOOKUP($B112,'Raw RTF'!$B$8:$Q$1000,'Raw RTF'!I$5,FALSE)</f>
        <v>0</v>
      </c>
      <c r="J112">
        <f>VLOOKUP($B112,'Raw RTF'!$B$8:$Q$1000,'Raw RTF'!J$5,FALSE)</f>
        <v>0</v>
      </c>
      <c r="K112">
        <f>VLOOKUP($B112,'Raw RTF'!$B$8:$Q$1000,'Raw RTF'!K$5,FALSE)</f>
        <v>0</v>
      </c>
      <c r="L112">
        <f>VLOOKUP($B112,'Raw RTF'!$B$8:$Q$1000,'Raw RTF'!L$5,FALSE)</f>
        <v>0</v>
      </c>
      <c r="M112">
        <f>VLOOKUP($B112,'Raw RTF'!$B$8:$Q$1000,'Raw RTF'!M$5,FALSE)</f>
        <v>0</v>
      </c>
      <c r="N112">
        <f>VLOOKUP($B112,'Raw RTF'!$B$8:$Q$1000,'Raw RTF'!N$5,FALSE)</f>
        <v>0</v>
      </c>
      <c r="O112">
        <f>VLOOKUP($B112,'Raw RTF'!$B$8:$Q$1000,'Raw RTF'!O$5,FALSE)</f>
        <v>0</v>
      </c>
      <c r="P112">
        <f>VLOOKUP($B112,'Raw RTF'!$B$8:$Q$1000,'Raw RTF'!P$5,FALSE)</f>
        <v>0</v>
      </c>
      <c r="Q112">
        <f>VLOOKUP($B112,'Raw RTF'!$B$8:$Q$1000,'Raw RTF'!Q$5,FALSE)</f>
        <v>0</v>
      </c>
    </row>
    <row r="113" spans="1:17">
      <c r="A113" t="str">
        <f t="shared" si="3"/>
        <v>Multi Family Weatherization - Insulate Attic - R-0 to R-38 - Heating Zone 3 (Heat Pump Heating System)ATTIC R0 - R38</v>
      </c>
      <c r="B113" s="116" t="str">
        <f>'Raw RTF'!B222</f>
        <v>Multi Family Weatherization - Insulate Attic - R-0 to R-38 - Heating Zone 3 (Heat Pump Heating System)</v>
      </c>
      <c r="C113" s="116" t="s">
        <v>65</v>
      </c>
      <c r="D113">
        <f>VLOOKUP($B113,'Raw RTF'!$B$8:$Q$1000,'Raw RTF'!D$5,FALSE)</f>
        <v>0.44943430794251288</v>
      </c>
      <c r="E113">
        <f>VLOOKUP($B113,'Raw RTF'!$B$8:$Q$1000,'Raw RTF'!E$5,FALSE)</f>
        <v>45</v>
      </c>
      <c r="F113">
        <f>VLOOKUP($B113,'Raw RTF'!$B$8:$Q$1000,'Raw RTF'!F$5,FALSE)</f>
        <v>1.1749813329996663</v>
      </c>
      <c r="G113">
        <f>VLOOKUP($B113,'Raw RTF'!$B$8:$Q$1000,'Raw RTF'!G$5,FALSE)</f>
        <v>0</v>
      </c>
      <c r="H113" t="str">
        <f>VLOOKUP($B113,'Raw RTF'!$B$8:$Q$1000,'Raw RTF'!H$5,FALSE)</f>
        <v>ResSHWX</v>
      </c>
      <c r="I113">
        <f>VLOOKUP($B113,'Raw RTF'!$B$8:$Q$1000,'Raw RTF'!I$5,FALSE)</f>
        <v>0</v>
      </c>
      <c r="J113">
        <f>VLOOKUP($B113,'Raw RTF'!$B$8:$Q$1000,'Raw RTF'!J$5,FALSE)</f>
        <v>0</v>
      </c>
      <c r="K113">
        <f>VLOOKUP($B113,'Raw RTF'!$B$8:$Q$1000,'Raw RTF'!K$5,FALSE)</f>
        <v>0</v>
      </c>
      <c r="L113">
        <f>VLOOKUP($B113,'Raw RTF'!$B$8:$Q$1000,'Raw RTF'!L$5,FALSE)</f>
        <v>0</v>
      </c>
      <c r="M113">
        <f>VLOOKUP($B113,'Raw RTF'!$B$8:$Q$1000,'Raw RTF'!M$5,FALSE)</f>
        <v>0</v>
      </c>
      <c r="N113">
        <f>VLOOKUP($B113,'Raw RTF'!$B$8:$Q$1000,'Raw RTF'!N$5,FALSE)</f>
        <v>0</v>
      </c>
      <c r="O113">
        <f>VLOOKUP($B113,'Raw RTF'!$B$8:$Q$1000,'Raw RTF'!O$5,FALSE)</f>
        <v>0</v>
      </c>
      <c r="P113">
        <f>VLOOKUP($B113,'Raw RTF'!$B$8:$Q$1000,'Raw RTF'!P$5,FALSE)</f>
        <v>0</v>
      </c>
      <c r="Q113">
        <f>VLOOKUP($B113,'Raw RTF'!$B$8:$Q$1000,'Raw RTF'!Q$5,FALSE)</f>
        <v>0</v>
      </c>
    </row>
    <row r="114" spans="1:17">
      <c r="A114" t="str">
        <f t="shared" si="3"/>
        <v>Multi Family Weatherization - Insulate Attic - R-0 to R-49 - Heating Zone 3 (Heat Pump Heating System)ATTIC R0 - R49</v>
      </c>
      <c r="B114" s="116" t="str">
        <f>'Raw RTF'!B223</f>
        <v>Multi Family Weatherization - Insulate Attic - R-0 to R-49 - Heating Zone 3 (Heat Pump Heating System)</v>
      </c>
      <c r="C114" s="116" t="s">
        <v>66</v>
      </c>
      <c r="D114">
        <f>VLOOKUP($B114,'Raw RTF'!$B$8:$Q$1000,'Raw RTF'!D$5,FALSE)</f>
        <v>0.47788584691042801</v>
      </c>
      <c r="E114">
        <f>VLOOKUP($B114,'Raw RTF'!$B$8:$Q$1000,'Raw RTF'!E$5,FALSE)</f>
        <v>45</v>
      </c>
      <c r="F114">
        <f>VLOOKUP($B114,'Raw RTF'!$B$8:$Q$1000,'Raw RTF'!F$5,FALSE)</f>
        <v>1.515107508341675</v>
      </c>
      <c r="G114">
        <f>VLOOKUP($B114,'Raw RTF'!$B$8:$Q$1000,'Raw RTF'!G$5,FALSE)</f>
        <v>0</v>
      </c>
      <c r="H114" t="str">
        <f>VLOOKUP($B114,'Raw RTF'!$B$8:$Q$1000,'Raw RTF'!H$5,FALSE)</f>
        <v>ResSHWX</v>
      </c>
      <c r="I114">
        <f>VLOOKUP($B114,'Raw RTF'!$B$8:$Q$1000,'Raw RTF'!I$5,FALSE)</f>
        <v>0</v>
      </c>
      <c r="J114">
        <f>VLOOKUP($B114,'Raw RTF'!$B$8:$Q$1000,'Raw RTF'!J$5,FALSE)</f>
        <v>0</v>
      </c>
      <c r="K114">
        <f>VLOOKUP($B114,'Raw RTF'!$B$8:$Q$1000,'Raw RTF'!K$5,FALSE)</f>
        <v>0</v>
      </c>
      <c r="L114">
        <f>VLOOKUP($B114,'Raw RTF'!$B$8:$Q$1000,'Raw RTF'!L$5,FALSE)</f>
        <v>0</v>
      </c>
      <c r="M114">
        <f>VLOOKUP($B114,'Raw RTF'!$B$8:$Q$1000,'Raw RTF'!M$5,FALSE)</f>
        <v>0</v>
      </c>
      <c r="N114">
        <f>VLOOKUP($B114,'Raw RTF'!$B$8:$Q$1000,'Raw RTF'!N$5,FALSE)</f>
        <v>0</v>
      </c>
      <c r="O114">
        <f>VLOOKUP($B114,'Raw RTF'!$B$8:$Q$1000,'Raw RTF'!O$5,FALSE)</f>
        <v>0</v>
      </c>
      <c r="P114">
        <f>VLOOKUP($B114,'Raw RTF'!$B$8:$Q$1000,'Raw RTF'!P$5,FALSE)</f>
        <v>0</v>
      </c>
      <c r="Q114">
        <f>VLOOKUP($B114,'Raw RTF'!$B$8:$Q$1000,'Raw RTF'!Q$5,FALSE)</f>
        <v>0</v>
      </c>
    </row>
    <row r="115" spans="1:17" ht="25.5">
      <c r="A115" t="str">
        <f t="shared" si="3"/>
        <v>Multi Family Weatherization - Insulate Attic - R-19 to R-30 - Heating Zone 3 (Heat Pump Heating System)ATTIC R19 - R30</v>
      </c>
      <c r="B115" s="116" t="str">
        <f>'Raw RTF'!B227</f>
        <v>Multi Family Weatherization - Insulate Attic - R-19 to R-30 - Heating Zone 3 (Heat Pump Heating System)</v>
      </c>
      <c r="C115" s="116" t="s">
        <v>1202</v>
      </c>
      <c r="D115">
        <f>VLOOKUP($B115,'Raw RTF'!$B$8:$Q$1000,'Raw RTF'!D$5,FALSE)</f>
        <v>8.8058462501336421E-2</v>
      </c>
      <c r="E115">
        <f>VLOOKUP($B115,'Raw RTF'!$B$8:$Q$1000,'Raw RTF'!E$5,FALSE)</f>
        <v>45</v>
      </c>
      <c r="F115">
        <f>VLOOKUP($B115,'Raw RTF'!$B$8:$Q$1000,'Raw RTF'!F$5,FALSE)</f>
        <v>0.34012617534200867</v>
      </c>
      <c r="G115">
        <f>VLOOKUP($B115,'Raw RTF'!$B$8:$Q$1000,'Raw RTF'!G$5,FALSE)</f>
        <v>0</v>
      </c>
      <c r="H115" t="str">
        <f>VLOOKUP($B115,'Raw RTF'!$B$8:$Q$1000,'Raw RTF'!H$5,FALSE)</f>
        <v>ResSHWX</v>
      </c>
      <c r="I115">
        <f>VLOOKUP($B115,'Raw RTF'!$B$8:$Q$1000,'Raw RTF'!I$5,FALSE)</f>
        <v>0</v>
      </c>
      <c r="J115">
        <f>VLOOKUP($B115,'Raw RTF'!$B$8:$Q$1000,'Raw RTF'!J$5,FALSE)</f>
        <v>0</v>
      </c>
      <c r="K115">
        <f>VLOOKUP($B115,'Raw RTF'!$B$8:$Q$1000,'Raw RTF'!K$5,FALSE)</f>
        <v>0</v>
      </c>
      <c r="L115">
        <f>VLOOKUP($B115,'Raw RTF'!$B$8:$Q$1000,'Raw RTF'!L$5,FALSE)</f>
        <v>0</v>
      </c>
      <c r="M115">
        <f>VLOOKUP($B115,'Raw RTF'!$B$8:$Q$1000,'Raw RTF'!M$5,FALSE)</f>
        <v>0</v>
      </c>
      <c r="N115">
        <f>VLOOKUP($B115,'Raw RTF'!$B$8:$Q$1000,'Raw RTF'!N$5,FALSE)</f>
        <v>0</v>
      </c>
      <c r="O115">
        <f>VLOOKUP($B115,'Raw RTF'!$B$8:$Q$1000,'Raw RTF'!O$5,FALSE)</f>
        <v>0</v>
      </c>
      <c r="P115">
        <f>VLOOKUP($B115,'Raw RTF'!$B$8:$Q$1000,'Raw RTF'!P$5,FALSE)</f>
        <v>0</v>
      </c>
      <c r="Q115">
        <f>VLOOKUP($B115,'Raw RTF'!$B$8:$Q$1000,'Raw RTF'!Q$5,FALSE)</f>
        <v>0</v>
      </c>
    </row>
    <row r="116" spans="1:17" ht="25.5">
      <c r="A116" t="str">
        <f t="shared" si="3"/>
        <v>Multi Family Weatherization - Insulate Attic - R-19 to R-38 - Heating Zone 3 (Heat Pump Heating System)ATTIC R19 - R38</v>
      </c>
      <c r="B116" s="116" t="str">
        <f>'Raw RTF'!B228</f>
        <v>Multi Family Weatherization - Insulate Attic - R-19 to R-38 - Heating Zone 3 (Heat Pump Heating System)</v>
      </c>
      <c r="C116" s="116" t="s">
        <v>67</v>
      </c>
      <c r="D116">
        <f>VLOOKUP($B116,'Raw RTF'!$B$8:$Q$1000,'Raw RTF'!D$5,FALSE)</f>
        <v>0.1213210618804807</v>
      </c>
      <c r="E116">
        <f>VLOOKUP($B116,'Raw RTF'!$B$8:$Q$1000,'Raw RTF'!E$5,FALSE)</f>
        <v>45</v>
      </c>
      <c r="F116">
        <f>VLOOKUP($B116,'Raw RTF'!$B$8:$Q$1000,'Raw RTF'!F$5,FALSE)</f>
        <v>0.58749066649983317</v>
      </c>
      <c r="G116">
        <f>VLOOKUP($B116,'Raw RTF'!$B$8:$Q$1000,'Raw RTF'!G$5,FALSE)</f>
        <v>0</v>
      </c>
      <c r="H116" t="str">
        <f>VLOOKUP($B116,'Raw RTF'!$B$8:$Q$1000,'Raw RTF'!H$5,FALSE)</f>
        <v>ResSHWX</v>
      </c>
      <c r="I116">
        <f>VLOOKUP($B116,'Raw RTF'!$B$8:$Q$1000,'Raw RTF'!I$5,FALSE)</f>
        <v>0</v>
      </c>
      <c r="J116">
        <f>VLOOKUP($B116,'Raw RTF'!$B$8:$Q$1000,'Raw RTF'!J$5,FALSE)</f>
        <v>0</v>
      </c>
      <c r="K116">
        <f>VLOOKUP($B116,'Raw RTF'!$B$8:$Q$1000,'Raw RTF'!K$5,FALSE)</f>
        <v>0</v>
      </c>
      <c r="L116">
        <f>VLOOKUP($B116,'Raw RTF'!$B$8:$Q$1000,'Raw RTF'!L$5,FALSE)</f>
        <v>0</v>
      </c>
      <c r="M116">
        <f>VLOOKUP($B116,'Raw RTF'!$B$8:$Q$1000,'Raw RTF'!M$5,FALSE)</f>
        <v>0</v>
      </c>
      <c r="N116">
        <f>VLOOKUP($B116,'Raw RTF'!$B$8:$Q$1000,'Raw RTF'!N$5,FALSE)</f>
        <v>0</v>
      </c>
      <c r="O116">
        <f>VLOOKUP($B116,'Raw RTF'!$B$8:$Q$1000,'Raw RTF'!O$5,FALSE)</f>
        <v>0</v>
      </c>
      <c r="P116">
        <f>VLOOKUP($B116,'Raw RTF'!$B$8:$Q$1000,'Raw RTF'!P$5,FALSE)</f>
        <v>0</v>
      </c>
      <c r="Q116">
        <f>VLOOKUP($B116,'Raw RTF'!$B$8:$Q$1000,'Raw RTF'!Q$5,FALSE)</f>
        <v>0</v>
      </c>
    </row>
    <row r="117" spans="1:17" ht="25.5">
      <c r="A117" t="str">
        <f t="shared" si="3"/>
        <v>Multi Family Weatherization - Insulate Attic - R-19 to R-49 - Heating Zone 3 (Heat Pump Heating System)ATTIC R19 - R49</v>
      </c>
      <c r="B117" s="116" t="str">
        <f>'Raw RTF'!B229</f>
        <v>Multi Family Weatherization - Insulate Attic - R-19 to R-49 - Heating Zone 3 (Heat Pump Heating System)</v>
      </c>
      <c r="C117" s="116" t="s">
        <v>68</v>
      </c>
      <c r="D117">
        <f>VLOOKUP($B117,'Raw RTF'!$B$8:$Q$1000,'Raw RTF'!D$5,FALSE)</f>
        <v>0.14977260084839583</v>
      </c>
      <c r="E117">
        <f>VLOOKUP($B117,'Raw RTF'!$B$8:$Q$1000,'Raw RTF'!E$5,FALSE)</f>
        <v>45</v>
      </c>
      <c r="F117">
        <f>VLOOKUP($B117,'Raw RTF'!$B$8:$Q$1000,'Raw RTF'!F$5,FALSE)</f>
        <v>0.9276168418418419</v>
      </c>
      <c r="G117">
        <f>VLOOKUP($B117,'Raw RTF'!$B$8:$Q$1000,'Raw RTF'!G$5,FALSE)</f>
        <v>0</v>
      </c>
      <c r="H117" t="str">
        <f>VLOOKUP($B117,'Raw RTF'!$B$8:$Q$1000,'Raw RTF'!H$5,FALSE)</f>
        <v>ResSHWX</v>
      </c>
      <c r="I117">
        <f>VLOOKUP($B117,'Raw RTF'!$B$8:$Q$1000,'Raw RTF'!I$5,FALSE)</f>
        <v>0</v>
      </c>
      <c r="J117">
        <f>VLOOKUP($B117,'Raw RTF'!$B$8:$Q$1000,'Raw RTF'!J$5,FALSE)</f>
        <v>0</v>
      </c>
      <c r="K117">
        <f>VLOOKUP($B117,'Raw RTF'!$B$8:$Q$1000,'Raw RTF'!K$5,FALSE)</f>
        <v>0</v>
      </c>
      <c r="L117">
        <f>VLOOKUP($B117,'Raw RTF'!$B$8:$Q$1000,'Raw RTF'!L$5,FALSE)</f>
        <v>0</v>
      </c>
      <c r="M117">
        <f>VLOOKUP($B117,'Raw RTF'!$B$8:$Q$1000,'Raw RTF'!M$5,FALSE)</f>
        <v>0</v>
      </c>
      <c r="N117">
        <f>VLOOKUP($B117,'Raw RTF'!$B$8:$Q$1000,'Raw RTF'!N$5,FALSE)</f>
        <v>0</v>
      </c>
      <c r="O117">
        <f>VLOOKUP($B117,'Raw RTF'!$B$8:$Q$1000,'Raw RTF'!O$5,FALSE)</f>
        <v>0</v>
      </c>
      <c r="P117">
        <f>VLOOKUP($B117,'Raw RTF'!$B$8:$Q$1000,'Raw RTF'!P$5,FALSE)</f>
        <v>0</v>
      </c>
      <c r="Q117">
        <f>VLOOKUP($B117,'Raw RTF'!$B$8:$Q$1000,'Raw RTF'!Q$5,FALSE)</f>
        <v>0</v>
      </c>
    </row>
    <row r="118" spans="1:17" ht="38.25">
      <c r="A118" t="str">
        <f t="shared" si="3"/>
        <v>Windows - Single Pane to Class 22 - Heating Zone 3 (Heat Pump Heating System)WINDOW CL22 Prime Window Replacement of Single Pane Base</v>
      </c>
      <c r="B118" s="116" t="str">
        <f>'Raw RTF'!B230</f>
        <v>Windows - Single Pane to Class 22 - Heating Zone 3 (Heat Pump Heating System)</v>
      </c>
      <c r="C118" s="116" t="s">
        <v>74</v>
      </c>
      <c r="D118">
        <f>VLOOKUP($B118,'Raw RTF'!$B$8:$Q$1000,'Raw RTF'!D$5,FALSE)</f>
        <v>28.377542926404658</v>
      </c>
      <c r="E118">
        <f>VLOOKUP($B118,'Raw RTF'!$B$8:$Q$1000,'Raw RTF'!E$5,FALSE)</f>
        <v>45</v>
      </c>
      <c r="F118">
        <f>VLOOKUP($B118,'Raw RTF'!$B$8:$Q$1000,'Raw RTF'!F$5,FALSE)</f>
        <v>23.573200327964955</v>
      </c>
      <c r="G118">
        <f>VLOOKUP($B118,'Raw RTF'!$B$8:$Q$1000,'Raw RTF'!G$5,FALSE)</f>
        <v>0</v>
      </c>
      <c r="H118" t="str">
        <f>VLOOKUP($B118,'Raw RTF'!$B$8:$Q$1000,'Raw RTF'!H$5,FALSE)</f>
        <v>ResSHWX</v>
      </c>
      <c r="I118">
        <f>VLOOKUP($B118,'Raw RTF'!$B$8:$Q$1000,'Raw RTF'!I$5,FALSE)</f>
        <v>0</v>
      </c>
      <c r="J118">
        <f>VLOOKUP($B118,'Raw RTF'!$B$8:$Q$1000,'Raw RTF'!J$5,FALSE)</f>
        <v>0</v>
      </c>
      <c r="K118">
        <f>VLOOKUP($B118,'Raw RTF'!$B$8:$Q$1000,'Raw RTF'!K$5,FALSE)</f>
        <v>0</v>
      </c>
      <c r="L118">
        <f>VLOOKUP($B118,'Raw RTF'!$B$8:$Q$1000,'Raw RTF'!L$5,FALSE)</f>
        <v>0</v>
      </c>
      <c r="M118">
        <f>VLOOKUP($B118,'Raw RTF'!$B$8:$Q$1000,'Raw RTF'!M$5,FALSE)</f>
        <v>0</v>
      </c>
      <c r="N118">
        <f>VLOOKUP($B118,'Raw RTF'!$B$8:$Q$1000,'Raw RTF'!N$5,FALSE)</f>
        <v>0</v>
      </c>
      <c r="O118">
        <f>VLOOKUP($B118,'Raw RTF'!$B$8:$Q$1000,'Raw RTF'!O$5,FALSE)</f>
        <v>0</v>
      </c>
      <c r="P118">
        <f>VLOOKUP($B118,'Raw RTF'!$B$8:$Q$1000,'Raw RTF'!P$5,FALSE)</f>
        <v>0</v>
      </c>
      <c r="Q118">
        <f>VLOOKUP($B118,'Raw RTF'!$B$8:$Q$1000,'Raw RTF'!Q$5,FALSE)</f>
        <v>0</v>
      </c>
    </row>
    <row r="119" spans="1:17" ht="38.25">
      <c r="A119" t="str">
        <f t="shared" si="3"/>
        <v>Windows - Double Pane to Class 22 - Heating Zone 3 (Heat Pump Heating System)WINDOW CL22 Prime Window Replacement of Double Pane Base</v>
      </c>
      <c r="B119" s="116" t="str">
        <f>'Raw RTF'!B231</f>
        <v>Windows - Double Pane to Class 22 - Heating Zone 3 (Heat Pump Heating System)</v>
      </c>
      <c r="C119" s="116" t="s">
        <v>75</v>
      </c>
      <c r="D119">
        <f>VLOOKUP($B119,'Raw RTF'!$B$8:$Q$1000,'Raw RTF'!D$5,FALSE)</f>
        <v>18.222844820244529</v>
      </c>
      <c r="E119">
        <f>VLOOKUP($B119,'Raw RTF'!$B$8:$Q$1000,'Raw RTF'!E$5,FALSE)</f>
        <v>45</v>
      </c>
      <c r="F119">
        <f>VLOOKUP($B119,'Raw RTF'!$B$8:$Q$1000,'Raw RTF'!F$5,FALSE)</f>
        <v>23.573200327964955</v>
      </c>
      <c r="G119">
        <f>VLOOKUP($B119,'Raw RTF'!$B$8:$Q$1000,'Raw RTF'!G$5,FALSE)</f>
        <v>0</v>
      </c>
      <c r="H119" t="str">
        <f>VLOOKUP($B119,'Raw RTF'!$B$8:$Q$1000,'Raw RTF'!H$5,FALSE)</f>
        <v>ResSHWX</v>
      </c>
      <c r="I119">
        <f>VLOOKUP($B119,'Raw RTF'!$B$8:$Q$1000,'Raw RTF'!I$5,FALSE)</f>
        <v>0</v>
      </c>
      <c r="J119">
        <f>VLOOKUP($B119,'Raw RTF'!$B$8:$Q$1000,'Raw RTF'!J$5,FALSE)</f>
        <v>0</v>
      </c>
      <c r="K119">
        <f>VLOOKUP($B119,'Raw RTF'!$B$8:$Q$1000,'Raw RTF'!K$5,FALSE)</f>
        <v>0</v>
      </c>
      <c r="L119">
        <f>VLOOKUP($B119,'Raw RTF'!$B$8:$Q$1000,'Raw RTF'!L$5,FALSE)</f>
        <v>0</v>
      </c>
      <c r="M119">
        <f>VLOOKUP($B119,'Raw RTF'!$B$8:$Q$1000,'Raw RTF'!M$5,FALSE)</f>
        <v>0</v>
      </c>
      <c r="N119">
        <f>VLOOKUP($B119,'Raw RTF'!$B$8:$Q$1000,'Raw RTF'!N$5,FALSE)</f>
        <v>0</v>
      </c>
      <c r="O119">
        <f>VLOOKUP($B119,'Raw RTF'!$B$8:$Q$1000,'Raw RTF'!O$5,FALSE)</f>
        <v>0</v>
      </c>
      <c r="P119">
        <f>VLOOKUP($B119,'Raw RTF'!$B$8:$Q$1000,'Raw RTF'!P$5,FALSE)</f>
        <v>0</v>
      </c>
      <c r="Q119">
        <f>VLOOKUP($B119,'Raw RTF'!$B$8:$Q$1000,'Raw RTF'!Q$5,FALSE)</f>
        <v>0</v>
      </c>
    </row>
    <row r="120" spans="1:17" ht="38.25">
      <c r="A120" t="str">
        <f t="shared" si="3"/>
        <v>Windows - Single Pane to Class 30 - Heating Zone 3 (Heat Pump Heating System)WINDOW CL30 Prime Window Replacement of Single Pane Base</v>
      </c>
      <c r="B120" s="116" t="str">
        <f>'Raw RTF'!B232</f>
        <v>Windows - Single Pane to Class 30 - Heating Zone 3 (Heat Pump Heating System)</v>
      </c>
      <c r="C120" s="116" t="s">
        <v>72</v>
      </c>
      <c r="D120">
        <f>VLOOKUP($B120,'Raw RTF'!$B$8:$Q$1000,'Raw RTF'!D$5,FALSE)</f>
        <v>26.302150292425615</v>
      </c>
      <c r="E120">
        <f>VLOOKUP($B120,'Raw RTF'!$B$8:$Q$1000,'Raw RTF'!E$5,FALSE)</f>
        <v>45</v>
      </c>
      <c r="F120">
        <f>VLOOKUP($B120,'Raw RTF'!$B$8:$Q$1000,'Raw RTF'!F$5,FALSE)</f>
        <v>22.213200327964955</v>
      </c>
      <c r="G120">
        <f>VLOOKUP($B120,'Raw RTF'!$B$8:$Q$1000,'Raw RTF'!G$5,FALSE)</f>
        <v>0</v>
      </c>
      <c r="H120" t="str">
        <f>VLOOKUP($B120,'Raw RTF'!$B$8:$Q$1000,'Raw RTF'!H$5,FALSE)</f>
        <v>ResSHWX</v>
      </c>
      <c r="I120">
        <f>VLOOKUP($B120,'Raw RTF'!$B$8:$Q$1000,'Raw RTF'!I$5,FALSE)</f>
        <v>0</v>
      </c>
      <c r="J120">
        <f>VLOOKUP($B120,'Raw RTF'!$B$8:$Q$1000,'Raw RTF'!J$5,FALSE)</f>
        <v>0</v>
      </c>
      <c r="K120">
        <f>VLOOKUP($B120,'Raw RTF'!$B$8:$Q$1000,'Raw RTF'!K$5,FALSE)</f>
        <v>0</v>
      </c>
      <c r="L120">
        <f>VLOOKUP($B120,'Raw RTF'!$B$8:$Q$1000,'Raw RTF'!L$5,FALSE)</f>
        <v>0</v>
      </c>
      <c r="M120">
        <f>VLOOKUP($B120,'Raw RTF'!$B$8:$Q$1000,'Raw RTF'!M$5,FALSE)</f>
        <v>0</v>
      </c>
      <c r="N120">
        <f>VLOOKUP($B120,'Raw RTF'!$B$8:$Q$1000,'Raw RTF'!N$5,FALSE)</f>
        <v>0</v>
      </c>
      <c r="O120">
        <f>VLOOKUP($B120,'Raw RTF'!$B$8:$Q$1000,'Raw RTF'!O$5,FALSE)</f>
        <v>0</v>
      </c>
      <c r="P120">
        <f>VLOOKUP($B120,'Raw RTF'!$B$8:$Q$1000,'Raw RTF'!P$5,FALSE)</f>
        <v>0</v>
      </c>
      <c r="Q120">
        <f>VLOOKUP($B120,'Raw RTF'!$B$8:$Q$1000,'Raw RTF'!Q$5,FALSE)</f>
        <v>0</v>
      </c>
    </row>
    <row r="121" spans="1:17" ht="38.25">
      <c r="A121" t="str">
        <f t="shared" si="3"/>
        <v>Windows - Double Pane to Class 30 - Heating Zone 3 (Heat Pump Heating System)WINDOW CL30 Prime Window Replacement of Double Pane Base</v>
      </c>
      <c r="B121" s="116" t="str">
        <f>'Raw RTF'!B233</f>
        <v>Windows - Double Pane to Class 30 - Heating Zone 3 (Heat Pump Heating System)</v>
      </c>
      <c r="C121" s="116" t="s">
        <v>73</v>
      </c>
      <c r="D121">
        <f>VLOOKUP($B121,'Raw RTF'!$B$8:$Q$1000,'Raw RTF'!D$5,FALSE)</f>
        <v>16.147452186265483</v>
      </c>
      <c r="E121">
        <f>VLOOKUP($B121,'Raw RTF'!$B$8:$Q$1000,'Raw RTF'!E$5,FALSE)</f>
        <v>45</v>
      </c>
      <c r="F121">
        <f>VLOOKUP($B121,'Raw RTF'!$B$8:$Q$1000,'Raw RTF'!F$5,FALSE)</f>
        <v>22.213200327964955</v>
      </c>
      <c r="G121">
        <f>VLOOKUP($B121,'Raw RTF'!$B$8:$Q$1000,'Raw RTF'!G$5,FALSE)</f>
        <v>0</v>
      </c>
      <c r="H121" t="str">
        <f>VLOOKUP($B121,'Raw RTF'!$B$8:$Q$1000,'Raw RTF'!H$5,FALSE)</f>
        <v>ResSHWX</v>
      </c>
      <c r="I121">
        <f>VLOOKUP($B121,'Raw RTF'!$B$8:$Q$1000,'Raw RTF'!I$5,FALSE)</f>
        <v>0</v>
      </c>
      <c r="J121">
        <f>VLOOKUP($B121,'Raw RTF'!$B$8:$Q$1000,'Raw RTF'!J$5,FALSE)</f>
        <v>0</v>
      </c>
      <c r="K121">
        <f>VLOOKUP($B121,'Raw RTF'!$B$8:$Q$1000,'Raw RTF'!K$5,FALSE)</f>
        <v>0</v>
      </c>
      <c r="L121">
        <f>VLOOKUP($B121,'Raw RTF'!$B$8:$Q$1000,'Raw RTF'!L$5,FALSE)</f>
        <v>0</v>
      </c>
      <c r="M121">
        <f>VLOOKUP($B121,'Raw RTF'!$B$8:$Q$1000,'Raw RTF'!M$5,FALSE)</f>
        <v>0</v>
      </c>
      <c r="N121">
        <f>VLOOKUP($B121,'Raw RTF'!$B$8:$Q$1000,'Raw RTF'!N$5,FALSE)</f>
        <v>0</v>
      </c>
      <c r="O121">
        <f>VLOOKUP($B121,'Raw RTF'!$B$8:$Q$1000,'Raw RTF'!O$5,FALSE)</f>
        <v>0</v>
      </c>
      <c r="P121">
        <f>VLOOKUP($B121,'Raw RTF'!$B$8:$Q$1000,'Raw RTF'!P$5,FALSE)</f>
        <v>0</v>
      </c>
      <c r="Q121">
        <f>VLOOKUP($B121,'Raw RTF'!$B$8:$Q$1000,'Raw RTF'!Q$5,FALSE)</f>
        <v>0</v>
      </c>
    </row>
    <row r="302" spans="2:2">
      <c r="B302" s="54"/>
    </row>
  </sheetData>
  <autoFilter ref="A4:DB301"/>
  <mergeCells count="2">
    <mergeCell ref="J3:O3"/>
    <mergeCell ref="P3:Q3"/>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1:DB235"/>
  <sheetViews>
    <sheetView topLeftCell="C1" workbookViewId="0">
      <selection activeCell="C8" sqref="C8"/>
    </sheetView>
  </sheetViews>
  <sheetFormatPr defaultRowHeight="12.75"/>
  <cols>
    <col min="2" max="2" width="86.140625" customWidth="1"/>
    <col min="3" max="3" width="94.28515625" bestFit="1" customWidth="1"/>
  </cols>
  <sheetData>
    <row r="1" spans="1:106" s="7" customFormat="1">
      <c r="B1" s="1" t="s">
        <v>0</v>
      </c>
      <c r="C1" s="2" t="s">
        <v>1199</v>
      </c>
      <c r="D1" s="2"/>
      <c r="E1" s="2"/>
      <c r="F1" s="2"/>
      <c r="G1" s="2"/>
      <c r="H1" s="2"/>
      <c r="I1" s="2"/>
      <c r="J1" s="3"/>
      <c r="K1" s="3"/>
      <c r="L1" s="3"/>
      <c r="M1" s="3"/>
      <c r="N1" s="3"/>
      <c r="O1" s="4"/>
      <c r="P1" s="4"/>
      <c r="Q1" s="4"/>
      <c r="R1" s="4"/>
      <c r="S1" s="4"/>
      <c r="T1" s="2"/>
      <c r="U1" s="2"/>
      <c r="V1" s="2"/>
      <c r="W1" s="4"/>
      <c r="X1" s="2"/>
      <c r="Y1" s="2"/>
      <c r="Z1" s="2"/>
      <c r="AA1" s="2"/>
      <c r="AB1" s="2"/>
      <c r="AC1" s="2"/>
      <c r="AD1" s="2"/>
      <c r="AE1" s="2"/>
      <c r="AF1" s="2"/>
      <c r="AG1" s="2"/>
      <c r="AH1" s="2"/>
      <c r="AI1" s="2"/>
      <c r="AJ1" s="2"/>
      <c r="AK1" s="2"/>
      <c r="AL1" s="2"/>
      <c r="AM1" s="2"/>
      <c r="AN1" s="2"/>
      <c r="AO1" s="2"/>
      <c r="AP1" s="2"/>
      <c r="AQ1" s="5"/>
      <c r="AR1" s="2"/>
      <c r="AS1" s="2"/>
      <c r="AT1" s="2"/>
      <c r="AU1" s="2"/>
      <c r="AV1" s="2"/>
      <c r="AW1" s="5"/>
      <c r="AX1" s="2"/>
      <c r="AY1" s="2"/>
      <c r="AZ1" s="2"/>
      <c r="BA1" s="2"/>
      <c r="BB1" s="2"/>
      <c r="BC1" s="2"/>
      <c r="BD1" s="2"/>
      <c r="BE1" s="2"/>
      <c r="BF1" s="2"/>
      <c r="BG1" s="2"/>
      <c r="BH1" s="2"/>
      <c r="BI1" s="2"/>
      <c r="BJ1" s="2"/>
      <c r="BK1" s="2"/>
      <c r="BL1" s="2"/>
      <c r="BM1" s="2"/>
      <c r="BN1" s="6"/>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5"/>
      <c r="CR1" s="2"/>
      <c r="CS1" s="2"/>
      <c r="CT1" s="2"/>
      <c r="CU1" s="2"/>
      <c r="CV1" s="2"/>
      <c r="CW1" s="2"/>
      <c r="CX1" s="2"/>
      <c r="CY1" s="2"/>
      <c r="CZ1" s="2"/>
      <c r="DA1" s="2"/>
      <c r="DB1" s="2"/>
    </row>
    <row r="2" spans="1:106" s="7" customFormat="1">
      <c r="B2" s="8" t="s">
        <v>1200</v>
      </c>
      <c r="C2" s="2"/>
      <c r="D2" s="2"/>
      <c r="E2" s="2"/>
      <c r="F2" s="2"/>
      <c r="G2" s="2"/>
      <c r="H2" s="2"/>
      <c r="I2" s="2"/>
      <c r="J2" s="3"/>
      <c r="K2" s="3"/>
      <c r="L2" s="3"/>
      <c r="M2" s="3"/>
      <c r="N2" s="3"/>
      <c r="O2" s="4"/>
      <c r="P2" s="4"/>
      <c r="Q2" s="4"/>
      <c r="R2" s="4"/>
      <c r="S2" s="4"/>
      <c r="T2" s="2"/>
      <c r="U2" s="2"/>
      <c r="V2" s="2"/>
      <c r="W2" s="4"/>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5"/>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s="7" customFormat="1">
      <c r="B3" s="8" t="s">
        <v>1</v>
      </c>
      <c r="D3" s="8">
        <v>2012</v>
      </c>
      <c r="K3" s="9"/>
      <c r="L3" s="10"/>
      <c r="CP3" s="10"/>
      <c r="CQ3" s="10"/>
    </row>
    <row r="4" spans="1:106" s="7" customFormat="1"/>
    <row r="5" spans="1:106" s="7" customFormat="1">
      <c r="A5" s="7">
        <v>0</v>
      </c>
      <c r="B5" s="11">
        <v>1</v>
      </c>
      <c r="C5" s="11">
        <v>2</v>
      </c>
      <c r="D5" s="11">
        <v>3</v>
      </c>
      <c r="E5" s="11">
        <v>4</v>
      </c>
      <c r="F5" s="7">
        <v>5</v>
      </c>
      <c r="G5" s="11">
        <v>6</v>
      </c>
      <c r="H5" s="11">
        <v>7</v>
      </c>
      <c r="I5" s="11">
        <v>8</v>
      </c>
      <c r="J5" s="11">
        <v>9</v>
      </c>
      <c r="K5" s="11">
        <v>10</v>
      </c>
      <c r="L5" s="7">
        <v>11</v>
      </c>
      <c r="M5" s="11">
        <v>12</v>
      </c>
      <c r="N5" s="11">
        <v>13</v>
      </c>
      <c r="O5" s="11">
        <v>14</v>
      </c>
      <c r="P5" s="11">
        <v>15</v>
      </c>
      <c r="Q5" s="11">
        <v>16</v>
      </c>
      <c r="R5" s="11"/>
      <c r="S5" s="11"/>
      <c r="T5" s="11"/>
      <c r="V5" s="11"/>
      <c r="W5" s="11"/>
      <c r="X5" s="11"/>
      <c r="Y5" s="11"/>
      <c r="AA5" s="11"/>
      <c r="AB5" s="11"/>
      <c r="AC5" s="11"/>
      <c r="AD5" s="11"/>
      <c r="AF5" s="11"/>
      <c r="AG5" s="11"/>
      <c r="AH5" s="11"/>
      <c r="AI5" s="11"/>
      <c r="AK5" s="11"/>
      <c r="AL5" s="11"/>
      <c r="AM5" s="11"/>
      <c r="AN5" s="11"/>
      <c r="AP5" s="11"/>
      <c r="AQ5" s="11"/>
      <c r="AR5" s="11"/>
      <c r="AS5" s="11"/>
      <c r="AU5" s="11"/>
      <c r="AV5" s="11"/>
      <c r="AW5" s="11"/>
      <c r="AX5" s="11"/>
      <c r="AZ5" s="11"/>
      <c r="BA5" s="11"/>
      <c r="BB5" s="11"/>
      <c r="BC5" s="11"/>
      <c r="BE5" s="11"/>
      <c r="BF5" s="11"/>
      <c r="BG5" s="11"/>
      <c r="BH5" s="11"/>
      <c r="BJ5" s="11"/>
      <c r="BK5" s="11"/>
      <c r="BL5" s="11"/>
      <c r="BM5" s="11"/>
      <c r="BO5" s="11"/>
      <c r="BP5" s="11"/>
      <c r="BQ5" s="11"/>
      <c r="BR5" s="11"/>
      <c r="BT5" s="11"/>
      <c r="BU5" s="11"/>
      <c r="BV5" s="11"/>
      <c r="BW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row>
    <row r="6" spans="1:106" s="7" customFormat="1">
      <c r="B6" s="12" t="s">
        <v>2</v>
      </c>
      <c r="C6" s="13"/>
      <c r="D6" s="13"/>
      <c r="E6" s="13"/>
      <c r="F6" s="13"/>
      <c r="G6" s="13"/>
      <c r="H6" s="14"/>
      <c r="I6" s="15"/>
      <c r="J6" s="645" t="s">
        <v>3</v>
      </c>
      <c r="K6" s="646"/>
      <c r="L6" s="646"/>
      <c r="M6" s="646"/>
      <c r="N6" s="646"/>
      <c r="O6" s="647"/>
      <c r="P6" s="648" t="s">
        <v>4</v>
      </c>
      <c r="Q6" s="649"/>
      <c r="R6" s="16"/>
      <c r="S6" s="17"/>
      <c r="T6" s="17"/>
      <c r="U6" s="17"/>
      <c r="V6" s="17"/>
      <c r="W6" s="17"/>
      <c r="X6" s="17"/>
      <c r="Y6" s="18"/>
      <c r="Z6" s="19"/>
      <c r="AA6" s="17"/>
      <c r="AB6" s="17"/>
      <c r="AC6" s="17"/>
      <c r="AD6" s="17"/>
      <c r="AE6" s="17"/>
      <c r="AF6" s="20"/>
      <c r="AG6" s="20"/>
      <c r="AH6" s="20"/>
      <c r="AI6" s="20"/>
      <c r="AJ6" s="20"/>
      <c r="AK6" s="20"/>
      <c r="AL6" s="20"/>
      <c r="AM6" s="20"/>
      <c r="AN6" s="20"/>
      <c r="AO6" s="20"/>
      <c r="AP6" s="20"/>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s="7" customFormat="1" ht="38.25">
      <c r="B7" s="21" t="s">
        <v>5</v>
      </c>
      <c r="C7" s="21" t="s">
        <v>6</v>
      </c>
      <c r="D7" s="21" t="s">
        <v>7</v>
      </c>
      <c r="E7" s="21" t="s">
        <v>8</v>
      </c>
      <c r="F7" s="21" t="s">
        <v>9</v>
      </c>
      <c r="G7" s="21" t="s">
        <v>10</v>
      </c>
      <c r="H7" s="22" t="s">
        <v>11</v>
      </c>
      <c r="I7" s="23" t="s">
        <v>12</v>
      </c>
      <c r="J7" s="23" t="s">
        <v>13</v>
      </c>
      <c r="K7" s="23" t="s">
        <v>14</v>
      </c>
      <c r="L7" s="23" t="s">
        <v>15</v>
      </c>
      <c r="M7" s="23" t="s">
        <v>16</v>
      </c>
      <c r="N7" s="23" t="s">
        <v>17</v>
      </c>
      <c r="O7" s="23" t="s">
        <v>18</v>
      </c>
      <c r="P7" s="24" t="s">
        <v>19</v>
      </c>
      <c r="Q7" s="23" t="s">
        <v>11</v>
      </c>
      <c r="R7" s="25"/>
      <c r="S7" s="25"/>
      <c r="T7" s="25"/>
      <c r="U7" s="25"/>
      <c r="V7" s="25"/>
      <c r="W7" s="25"/>
      <c r="X7" s="25"/>
      <c r="Y7" s="25"/>
      <c r="Z7" s="25"/>
      <c r="AA7" s="25"/>
      <c r="AB7" s="25"/>
      <c r="AC7" s="25"/>
      <c r="AD7" s="25"/>
      <c r="AE7" s="25"/>
      <c r="AF7" s="20"/>
      <c r="AG7" s="20"/>
      <c r="AH7" s="20"/>
      <c r="AI7" s="20"/>
      <c r="AJ7" s="20"/>
      <c r="AK7" s="20"/>
      <c r="AL7" s="20"/>
      <c r="AM7" s="20"/>
      <c r="AN7" s="20"/>
      <c r="AO7" s="20"/>
      <c r="AP7" s="20"/>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ht="25.5">
      <c r="A8" t="str">
        <f>CONCATENATE(B8,C8)</f>
        <v>Multi Family Weatherization - Insulate Walls - R-0 to R-11 - Heating Zone 1 (Average Heating System)Multi Family Weatherization - Insulate Walls - R-0 to R-11 - Heating Zone 1 (Average Heating System)</v>
      </c>
      <c r="B8" s="116" t="str">
        <f>Costs!$A2&amp;" - Heating Zone 1 (Average Heating System)"</f>
        <v>Multi Family Weatherization - Insulate Walls - R-0 to R-11 - Heating Zone 1 (Average Heating System)</v>
      </c>
      <c r="C8" s="116" t="str">
        <f>Costs!$A2&amp;" - Heating Zone 1 (Average Heating System)"</f>
        <v>Multi Family Weatherization - Insulate Walls - R-0 to R-11 - Heating Zone 1 (Average Heating System)</v>
      </c>
      <c r="D8" s="117">
        <f>VLOOKUP(C8,SEEMsavings!$A$5:$L$556,11,FALSE)+VLOOKUP(C8,SEEMsavings!$A$5:$L$556,12,FALSE)</f>
        <v>1.2383157594234839</v>
      </c>
      <c r="E8" s="113">
        <v>45</v>
      </c>
      <c r="F8" s="115">
        <f>Costs!B2</f>
        <v>0.85033582942530117</v>
      </c>
      <c r="G8" s="113">
        <v>0</v>
      </c>
      <c r="H8" s="112" t="s">
        <v>1198</v>
      </c>
      <c r="I8" s="115"/>
      <c r="J8" s="111"/>
      <c r="K8" s="111"/>
      <c r="L8" s="111"/>
      <c r="M8" s="111"/>
      <c r="N8" s="111"/>
      <c r="O8" s="111"/>
      <c r="P8" s="111"/>
      <c r="Q8" s="114"/>
    </row>
    <row r="9" spans="1:106" ht="25.5">
      <c r="A9" t="str">
        <f t="shared" ref="A9:A72" si="0">CONCATENATE(B9,C9)</f>
        <v>Multi Family Weatherization - Insulate Floors - R-0 to R-19 - Heating Zone 1 (Average Heating System)Multi Family Weatherization - Insulate Floors - R-0 to R-19 - Heating Zone 1 (Average Heating System)</v>
      </c>
      <c r="B9" s="116" t="str">
        <f>Costs!$A3&amp;" - Heating Zone 1 (Average Heating System)"</f>
        <v>Multi Family Weatherization - Insulate Floors - R-0 to R-19 - Heating Zone 1 (Average Heating System)</v>
      </c>
      <c r="C9" s="116" t="str">
        <f>Costs!$A3&amp;" - Heating Zone 1 (Average Heating System)"</f>
        <v>Multi Family Weatherization - Insulate Floors - R-0 to R-19 - Heating Zone 1 (Average Heating System)</v>
      </c>
      <c r="D9" s="117">
        <f>VLOOKUP(C9,SEEMsavings!$A$5:$L$556,11,FALSE)+VLOOKUP(C9,SEEMsavings!$A$5:$L$556,12,FALSE)</f>
        <v>0.54035668497401879</v>
      </c>
      <c r="E9" s="113">
        <v>45</v>
      </c>
      <c r="F9" s="115">
        <f>Costs!B3</f>
        <v>1.1190178820234826</v>
      </c>
      <c r="G9" s="113">
        <v>0</v>
      </c>
      <c r="H9" s="112" t="s">
        <v>1198</v>
      </c>
      <c r="I9" s="115"/>
      <c r="J9" s="111"/>
      <c r="K9" s="111"/>
      <c r="L9" s="111"/>
      <c r="M9" s="111"/>
      <c r="N9" s="111"/>
      <c r="O9" s="111"/>
      <c r="P9" s="111"/>
      <c r="Q9" s="114"/>
    </row>
    <row r="10" spans="1:106" ht="25.5">
      <c r="A10" t="str">
        <f t="shared" si="0"/>
        <v>Multi Family Weatherization - Insulate Floors - R-0 to R-30 - Heating Zone 1 (Average Heating System)Multi Family Weatherization - Insulate Floors - R-0 to R-30 - Heating Zone 1 (Average Heating System)</v>
      </c>
      <c r="B10" s="116" t="str">
        <f>Costs!$A4&amp;" - Heating Zone 1 (Average Heating System)"</f>
        <v>Multi Family Weatherization - Insulate Floors - R-0 to R-30 - Heating Zone 1 (Average Heating System)</v>
      </c>
      <c r="C10" s="116" t="str">
        <f>Costs!$A4&amp;" - Heating Zone 1 (Average Heating System)"</f>
        <v>Multi Family Weatherization - Insulate Floors - R-0 to R-30 - Heating Zone 1 (Average Heating System)</v>
      </c>
      <c r="D10" s="117">
        <f>VLOOKUP(C10,SEEMsavings!$A$5:$L$556,11,FALSE)+VLOOKUP(C10,SEEMsavings!$A$5:$L$556,12,FALSE)</f>
        <v>0.70204066730890791</v>
      </c>
      <c r="E10" s="113">
        <v>45</v>
      </c>
      <c r="F10" s="115">
        <f>Costs!B4</f>
        <v>1.766870340037078</v>
      </c>
      <c r="G10" s="113">
        <v>0</v>
      </c>
      <c r="H10" s="112" t="s">
        <v>1198</v>
      </c>
      <c r="I10" s="115"/>
      <c r="J10" s="111"/>
      <c r="K10" s="111"/>
      <c r="L10" s="111"/>
      <c r="M10" s="111"/>
      <c r="N10" s="111"/>
      <c r="O10" s="111"/>
      <c r="P10" s="111"/>
      <c r="Q10" s="114"/>
    </row>
    <row r="11" spans="1:106" ht="25.5">
      <c r="A11" t="str">
        <f t="shared" si="0"/>
        <v>Multi Family Weatherization - Insulate Floors - R-19 to R-30 - Heating Zone 1 (Average Heating System)Multi Family Weatherization - Insulate Floors - R-19 to R-30 - Heating Zone 1 (Average Heating System)</v>
      </c>
      <c r="B11" s="116" t="str">
        <f>Costs!$A5&amp;" - Heating Zone 1 (Average Heating System)"</f>
        <v>Multi Family Weatherization - Insulate Floors - R-19 to R-30 - Heating Zone 1 (Average Heating System)</v>
      </c>
      <c r="C11" s="116" t="str">
        <f>Costs!$A5&amp;" - Heating Zone 1 (Average Heating System)"</f>
        <v>Multi Family Weatherization - Insulate Floors - R-19 to R-30 - Heating Zone 1 (Average Heating System)</v>
      </c>
      <c r="D11" s="117">
        <f>VLOOKUP(C11,SEEMsavings!$A$5:$L$556,11,FALSE)+VLOOKUP(C11,SEEMsavings!$A$5:$L$556,12,FALSE)</f>
        <v>0.16168398233488909</v>
      </c>
      <c r="E11" s="113">
        <v>45</v>
      </c>
      <c r="F11" s="115">
        <f>Costs!B5</f>
        <v>0.64785245801359526</v>
      </c>
      <c r="G11" s="113">
        <v>0</v>
      </c>
      <c r="H11" s="112" t="s">
        <v>1198</v>
      </c>
      <c r="I11" s="115"/>
      <c r="J11" s="111"/>
      <c r="K11" s="111"/>
      <c r="L11" s="111"/>
      <c r="M11" s="111"/>
      <c r="N11" s="111"/>
      <c r="O11" s="111"/>
      <c r="P11" s="111"/>
      <c r="Q11" s="111"/>
    </row>
    <row r="12" spans="1:106" ht="25.5">
      <c r="A12" t="str">
        <f t="shared" si="0"/>
        <v>Multi Family Weatherization - Insulate Attic - R-0 to R-19 - Heating Zone 1 (Average Heating System)Multi Family Weatherization - Insulate Attic - R-0 to R-19 - Heating Zone 1 (Average Heating System)</v>
      </c>
      <c r="B12" s="116" t="str">
        <f>Costs!$A6&amp;" - Heating Zone 1 (Average Heating System)"</f>
        <v>Multi Family Weatherization - Insulate Attic - R-0 to R-19 - Heating Zone 1 (Average Heating System)</v>
      </c>
      <c r="C12" s="116" t="str">
        <f>Costs!$A6&amp;" - Heating Zone 1 (Average Heating System)"</f>
        <v>Multi Family Weatherization - Insulate Attic - R-0 to R-19 - Heating Zone 1 (Average Heating System)</v>
      </c>
      <c r="D12" s="117">
        <f>VLOOKUP(C12,SEEMsavings!$A$5:$L$556,11,FALSE)+VLOOKUP(C12,SEEMsavings!$A$5:$L$556,12,FALSE)</f>
        <v>0.45993699767810364</v>
      </c>
      <c r="E12" s="113">
        <v>45</v>
      </c>
      <c r="F12" s="115">
        <f>Costs!B6</f>
        <v>0.58749066649983317</v>
      </c>
      <c r="G12" s="113">
        <v>0</v>
      </c>
      <c r="H12" s="112" t="s">
        <v>1198</v>
      </c>
      <c r="I12" s="115"/>
      <c r="J12" s="111"/>
      <c r="K12" s="111"/>
      <c r="L12" s="111"/>
      <c r="M12" s="111"/>
      <c r="N12" s="111"/>
      <c r="O12" s="111"/>
      <c r="P12" s="111"/>
      <c r="Q12" s="111"/>
    </row>
    <row r="13" spans="1:106" ht="25.5">
      <c r="A13" t="str">
        <f t="shared" si="0"/>
        <v>Multi Family Weatherization - Insulate Attic - R-0 to R-38 - Heating Zone 1 (Average Heating System)Multi Family Weatherization - Insulate Attic - R-0 to R-38 - Heating Zone 1 (Average Heating System)</v>
      </c>
      <c r="B13" s="116" t="str">
        <f>Costs!$A7&amp;" - Heating Zone 1 (Average Heating System)"</f>
        <v>Multi Family Weatherization - Insulate Attic - R-0 to R-38 - Heating Zone 1 (Average Heating System)</v>
      </c>
      <c r="C13" s="116" t="str">
        <f>Costs!$A7&amp;" - Heating Zone 1 (Average Heating System)"</f>
        <v>Multi Family Weatherization - Insulate Attic - R-0 to R-38 - Heating Zone 1 (Average Heating System)</v>
      </c>
      <c r="D13" s="117">
        <f>VLOOKUP(C13,SEEMsavings!$A$5:$L$556,11,FALSE)+VLOOKUP(C13,SEEMsavings!$A$5:$L$556,12,FALSE)</f>
        <v>0.62571022838143853</v>
      </c>
      <c r="E13" s="113">
        <v>45</v>
      </c>
      <c r="F13" s="115">
        <f>Costs!B7</f>
        <v>1.1749813329996663</v>
      </c>
      <c r="G13" s="113">
        <v>0</v>
      </c>
      <c r="H13" s="112" t="s">
        <v>1198</v>
      </c>
      <c r="I13" s="115"/>
      <c r="J13" s="111"/>
      <c r="K13" s="111"/>
      <c r="L13" s="111"/>
      <c r="M13" s="111"/>
      <c r="N13" s="111"/>
      <c r="O13" s="111"/>
      <c r="P13" s="111"/>
      <c r="Q13" s="111"/>
    </row>
    <row r="14" spans="1:106" ht="25.5">
      <c r="A14" t="str">
        <f t="shared" si="0"/>
        <v>Multi Family Weatherization - Insulate Attic - R-0 to R-49 - Heating Zone 1 (Average Heating System)Multi Family Weatherization - Insulate Attic - R-0 to R-49 - Heating Zone 1 (Average Heating System)</v>
      </c>
      <c r="B14" s="116" t="str">
        <f>Costs!$A8&amp;" - Heating Zone 1 (Average Heating System)"</f>
        <v>Multi Family Weatherization - Insulate Attic - R-0 to R-49 - Heating Zone 1 (Average Heating System)</v>
      </c>
      <c r="C14" s="116" t="str">
        <f>Costs!$A8&amp;" - Heating Zone 1 (Average Heating System)"</f>
        <v>Multi Family Weatherization - Insulate Attic - R-0 to R-49 - Heating Zone 1 (Average Heating System)</v>
      </c>
      <c r="D14" s="117">
        <f>VLOOKUP(C14,SEEMsavings!$A$5:$L$556,11,FALSE)+VLOOKUP(C14,SEEMsavings!$A$5:$L$556,12,FALSE)</f>
        <v>0.66405395650255017</v>
      </c>
      <c r="E14" s="113">
        <v>45</v>
      </c>
      <c r="F14" s="115">
        <f>Costs!B8</f>
        <v>1.515107508341675</v>
      </c>
      <c r="G14" s="113">
        <v>0</v>
      </c>
      <c r="H14" s="112" t="s">
        <v>1198</v>
      </c>
      <c r="I14" s="115"/>
      <c r="J14" s="111"/>
      <c r="K14" s="111"/>
      <c r="L14" s="111"/>
      <c r="M14" s="111"/>
      <c r="N14" s="111"/>
      <c r="O14" s="111"/>
      <c r="P14" s="111"/>
      <c r="Q14" s="111"/>
    </row>
    <row r="15" spans="1:106" ht="25.5">
      <c r="A15" t="str">
        <f t="shared" si="0"/>
        <v>Multi Family Weatherization - Insulate Attic - R-30 to R-38 - Heating Zone 1 (Average Heating System)Multi Family Weatherization - Insulate Attic - R-30 to R-38 - Heating Zone 1 (Average Heating System)</v>
      </c>
      <c r="B15" s="116" t="str">
        <f>Costs!$A9&amp;" - Heating Zone 1 (Average Heating System)"</f>
        <v>Multi Family Weatherization - Insulate Attic - R-30 to R-38 - Heating Zone 1 (Average Heating System)</v>
      </c>
      <c r="C15" s="116" t="str">
        <f>Costs!$A9&amp;" - Heating Zone 1 (Average Heating System)"</f>
        <v>Multi Family Weatherization - Insulate Attic - R-30 to R-38 - Heating Zone 1 (Average Heating System)</v>
      </c>
      <c r="D15" s="117">
        <f>VLOOKUP(C15,SEEMsavings!$A$5:$L$556,11,FALSE)+VLOOKUP(C15,SEEMsavings!$A$5:$L$556,12,FALSE)</f>
        <v>4.5587402269869078E-2</v>
      </c>
      <c r="E15" s="113">
        <v>45</v>
      </c>
      <c r="F15" s="115">
        <f>Costs!B9</f>
        <v>0.2473644911578245</v>
      </c>
      <c r="G15" s="113">
        <v>0</v>
      </c>
      <c r="H15" s="112" t="s">
        <v>1198</v>
      </c>
      <c r="I15" s="115"/>
      <c r="J15" s="111"/>
      <c r="K15" s="111"/>
      <c r="L15" s="111"/>
      <c r="M15" s="111"/>
      <c r="N15" s="111"/>
      <c r="O15" s="111"/>
      <c r="P15" s="111"/>
      <c r="Q15" s="111"/>
    </row>
    <row r="16" spans="1:106" ht="25.5">
      <c r="A16" t="str">
        <f t="shared" si="0"/>
        <v>Multi Family Weatherization - Insulate Attic - R-30 to R-49 - Heating Zone 1 (Average Heating System)Multi Family Weatherization - Insulate Attic - R-30 to R-49 - Heating Zone 1 (Average Heating System)</v>
      </c>
      <c r="B16" s="116" t="str">
        <f>Costs!$A10&amp;" - Heating Zone 1 (Average Heating System)"</f>
        <v>Multi Family Weatherization - Insulate Attic - R-30 to R-49 - Heating Zone 1 (Average Heating System)</v>
      </c>
      <c r="C16" s="116" t="str">
        <f>Costs!$A10&amp;" - Heating Zone 1 (Average Heating System)"</f>
        <v>Multi Family Weatherization - Insulate Attic - R-30 to R-49 - Heating Zone 1 (Average Heating System)</v>
      </c>
      <c r="D16" s="117">
        <f>VLOOKUP(C16,SEEMsavings!$A$5:$L$556,11,FALSE)+VLOOKUP(C16,SEEMsavings!$A$5:$L$556,12,FALSE)</f>
        <v>8.3931130390980643E-2</v>
      </c>
      <c r="E16" s="113">
        <v>45</v>
      </c>
      <c r="F16" s="115">
        <f>Costs!B10</f>
        <v>0.58749066649983317</v>
      </c>
      <c r="G16" s="113">
        <v>0</v>
      </c>
      <c r="H16" s="112" t="s">
        <v>1198</v>
      </c>
      <c r="I16" s="115"/>
      <c r="J16" s="111"/>
      <c r="K16" s="111"/>
      <c r="L16" s="111"/>
      <c r="M16" s="111"/>
      <c r="N16" s="111"/>
      <c r="O16" s="111"/>
      <c r="P16" s="111"/>
      <c r="Q16" s="111"/>
    </row>
    <row r="17" spans="1:17" ht="25.5">
      <c r="A17" t="str">
        <f t="shared" si="0"/>
        <v>Multi Family Weatherization - Insulate Attic - R-38 to R-49 - Heating Zone 1 (Average Heating System)Multi Family Weatherization - Insulate Attic - R-38 to R-49 - Heating Zone 1 (Average Heating System)</v>
      </c>
      <c r="B17" s="116" t="str">
        <f>Costs!$A11&amp;" - Heating Zone 1 (Average Heating System)"</f>
        <v>Multi Family Weatherization - Insulate Attic - R-38 to R-49 - Heating Zone 1 (Average Heating System)</v>
      </c>
      <c r="C17" s="116" t="str">
        <f>Costs!$A11&amp;" - Heating Zone 1 (Average Heating System)"</f>
        <v>Multi Family Weatherization - Insulate Attic - R-38 to R-49 - Heating Zone 1 (Average Heating System)</v>
      </c>
      <c r="D17" s="117">
        <f>VLOOKUP(C17,SEEMsavings!$A$5:$L$556,11,FALSE)+VLOOKUP(C17,SEEMsavings!$A$5:$L$556,12,FALSE)</f>
        <v>3.8343728121111538E-2</v>
      </c>
      <c r="E17" s="113">
        <v>45</v>
      </c>
      <c r="F17" s="115">
        <f>Costs!B11</f>
        <v>0.34012617534200867</v>
      </c>
      <c r="G17" s="113">
        <v>0</v>
      </c>
      <c r="H17" s="112" t="s">
        <v>1198</v>
      </c>
      <c r="I17" s="115"/>
      <c r="J17" s="27"/>
      <c r="K17" s="27"/>
      <c r="L17" s="27"/>
      <c r="M17" s="27"/>
      <c r="N17" s="27"/>
      <c r="O17" s="27"/>
      <c r="P17" s="27"/>
      <c r="Q17" s="27"/>
    </row>
    <row r="18" spans="1:17" ht="25.5">
      <c r="A18" t="str">
        <f t="shared" si="0"/>
        <v>Multi Family Weatherization - Insulate Attic - R-19 to R-30 - Heating Zone 1 (Average Heating System)Multi Family Weatherization - Insulate Attic - R-19 to R-30 - Heating Zone 1 (Average Heating System)</v>
      </c>
      <c r="B18" s="116" t="str">
        <f>Costs!$A12&amp;" - Heating Zone 1 (Average Heating System)"</f>
        <v>Multi Family Weatherization - Insulate Attic - R-19 to R-30 - Heating Zone 1 (Average Heating System)</v>
      </c>
      <c r="C18" s="116" t="str">
        <f>Costs!$A12&amp;" - Heating Zone 1 (Average Heating System)"</f>
        <v>Multi Family Weatherization - Insulate Attic - R-19 to R-30 - Heating Zone 1 (Average Heating System)</v>
      </c>
      <c r="D18" s="117">
        <f>VLOOKUP(C18,SEEMsavings!$A$5:$L$556,11,FALSE)+VLOOKUP(C18,SEEMsavings!$A$5:$L$556,12,FALSE)</f>
        <v>0.12018582843346591</v>
      </c>
      <c r="E18" s="113">
        <v>45</v>
      </c>
      <c r="F18" s="115">
        <f>Costs!B12</f>
        <v>0.34012617534200867</v>
      </c>
      <c r="G18" s="113">
        <v>0</v>
      </c>
      <c r="H18" s="112" t="s">
        <v>1198</v>
      </c>
      <c r="I18" s="115"/>
      <c r="J18" s="27"/>
      <c r="K18" s="27"/>
      <c r="L18" s="27"/>
      <c r="M18" s="27"/>
      <c r="N18" s="27"/>
      <c r="O18" s="27"/>
      <c r="P18" s="27"/>
      <c r="Q18" s="27"/>
    </row>
    <row r="19" spans="1:17" ht="25.5">
      <c r="A19" t="str">
        <f t="shared" si="0"/>
        <v>Multi Family Weatherization - Insulate Attic - R-19 to R-38 - Heating Zone 1 (Average Heating System)Multi Family Weatherization - Insulate Attic - R-19 to R-38 - Heating Zone 1 (Average Heating System)</v>
      </c>
      <c r="B19" s="116" t="str">
        <f>Costs!$A13&amp;" - Heating Zone 1 (Average Heating System)"</f>
        <v>Multi Family Weatherization - Insulate Attic - R-19 to R-38 - Heating Zone 1 (Average Heating System)</v>
      </c>
      <c r="C19" s="116" t="str">
        <f>Costs!$A13&amp;" - Heating Zone 1 (Average Heating System)"</f>
        <v>Multi Family Weatherization - Insulate Attic - R-19 to R-38 - Heating Zone 1 (Average Heating System)</v>
      </c>
      <c r="D19" s="117">
        <f>VLOOKUP(C19,SEEMsavings!$A$5:$L$556,11,FALSE)+VLOOKUP(C19,SEEMsavings!$A$5:$L$556,12,FALSE)</f>
        <v>0.16577323070333499</v>
      </c>
      <c r="E19" s="113">
        <v>45</v>
      </c>
      <c r="F19" s="115">
        <f>Costs!B13</f>
        <v>0.58749066649983317</v>
      </c>
      <c r="G19" s="113">
        <v>0</v>
      </c>
      <c r="H19" s="112" t="s">
        <v>1198</v>
      </c>
      <c r="I19" s="115"/>
      <c r="J19" s="27"/>
      <c r="K19" s="27"/>
      <c r="L19" s="27"/>
      <c r="M19" s="27"/>
      <c r="N19" s="27"/>
      <c r="O19" s="27"/>
      <c r="P19" s="27"/>
      <c r="Q19" s="27"/>
    </row>
    <row r="20" spans="1:17" ht="25.5">
      <c r="A20" t="str">
        <f t="shared" si="0"/>
        <v>Multi Family Weatherization - Insulate Attic - R-19 to R-49 - Heating Zone 1 (Average Heating System)Multi Family Weatherization - Insulate Attic - R-19 to R-49 - Heating Zone 1 (Average Heating System)</v>
      </c>
      <c r="B20" s="116" t="str">
        <f>Costs!$A14&amp;" - Heating Zone 1 (Average Heating System)"</f>
        <v>Multi Family Weatherization - Insulate Attic - R-19 to R-49 - Heating Zone 1 (Average Heating System)</v>
      </c>
      <c r="C20" s="116" t="str">
        <f>Costs!$A14&amp;" - Heating Zone 1 (Average Heating System)"</f>
        <v>Multi Family Weatherization - Insulate Attic - R-19 to R-49 - Heating Zone 1 (Average Heating System)</v>
      </c>
      <c r="D20" s="117">
        <f>VLOOKUP(C20,SEEMsavings!$A$5:$L$556,11,FALSE)+VLOOKUP(C20,SEEMsavings!$A$5:$L$556,12,FALSE)</f>
        <v>0.20411695882444653</v>
      </c>
      <c r="E20" s="113">
        <v>45</v>
      </c>
      <c r="F20" s="115">
        <f>Costs!B14</f>
        <v>0.9276168418418419</v>
      </c>
      <c r="G20" s="113">
        <v>0</v>
      </c>
      <c r="H20" s="112" t="s">
        <v>1198</v>
      </c>
      <c r="I20" s="115"/>
      <c r="J20" s="27"/>
      <c r="K20" s="27"/>
      <c r="L20" s="27"/>
      <c r="M20" s="27"/>
      <c r="N20" s="27"/>
      <c r="O20" s="27"/>
      <c r="P20" s="27"/>
      <c r="Q20" s="27"/>
    </row>
    <row r="21" spans="1:17">
      <c r="A21" t="str">
        <f t="shared" si="0"/>
        <v>Windows - Single Pane to Class 22 - Heating Zone 1 (Average Heating System)Windows - Single Pane to Class 22 - Heating Zone 1 (Average Heating System)</v>
      </c>
      <c r="B21" s="116" t="str">
        <f>Costs!$A15&amp;" - Heating Zone 1 (Average Heating System)"</f>
        <v>Windows - Single Pane to Class 22 - Heating Zone 1 (Average Heating System)</v>
      </c>
      <c r="C21" s="116" t="str">
        <f>Costs!$A15&amp;" - Heating Zone 1 (Average Heating System)"</f>
        <v>Windows - Single Pane to Class 22 - Heating Zone 1 (Average Heating System)</v>
      </c>
      <c r="D21" s="117">
        <f>VLOOKUP(C21,SEEMsavings!$A$5:$L$556,11,FALSE)+VLOOKUP(C21,SEEMsavings!$A$5:$L$556,12,FALSE)</f>
        <v>22.886026671589505</v>
      </c>
      <c r="E21" s="113">
        <v>45</v>
      </c>
      <c r="F21" s="115">
        <f>Costs!B15</f>
        <v>23.573200327964955</v>
      </c>
      <c r="G21" s="113">
        <v>0</v>
      </c>
      <c r="H21" s="112" t="s">
        <v>1198</v>
      </c>
      <c r="I21" s="115"/>
      <c r="J21" s="27"/>
      <c r="K21" s="27"/>
      <c r="L21" s="27"/>
      <c r="M21" s="27"/>
      <c r="N21" s="27"/>
      <c r="O21" s="27"/>
      <c r="P21" s="27"/>
      <c r="Q21" s="27"/>
    </row>
    <row r="22" spans="1:17">
      <c r="A22" t="str">
        <f t="shared" si="0"/>
        <v>Windows - Double Pane to Class 22 - Heating Zone 1 (Average Heating System)Windows - Double Pane to Class 22 - Heating Zone 1 (Average Heating System)</v>
      </c>
      <c r="B22" s="116" t="str">
        <f>Costs!$A16&amp;" - Heating Zone 1 (Average Heating System)"</f>
        <v>Windows - Double Pane to Class 22 - Heating Zone 1 (Average Heating System)</v>
      </c>
      <c r="C22" s="116" t="str">
        <f>Costs!$A16&amp;" - Heating Zone 1 (Average Heating System)"</f>
        <v>Windows - Double Pane to Class 22 - Heating Zone 1 (Average Heating System)</v>
      </c>
      <c r="D22" s="117">
        <f>VLOOKUP(C22,SEEMsavings!$A$5:$L$556,11,FALSE)+VLOOKUP(C22,SEEMsavings!$A$5:$L$556,12,FALSE)</f>
        <v>13.482575564679603</v>
      </c>
      <c r="E22" s="113">
        <v>45</v>
      </c>
      <c r="F22" s="115">
        <f>Costs!B16</f>
        <v>23.573200327964955</v>
      </c>
      <c r="G22" s="113">
        <v>0</v>
      </c>
      <c r="H22" s="112" t="s">
        <v>1198</v>
      </c>
      <c r="I22" s="115"/>
      <c r="J22" s="27"/>
      <c r="K22" s="27"/>
      <c r="L22" s="27"/>
      <c r="M22" s="27"/>
      <c r="N22" s="27"/>
      <c r="O22" s="27"/>
      <c r="P22" s="27"/>
      <c r="Q22" s="27"/>
    </row>
    <row r="23" spans="1:17">
      <c r="A23" t="str">
        <f t="shared" si="0"/>
        <v>Windows - Single Pane to Class 30 - Heating Zone 1 (Average Heating System)Windows - Single Pane to Class 30 - Heating Zone 1 (Average Heating System)</v>
      </c>
      <c r="B23" s="116" t="str">
        <f>Costs!$A17&amp;" - Heating Zone 1 (Average Heating System)"</f>
        <v>Windows - Single Pane to Class 30 - Heating Zone 1 (Average Heating System)</v>
      </c>
      <c r="C23" s="116" t="str">
        <f>Costs!$A17&amp;" - Heating Zone 1 (Average Heating System)"</f>
        <v>Windows - Single Pane to Class 30 - Heating Zone 1 (Average Heating System)</v>
      </c>
      <c r="D23" s="117">
        <f>VLOOKUP(C23,SEEMsavings!$A$5:$L$556,11,FALSE)+VLOOKUP(C23,SEEMsavings!$A$5:$L$556,12,FALSE)</f>
        <v>21.081524777509287</v>
      </c>
      <c r="E23" s="113">
        <v>45</v>
      </c>
      <c r="F23" s="115">
        <f>Costs!B17</f>
        <v>22.213200327964955</v>
      </c>
      <c r="G23" s="113">
        <v>0</v>
      </c>
      <c r="H23" s="112" t="s">
        <v>1198</v>
      </c>
      <c r="I23" s="115"/>
      <c r="J23" s="27"/>
      <c r="K23" s="27"/>
      <c r="L23" s="27"/>
      <c r="M23" s="27"/>
      <c r="N23" s="27"/>
      <c r="O23" s="27"/>
      <c r="P23" s="27"/>
      <c r="Q23" s="27"/>
    </row>
    <row r="24" spans="1:17">
      <c r="A24" t="str">
        <f t="shared" si="0"/>
        <v>Windows - Double Pane to Class 30 - Heating Zone 1 (Average Heating System)Windows - Double Pane to Class 30 - Heating Zone 1 (Average Heating System)</v>
      </c>
      <c r="B24" s="116" t="str">
        <f>Costs!$A18&amp;" - Heating Zone 1 (Average Heating System)"</f>
        <v>Windows - Double Pane to Class 30 - Heating Zone 1 (Average Heating System)</v>
      </c>
      <c r="C24" s="116" t="str">
        <f>Costs!$A18&amp;" - Heating Zone 1 (Average Heating System)"</f>
        <v>Windows - Double Pane to Class 30 - Heating Zone 1 (Average Heating System)</v>
      </c>
      <c r="D24" s="117">
        <f>VLOOKUP(C24,SEEMsavings!$A$5:$L$556,11,FALSE)+VLOOKUP(C24,SEEMsavings!$A$5:$L$556,12,FALSE)</f>
        <v>11.678073670599387</v>
      </c>
      <c r="E24" s="113">
        <v>45</v>
      </c>
      <c r="F24" s="115">
        <f>Costs!B18</f>
        <v>22.213200327964955</v>
      </c>
      <c r="G24" s="113">
        <v>0</v>
      </c>
      <c r="H24" s="112" t="s">
        <v>1198</v>
      </c>
      <c r="I24" s="115"/>
      <c r="J24" s="27"/>
      <c r="K24" s="27"/>
      <c r="L24" s="27"/>
      <c r="M24" s="27"/>
      <c r="N24" s="27"/>
      <c r="O24" s="27"/>
      <c r="P24" s="27"/>
      <c r="Q24" s="27"/>
    </row>
    <row r="25" spans="1:17">
      <c r="A25" t="str">
        <f t="shared" si="0"/>
        <v>Windows - Class 35 to Class 30 - Heating Zone 1 (Average Heating System)Windows - Class 35 to Class 30 - Heating Zone 1 (Average Heating System)</v>
      </c>
      <c r="B25" s="116" t="str">
        <f>Costs!$A19&amp;" - Heating Zone 1 (Average Heating System)"</f>
        <v>Windows - Class 35 to Class 30 - Heating Zone 1 (Average Heating System)</v>
      </c>
      <c r="C25" s="116" t="str">
        <f>Costs!$A19&amp;" - Heating Zone 1 (Average Heating System)"</f>
        <v>Windows - Class 35 to Class 30 - Heating Zone 1 (Average Heating System)</v>
      </c>
      <c r="D25" s="117">
        <f>VLOOKUP(C25,SEEMsavings!$A$5:$L$556,11,FALSE)+VLOOKUP(C25,SEEMsavings!$A$5:$L$556,12,FALSE)</f>
        <v>1.2407695467738495</v>
      </c>
      <c r="E25" s="113">
        <v>45</v>
      </c>
      <c r="F25" s="115">
        <f>Costs!B19</f>
        <v>0.9632509724857734</v>
      </c>
      <c r="G25" s="113">
        <v>0</v>
      </c>
      <c r="H25" s="112" t="s">
        <v>1198</v>
      </c>
      <c r="I25" s="115"/>
      <c r="J25" s="27"/>
      <c r="K25" s="27"/>
      <c r="L25" s="27"/>
      <c r="M25" s="27"/>
      <c r="N25" s="27"/>
      <c r="O25" s="27"/>
      <c r="P25" s="27"/>
      <c r="Q25" s="27"/>
    </row>
    <row r="26" spans="1:17">
      <c r="A26" t="str">
        <f t="shared" si="0"/>
        <v>Windows - Class 35 to Class 22 - Heating Zone 1 (Average Heating System)Windows - Class 35 to Class 22 - Heating Zone 1 (Average Heating System)</v>
      </c>
      <c r="B26" s="116" t="str">
        <f>Costs!$A20&amp;" - Heating Zone 1 (Average Heating System)"</f>
        <v>Windows - Class 35 to Class 22 - Heating Zone 1 (Average Heating System)</v>
      </c>
      <c r="C26" s="116" t="str">
        <f>Costs!$A20&amp;" - Heating Zone 1 (Average Heating System)"</f>
        <v>Windows - Class 35 to Class 22 - Heating Zone 1 (Average Heating System)</v>
      </c>
      <c r="D26" s="117">
        <f>VLOOKUP(C26,SEEMsavings!$A$5:$L$556,11,FALSE)+VLOOKUP(C26,SEEMsavings!$A$5:$L$556,12,FALSE)</f>
        <v>3.0452714408540658</v>
      </c>
      <c r="E26" s="113">
        <v>45</v>
      </c>
      <c r="F26" s="115">
        <f>Costs!B20</f>
        <v>2.3232509724857735</v>
      </c>
      <c r="G26" s="113">
        <v>0</v>
      </c>
      <c r="H26" s="112" t="s">
        <v>1198</v>
      </c>
      <c r="I26" s="115"/>
      <c r="J26" s="27"/>
      <c r="K26" s="27"/>
      <c r="L26" s="27"/>
      <c r="M26" s="27"/>
      <c r="N26" s="27"/>
      <c r="O26" s="27"/>
      <c r="P26" s="27"/>
      <c r="Q26" s="27"/>
    </row>
    <row r="27" spans="1:17" ht="25.5">
      <c r="A27" t="str">
        <f t="shared" si="0"/>
        <v>Multi Family Weatherization - Insulate Walls - R-0 to R-11 - Heating Zone 2 (Average Heating System)Multi Family Weatherization - Insulate Walls - R-0 to R-11 - Heating Zone 2 (Average Heating System)</v>
      </c>
      <c r="B27" s="116" t="str">
        <f>Costs!$A2&amp;" - Heating Zone 2 (Average Heating System)"</f>
        <v>Multi Family Weatherization - Insulate Walls - R-0 to R-11 - Heating Zone 2 (Average Heating System)</v>
      </c>
      <c r="C27" s="116" t="str">
        <f>Costs!$A2&amp;" - Heating Zone 2 (Average Heating System)"</f>
        <v>Multi Family Weatherization - Insulate Walls - R-0 to R-11 - Heating Zone 2 (Average Heating System)</v>
      </c>
      <c r="D27" s="117">
        <f>VLOOKUP(C27,SEEMsavings!$A$5:$L$556,11,FALSE)+VLOOKUP(C27,SEEMsavings!$A$5:$L$556,12,FALSE)</f>
        <v>1.7368255619329234</v>
      </c>
      <c r="E27" s="113">
        <v>45</v>
      </c>
      <c r="F27" s="115">
        <f t="shared" ref="F27:F90" si="1">F8</f>
        <v>0.85033582942530117</v>
      </c>
      <c r="G27" s="113">
        <v>0</v>
      </c>
      <c r="H27" s="112" t="s">
        <v>1198</v>
      </c>
      <c r="I27" s="115"/>
      <c r="J27" s="27"/>
      <c r="K27" s="27"/>
      <c r="L27" s="27"/>
      <c r="M27" s="27"/>
      <c r="N27" s="27"/>
      <c r="O27" s="27"/>
      <c r="P27" s="27"/>
      <c r="Q27" s="27"/>
    </row>
    <row r="28" spans="1:17" ht="25.5">
      <c r="A28" t="str">
        <f t="shared" si="0"/>
        <v>Multi Family Weatherization - Insulate Floors - R-0 to R-19 - Heating Zone 2 (Average Heating System)Multi Family Weatherization - Insulate Floors - R-0 to R-19 - Heating Zone 2 (Average Heating System)</v>
      </c>
      <c r="B28" s="116" t="str">
        <f>Costs!$A3&amp;" - Heating Zone 2 (Average Heating System)"</f>
        <v>Multi Family Weatherization - Insulate Floors - R-0 to R-19 - Heating Zone 2 (Average Heating System)</v>
      </c>
      <c r="C28" s="116" t="str">
        <f>Costs!$A3&amp;" - Heating Zone 2 (Average Heating System)"</f>
        <v>Multi Family Weatherization - Insulate Floors - R-0 to R-19 - Heating Zone 2 (Average Heating System)</v>
      </c>
      <c r="D28" s="117">
        <f>VLOOKUP(C28,SEEMsavings!$A$5:$L$556,11,FALSE)+VLOOKUP(C28,SEEMsavings!$A$5:$L$556,12,FALSE)</f>
        <v>0.69490938477128383</v>
      </c>
      <c r="E28" s="113">
        <v>45</v>
      </c>
      <c r="F28" s="115">
        <f t="shared" si="1"/>
        <v>1.1190178820234826</v>
      </c>
      <c r="G28" s="113">
        <v>0</v>
      </c>
      <c r="H28" s="112" t="s">
        <v>1198</v>
      </c>
      <c r="I28" s="115"/>
      <c r="J28" s="27"/>
      <c r="K28" s="27"/>
      <c r="L28" s="27"/>
      <c r="M28" s="27"/>
      <c r="N28" s="27"/>
      <c r="O28" s="27"/>
      <c r="P28" s="27"/>
      <c r="Q28" s="27"/>
    </row>
    <row r="29" spans="1:17" ht="25.5">
      <c r="A29" t="str">
        <f t="shared" si="0"/>
        <v>Multi Family Weatherization - Insulate Floors - R-0 to R-30 - Heating Zone 2 (Average Heating System)Multi Family Weatherization - Insulate Floors - R-0 to R-30 - Heating Zone 2 (Average Heating System)</v>
      </c>
      <c r="B29" s="116" t="str">
        <f>Costs!$A4&amp;" - Heating Zone 2 (Average Heating System)"</f>
        <v>Multi Family Weatherization - Insulate Floors - R-0 to R-30 - Heating Zone 2 (Average Heating System)</v>
      </c>
      <c r="C29" s="116" t="str">
        <f>Costs!$A4&amp;" - Heating Zone 2 (Average Heating System)"</f>
        <v>Multi Family Weatherization - Insulate Floors - R-0 to R-30 - Heating Zone 2 (Average Heating System)</v>
      </c>
      <c r="D29" s="117">
        <f>VLOOKUP(C29,SEEMsavings!$A$5:$L$556,11,FALSE)+VLOOKUP(C29,SEEMsavings!$A$5:$L$556,12,FALSE)</f>
        <v>0.90585405038763023</v>
      </c>
      <c r="E29" s="113">
        <v>45</v>
      </c>
      <c r="F29" s="115">
        <f t="shared" si="1"/>
        <v>1.766870340037078</v>
      </c>
      <c r="G29" s="113">
        <v>0</v>
      </c>
      <c r="H29" s="112" t="s">
        <v>1198</v>
      </c>
      <c r="I29" s="115"/>
      <c r="J29" s="27"/>
      <c r="K29" s="27"/>
      <c r="L29" s="27"/>
      <c r="M29" s="27"/>
      <c r="N29" s="27"/>
      <c r="O29" s="27"/>
      <c r="P29" s="27"/>
      <c r="Q29" s="27"/>
    </row>
    <row r="30" spans="1:17" ht="25.5">
      <c r="A30" t="str">
        <f t="shared" si="0"/>
        <v>Multi Family Weatherization - Insulate Floors - R-19 to R-30 - Heating Zone 2 (Average Heating System)Multi Family Weatherization - Insulate Floors - R-19 to R-30 - Heating Zone 2 (Average Heating System)</v>
      </c>
      <c r="B30" s="116" t="str">
        <f>Costs!$A5&amp;" - Heating Zone 2 (Average Heating System)"</f>
        <v>Multi Family Weatherization - Insulate Floors - R-19 to R-30 - Heating Zone 2 (Average Heating System)</v>
      </c>
      <c r="C30" s="116" t="str">
        <f>Costs!$A5&amp;" - Heating Zone 2 (Average Heating System)"</f>
        <v>Multi Family Weatherization - Insulate Floors - R-19 to R-30 - Heating Zone 2 (Average Heating System)</v>
      </c>
      <c r="D30" s="117">
        <f>VLOOKUP(C30,SEEMsavings!$A$5:$L$556,11,FALSE)+VLOOKUP(C30,SEEMsavings!$A$5:$L$556,12,FALSE)</f>
        <v>0.21094466561634631</v>
      </c>
      <c r="E30" s="113">
        <v>45</v>
      </c>
      <c r="F30" s="115">
        <f t="shared" si="1"/>
        <v>0.64785245801359526</v>
      </c>
      <c r="G30" s="113">
        <v>0</v>
      </c>
      <c r="H30" s="112" t="s">
        <v>1198</v>
      </c>
      <c r="I30" s="115"/>
      <c r="J30" s="27"/>
      <c r="K30" s="27"/>
      <c r="L30" s="27"/>
      <c r="M30" s="27"/>
      <c r="N30" s="27"/>
      <c r="O30" s="27"/>
      <c r="P30" s="27"/>
      <c r="Q30" s="27"/>
    </row>
    <row r="31" spans="1:17" ht="25.5">
      <c r="A31" t="str">
        <f t="shared" si="0"/>
        <v>Multi Family Weatherization - Insulate Attic - R-0 to R-19 - Heating Zone 2 (Average Heating System)Multi Family Weatherization - Insulate Attic - R-0 to R-19 - Heating Zone 2 (Average Heating System)</v>
      </c>
      <c r="B31" s="116" t="str">
        <f>Costs!$A6&amp;" - Heating Zone 2 (Average Heating System)"</f>
        <v>Multi Family Weatherization - Insulate Attic - R-0 to R-19 - Heating Zone 2 (Average Heating System)</v>
      </c>
      <c r="C31" s="116" t="str">
        <f>Costs!$A6&amp;" - Heating Zone 2 (Average Heating System)"</f>
        <v>Multi Family Weatherization - Insulate Attic - R-0 to R-19 - Heating Zone 2 (Average Heating System)</v>
      </c>
      <c r="D31" s="117">
        <f>VLOOKUP(C31,SEEMsavings!$A$5:$L$556,11,FALSE)+VLOOKUP(C31,SEEMsavings!$A$5:$L$556,12,FALSE)</f>
        <v>0.47514091011837806</v>
      </c>
      <c r="E31" s="113">
        <v>45</v>
      </c>
      <c r="F31" s="115">
        <f t="shared" si="1"/>
        <v>0.58749066649983317</v>
      </c>
      <c r="G31" s="113">
        <v>0</v>
      </c>
      <c r="H31" s="112" t="s">
        <v>1198</v>
      </c>
      <c r="I31" s="115"/>
      <c r="J31" s="27"/>
      <c r="K31" s="27"/>
      <c r="L31" s="27"/>
      <c r="M31" s="27"/>
      <c r="N31" s="27"/>
      <c r="O31" s="27"/>
      <c r="P31" s="27"/>
      <c r="Q31" s="27"/>
    </row>
    <row r="32" spans="1:17" ht="25.5">
      <c r="A32" t="str">
        <f t="shared" si="0"/>
        <v>Multi Family Weatherization - Insulate Attic - R-0 to R-38 - Heating Zone 2 (Average Heating System)Multi Family Weatherization - Insulate Attic - R-0 to R-38 - Heating Zone 2 (Average Heating System)</v>
      </c>
      <c r="B32" s="116" t="str">
        <f>Costs!$A7&amp;" - Heating Zone 2 (Average Heating System)"</f>
        <v>Multi Family Weatherization - Insulate Attic - R-0 to R-38 - Heating Zone 2 (Average Heating System)</v>
      </c>
      <c r="C32" s="116" t="str">
        <f>Costs!$A7&amp;" - Heating Zone 2 (Average Heating System)"</f>
        <v>Multi Family Weatherization - Insulate Attic - R-0 to R-38 - Heating Zone 2 (Average Heating System)</v>
      </c>
      <c r="D32" s="117">
        <f>VLOOKUP(C32,SEEMsavings!$A$5:$L$556,11,FALSE)+VLOOKUP(C32,SEEMsavings!$A$5:$L$556,12,FALSE)</f>
        <v>0.64754294736195028</v>
      </c>
      <c r="E32" s="113">
        <v>45</v>
      </c>
      <c r="F32" s="115">
        <f t="shared" si="1"/>
        <v>1.1749813329996663</v>
      </c>
      <c r="G32" s="113">
        <v>0</v>
      </c>
      <c r="H32" s="112" t="s">
        <v>1198</v>
      </c>
      <c r="I32" s="115"/>
      <c r="J32" s="27"/>
      <c r="K32" s="27"/>
      <c r="L32" s="27"/>
      <c r="M32" s="27"/>
      <c r="N32" s="27"/>
      <c r="O32" s="27"/>
      <c r="P32" s="27"/>
      <c r="Q32" s="27"/>
    </row>
    <row r="33" spans="1:17" ht="25.5">
      <c r="A33" t="str">
        <f t="shared" si="0"/>
        <v>Multi Family Weatherization - Insulate Attic - R-0 to R-49 - Heating Zone 2 (Average Heating System)Multi Family Weatherization - Insulate Attic - R-0 to R-49 - Heating Zone 2 (Average Heating System)</v>
      </c>
      <c r="B33" s="116" t="str">
        <f>Costs!$A8&amp;" - Heating Zone 2 (Average Heating System)"</f>
        <v>Multi Family Weatherization - Insulate Attic - R-0 to R-49 - Heating Zone 2 (Average Heating System)</v>
      </c>
      <c r="C33" s="116" t="str">
        <f>Costs!$A8&amp;" - Heating Zone 2 (Average Heating System)"</f>
        <v>Multi Family Weatherization - Insulate Attic - R-0 to R-49 - Heating Zone 2 (Average Heating System)</v>
      </c>
      <c r="D33" s="117">
        <f>VLOOKUP(C33,SEEMsavings!$A$5:$L$556,11,FALSE)+VLOOKUP(C33,SEEMsavings!$A$5:$L$556,12,FALSE)</f>
        <v>0.68758394148508317</v>
      </c>
      <c r="E33" s="113">
        <v>45</v>
      </c>
      <c r="F33" s="115">
        <f t="shared" si="1"/>
        <v>1.515107508341675</v>
      </c>
      <c r="G33" s="113">
        <v>0</v>
      </c>
      <c r="H33" s="112" t="s">
        <v>1198</v>
      </c>
      <c r="I33" s="115"/>
      <c r="J33" s="27"/>
      <c r="K33" s="27"/>
      <c r="L33" s="27"/>
      <c r="M33" s="27"/>
      <c r="N33" s="27"/>
      <c r="O33" s="27"/>
      <c r="P33" s="27"/>
      <c r="Q33" s="27"/>
    </row>
    <row r="34" spans="1:17" ht="25.5">
      <c r="A34" t="str">
        <f t="shared" si="0"/>
        <v>Multi Family Weatherization - Insulate Attic - R-30 to R-38 - Heating Zone 2 (Average Heating System)Multi Family Weatherization - Insulate Attic - R-30 to R-38 - Heating Zone 2 (Average Heating System)</v>
      </c>
      <c r="B34" s="116" t="str">
        <f>Costs!$A9&amp;" - Heating Zone 2 (Average Heating System)"</f>
        <v>Multi Family Weatherization - Insulate Attic - R-30 to R-38 - Heating Zone 2 (Average Heating System)</v>
      </c>
      <c r="C34" s="116" t="str">
        <f>Costs!$A9&amp;" - Heating Zone 2 (Average Heating System)"</f>
        <v>Multi Family Weatherization - Insulate Attic - R-30 to R-38 - Heating Zone 2 (Average Heating System)</v>
      </c>
      <c r="D34" s="117">
        <f>VLOOKUP(C34,SEEMsavings!$A$5:$L$556,11,FALSE)+VLOOKUP(C34,SEEMsavings!$A$5:$L$556,12,FALSE)</f>
        <v>4.7511844668919549E-2</v>
      </c>
      <c r="E34" s="113">
        <v>45</v>
      </c>
      <c r="F34" s="115">
        <f t="shared" si="1"/>
        <v>0.2473644911578245</v>
      </c>
      <c r="G34" s="113">
        <v>0</v>
      </c>
      <c r="H34" s="112" t="s">
        <v>1198</v>
      </c>
      <c r="I34" s="115"/>
      <c r="J34" s="27"/>
      <c r="K34" s="27"/>
      <c r="L34" s="27"/>
      <c r="M34" s="27"/>
      <c r="N34" s="27"/>
      <c r="O34" s="27"/>
      <c r="P34" s="27"/>
      <c r="Q34" s="27"/>
    </row>
    <row r="35" spans="1:17" ht="25.5">
      <c r="A35" t="str">
        <f t="shared" si="0"/>
        <v>Multi Family Weatherization - Insulate Attic - R-30 to R-49 - Heating Zone 2 (Average Heating System)Multi Family Weatherization - Insulate Attic - R-30 to R-49 - Heating Zone 2 (Average Heating System)</v>
      </c>
      <c r="B35" s="116" t="str">
        <f>Costs!$A10&amp;" - Heating Zone 2 (Average Heating System)"</f>
        <v>Multi Family Weatherization - Insulate Attic - R-30 to R-49 - Heating Zone 2 (Average Heating System)</v>
      </c>
      <c r="C35" s="116" t="str">
        <f>Costs!$A10&amp;" - Heating Zone 2 (Average Heating System)"</f>
        <v>Multi Family Weatherization - Insulate Attic - R-30 to R-49 - Heating Zone 2 (Average Heating System)</v>
      </c>
      <c r="D35" s="117">
        <f>VLOOKUP(C35,SEEMsavings!$A$5:$L$556,11,FALSE)+VLOOKUP(C35,SEEMsavings!$A$5:$L$556,12,FALSE)</f>
        <v>8.7552838792052431E-2</v>
      </c>
      <c r="E35" s="113">
        <v>45</v>
      </c>
      <c r="F35" s="115">
        <f t="shared" si="1"/>
        <v>0.58749066649983317</v>
      </c>
      <c r="G35" s="113">
        <v>0</v>
      </c>
      <c r="H35" s="112" t="s">
        <v>1198</v>
      </c>
      <c r="I35" s="115"/>
      <c r="J35" s="27"/>
      <c r="K35" s="27"/>
      <c r="L35" s="27"/>
      <c r="M35" s="27"/>
      <c r="N35" s="27"/>
      <c r="O35" s="27"/>
      <c r="P35" s="27"/>
      <c r="Q35" s="27"/>
    </row>
    <row r="36" spans="1:17" ht="25.5">
      <c r="A36" t="str">
        <f t="shared" si="0"/>
        <v>Multi Family Weatherization - Insulate Attic - R-38 to R-49 - Heating Zone 2 (Average Heating System)Multi Family Weatherization - Insulate Attic - R-38 to R-49 - Heating Zone 2 (Average Heating System)</v>
      </c>
      <c r="B36" s="116" t="str">
        <f>Costs!$A11&amp;" - Heating Zone 2 (Average Heating System)"</f>
        <v>Multi Family Weatherization - Insulate Attic - R-38 to R-49 - Heating Zone 2 (Average Heating System)</v>
      </c>
      <c r="C36" s="116" t="str">
        <f>Costs!$A11&amp;" - Heating Zone 2 (Average Heating System)"</f>
        <v>Multi Family Weatherization - Insulate Attic - R-38 to R-49 - Heating Zone 2 (Average Heating System)</v>
      </c>
      <c r="D36" s="117">
        <f>VLOOKUP(C36,SEEMsavings!$A$5:$L$556,11,FALSE)+VLOOKUP(C36,SEEMsavings!$A$5:$L$556,12,FALSE)</f>
        <v>4.0040994123132903E-2</v>
      </c>
      <c r="E36" s="113">
        <v>45</v>
      </c>
      <c r="F36" s="115">
        <f t="shared" si="1"/>
        <v>0.34012617534200867</v>
      </c>
      <c r="G36" s="113">
        <v>0</v>
      </c>
      <c r="H36" s="112" t="s">
        <v>1198</v>
      </c>
      <c r="I36" s="115"/>
      <c r="J36" s="27"/>
      <c r="K36" s="27"/>
      <c r="L36" s="27"/>
      <c r="M36" s="27"/>
      <c r="N36" s="27"/>
      <c r="O36" s="27"/>
      <c r="P36" s="27"/>
      <c r="Q36" s="27"/>
    </row>
    <row r="37" spans="1:17" ht="25.5">
      <c r="A37" t="str">
        <f t="shared" si="0"/>
        <v>Multi Family Weatherization - Insulate Attic - R-19 to R-30 - Heating Zone 2 (Average Heating System)Multi Family Weatherization - Insulate Attic - R-19 to R-30 - Heating Zone 2 (Average Heating System)</v>
      </c>
      <c r="B37" s="116" t="str">
        <f>Costs!$A12&amp;" - Heating Zone 2 (Average Heating System)"</f>
        <v>Multi Family Weatherization - Insulate Attic - R-19 to R-30 - Heating Zone 2 (Average Heating System)</v>
      </c>
      <c r="C37" s="116" t="str">
        <f>Costs!$A12&amp;" - Heating Zone 2 (Average Heating System)"</f>
        <v>Multi Family Weatherization - Insulate Attic - R-19 to R-30 - Heating Zone 2 (Average Heating System)</v>
      </c>
      <c r="D37" s="117">
        <f>VLOOKUP(C37,SEEMsavings!$A$5:$L$556,11,FALSE)+VLOOKUP(C37,SEEMsavings!$A$5:$L$556,12,FALSE)</f>
        <v>0.12489019257465257</v>
      </c>
      <c r="E37" s="113">
        <v>45</v>
      </c>
      <c r="F37" s="115">
        <f t="shared" si="1"/>
        <v>0.34012617534200867</v>
      </c>
      <c r="G37" s="113">
        <v>0</v>
      </c>
      <c r="H37" s="112" t="s">
        <v>1198</v>
      </c>
      <c r="I37" s="115"/>
      <c r="J37" s="27"/>
      <c r="K37" s="27"/>
      <c r="L37" s="27"/>
      <c r="M37" s="27"/>
      <c r="N37" s="27"/>
      <c r="O37" s="27"/>
      <c r="P37" s="27"/>
      <c r="Q37" s="27"/>
    </row>
    <row r="38" spans="1:17" ht="25.5">
      <c r="A38" t="str">
        <f t="shared" si="0"/>
        <v>Multi Family Weatherization - Insulate Attic - R-19 to R-38 - Heating Zone 2 (Average Heating System)Multi Family Weatherization - Insulate Attic - R-19 to R-38 - Heating Zone 2 (Average Heating System)</v>
      </c>
      <c r="B38" s="116" t="str">
        <f>Costs!$A13&amp;" - Heating Zone 2 (Average Heating System)"</f>
        <v>Multi Family Weatherization - Insulate Attic - R-19 to R-38 - Heating Zone 2 (Average Heating System)</v>
      </c>
      <c r="C38" s="116" t="str">
        <f>Costs!$A13&amp;" - Heating Zone 2 (Average Heating System)"</f>
        <v>Multi Family Weatherization - Insulate Attic - R-19 to R-38 - Heating Zone 2 (Average Heating System)</v>
      </c>
      <c r="D38" s="117">
        <f>VLOOKUP(C38,SEEMsavings!$A$5:$L$556,11,FALSE)+VLOOKUP(C38,SEEMsavings!$A$5:$L$556,12,FALSE)</f>
        <v>0.17240203724357211</v>
      </c>
      <c r="E38" s="113">
        <v>45</v>
      </c>
      <c r="F38" s="115">
        <f t="shared" si="1"/>
        <v>0.58749066649983317</v>
      </c>
      <c r="G38" s="113">
        <v>0</v>
      </c>
      <c r="H38" s="112" t="s">
        <v>1198</v>
      </c>
      <c r="I38" s="115"/>
      <c r="J38" s="27"/>
      <c r="K38" s="27"/>
      <c r="L38" s="27"/>
      <c r="M38" s="27"/>
      <c r="N38" s="27"/>
      <c r="O38" s="27"/>
      <c r="P38" s="27"/>
      <c r="Q38" s="27"/>
    </row>
    <row r="39" spans="1:17" ht="25.5">
      <c r="A39" t="str">
        <f t="shared" si="0"/>
        <v>Multi Family Weatherization - Insulate Attic - R-19 to R-49 - Heating Zone 2 (Average Heating System)Multi Family Weatherization - Insulate Attic - R-19 to R-49 - Heating Zone 2 (Average Heating System)</v>
      </c>
      <c r="B39" s="116" t="str">
        <f>Costs!$A14&amp;" - Heating Zone 2 (Average Heating System)"</f>
        <v>Multi Family Weatherization - Insulate Attic - R-19 to R-49 - Heating Zone 2 (Average Heating System)</v>
      </c>
      <c r="C39" s="116" t="str">
        <f>Costs!$A14&amp;" - Heating Zone 2 (Average Heating System)"</f>
        <v>Multi Family Weatherization - Insulate Attic - R-19 to R-49 - Heating Zone 2 (Average Heating System)</v>
      </c>
      <c r="D39" s="117">
        <f>VLOOKUP(C39,SEEMsavings!$A$5:$L$556,11,FALSE)+VLOOKUP(C39,SEEMsavings!$A$5:$L$556,12,FALSE)</f>
        <v>0.21244303136670503</v>
      </c>
      <c r="E39" s="113">
        <v>45</v>
      </c>
      <c r="F39" s="115">
        <f t="shared" si="1"/>
        <v>0.9276168418418419</v>
      </c>
      <c r="G39" s="113">
        <v>0</v>
      </c>
      <c r="H39" s="112" t="s">
        <v>1198</v>
      </c>
      <c r="I39" s="115"/>
      <c r="J39" s="27"/>
      <c r="K39" s="27"/>
      <c r="L39" s="27"/>
      <c r="M39" s="27"/>
      <c r="N39" s="27"/>
      <c r="O39" s="27"/>
      <c r="P39" s="27"/>
      <c r="Q39" s="27"/>
    </row>
    <row r="40" spans="1:17">
      <c r="A40" t="str">
        <f t="shared" si="0"/>
        <v>Windows - Single Pane to Class 22 - Heating Zone 2 (Average Heating System)Windows - Single Pane to Class 22 - Heating Zone 2 (Average Heating System)</v>
      </c>
      <c r="B40" s="116" t="str">
        <f>Costs!$A15&amp;" - Heating Zone 2 (Average Heating System)"</f>
        <v>Windows - Single Pane to Class 22 - Heating Zone 2 (Average Heating System)</v>
      </c>
      <c r="C40" s="116" t="str">
        <f>Costs!$A15&amp;" - Heating Zone 2 (Average Heating System)"</f>
        <v>Windows - Single Pane to Class 22 - Heating Zone 2 (Average Heating System)</v>
      </c>
      <c r="D40" s="117">
        <f>VLOOKUP(C40,SEEMsavings!$A$5:$L$556,11,FALSE)+VLOOKUP(C40,SEEMsavings!$A$5:$L$556,12,FALSE)</f>
        <v>31.742072850691848</v>
      </c>
      <c r="E40" s="113">
        <v>45</v>
      </c>
      <c r="F40" s="115">
        <f t="shared" si="1"/>
        <v>23.573200327964955</v>
      </c>
      <c r="G40" s="113">
        <v>0</v>
      </c>
      <c r="H40" s="112" t="s">
        <v>1198</v>
      </c>
      <c r="I40" s="115"/>
      <c r="J40" s="27"/>
      <c r="K40" s="27"/>
      <c r="L40" s="27"/>
      <c r="M40" s="27"/>
      <c r="N40" s="27"/>
      <c r="O40" s="27"/>
      <c r="P40" s="27"/>
      <c r="Q40" s="27"/>
    </row>
    <row r="41" spans="1:17">
      <c r="A41" t="str">
        <f t="shared" si="0"/>
        <v>Windows - Double Pane to Class 22 - Heating Zone 2 (Average Heating System)Windows - Double Pane to Class 22 - Heating Zone 2 (Average Heating System)</v>
      </c>
      <c r="B41" s="116" t="str">
        <f>Costs!$A16&amp;" - Heating Zone 2 (Average Heating System)"</f>
        <v>Windows - Double Pane to Class 22 - Heating Zone 2 (Average Heating System)</v>
      </c>
      <c r="C41" s="116" t="str">
        <f>Costs!$A16&amp;" - Heating Zone 2 (Average Heating System)"</f>
        <v>Windows - Double Pane to Class 22 - Heating Zone 2 (Average Heating System)</v>
      </c>
      <c r="D41" s="117">
        <f>VLOOKUP(C41,SEEMsavings!$A$5:$L$556,11,FALSE)+VLOOKUP(C41,SEEMsavings!$A$5:$L$556,12,FALSE)</f>
        <v>19.002627894415667</v>
      </c>
      <c r="E41" s="113">
        <v>45</v>
      </c>
      <c r="F41" s="115">
        <f t="shared" si="1"/>
        <v>23.573200327964955</v>
      </c>
      <c r="G41" s="113">
        <v>0</v>
      </c>
      <c r="H41" s="112" t="s">
        <v>1198</v>
      </c>
      <c r="I41" s="115"/>
      <c r="J41" s="27"/>
      <c r="K41" s="27"/>
      <c r="L41" s="27"/>
      <c r="M41" s="27"/>
      <c r="N41" s="27"/>
      <c r="O41" s="27"/>
      <c r="P41" s="27"/>
      <c r="Q41" s="27"/>
    </row>
    <row r="42" spans="1:17">
      <c r="A42" t="str">
        <f t="shared" si="0"/>
        <v>Windows - Single Pane to Class 30 - Heating Zone 2 (Average Heating System)Windows - Single Pane to Class 30 - Heating Zone 2 (Average Heating System)</v>
      </c>
      <c r="B42" s="116" t="str">
        <f>Costs!$A17&amp;" - Heating Zone 2 (Average Heating System)"</f>
        <v>Windows - Single Pane to Class 30 - Heating Zone 2 (Average Heating System)</v>
      </c>
      <c r="C42" s="116" t="str">
        <f>Costs!$A17&amp;" - Heating Zone 2 (Average Heating System)"</f>
        <v>Windows - Single Pane to Class 30 - Heating Zone 2 (Average Heating System)</v>
      </c>
      <c r="D42" s="117">
        <f>VLOOKUP(C42,SEEMsavings!$A$5:$L$556,11,FALSE)+VLOOKUP(C42,SEEMsavings!$A$5:$L$556,12,FALSE)</f>
        <v>29.150741819379277</v>
      </c>
      <c r="E42" s="113">
        <v>45</v>
      </c>
      <c r="F42" s="115">
        <f t="shared" si="1"/>
        <v>22.213200327964955</v>
      </c>
      <c r="G42" s="113">
        <v>0</v>
      </c>
      <c r="H42" s="112" t="s">
        <v>1198</v>
      </c>
      <c r="I42" s="115"/>
      <c r="J42" s="27"/>
      <c r="K42" s="27"/>
      <c r="L42" s="27"/>
      <c r="M42" s="27"/>
      <c r="N42" s="27"/>
      <c r="O42" s="27"/>
      <c r="P42" s="27"/>
      <c r="Q42" s="27"/>
    </row>
    <row r="43" spans="1:17">
      <c r="A43" t="str">
        <f t="shared" si="0"/>
        <v>Windows - Double Pane to Class 30 - Heating Zone 2 (Average Heating System)Windows - Double Pane to Class 30 - Heating Zone 2 (Average Heating System)</v>
      </c>
      <c r="B43" s="116" t="str">
        <f>Costs!$A18&amp;" - Heating Zone 2 (Average Heating System)"</f>
        <v>Windows - Double Pane to Class 30 - Heating Zone 2 (Average Heating System)</v>
      </c>
      <c r="C43" s="116" t="str">
        <f>Costs!$A18&amp;" - Heating Zone 2 (Average Heating System)"</f>
        <v>Windows - Double Pane to Class 30 - Heating Zone 2 (Average Heating System)</v>
      </c>
      <c r="D43" s="117">
        <f>VLOOKUP(C43,SEEMsavings!$A$5:$L$556,11,FALSE)+VLOOKUP(C43,SEEMsavings!$A$5:$L$556,12,FALSE)</f>
        <v>16.411296863103093</v>
      </c>
      <c r="E43" s="113">
        <v>45</v>
      </c>
      <c r="F43" s="115">
        <f t="shared" si="1"/>
        <v>22.213200327964955</v>
      </c>
      <c r="G43" s="113">
        <v>0</v>
      </c>
      <c r="H43" s="112" t="s">
        <v>1198</v>
      </c>
      <c r="I43" s="115"/>
      <c r="J43" s="27"/>
      <c r="K43" s="27"/>
      <c r="L43" s="27"/>
      <c r="M43" s="27"/>
      <c r="N43" s="27"/>
      <c r="O43" s="27"/>
      <c r="P43" s="27"/>
      <c r="Q43" s="27"/>
    </row>
    <row r="44" spans="1:17">
      <c r="A44" t="str">
        <f t="shared" si="0"/>
        <v>Windows - Class 35 to Class 30 - Heating Zone 2 (Average Heating System)Windows - Class 35 to Class 30 - Heating Zone 2 (Average Heating System)</v>
      </c>
      <c r="B44" s="116" t="str">
        <f>Costs!$A19&amp;" - Heating Zone 2 (Average Heating System)"</f>
        <v>Windows - Class 35 to Class 30 - Heating Zone 2 (Average Heating System)</v>
      </c>
      <c r="C44" s="116" t="str">
        <f>Costs!$A19&amp;" - Heating Zone 2 (Average Heating System)"</f>
        <v>Windows - Class 35 to Class 30 - Heating Zone 2 (Average Heating System)</v>
      </c>
      <c r="D44" s="117">
        <f>VLOOKUP(C44,SEEMsavings!$A$5:$L$556,11,FALSE)+VLOOKUP(C44,SEEMsavings!$A$5:$L$556,12,FALSE)</f>
        <v>1.7604444943132966</v>
      </c>
      <c r="E44" s="113">
        <v>45</v>
      </c>
      <c r="F44" s="115">
        <f t="shared" si="1"/>
        <v>0.9632509724857734</v>
      </c>
      <c r="G44" s="113">
        <v>0</v>
      </c>
      <c r="H44" s="112" t="s">
        <v>1198</v>
      </c>
      <c r="I44" s="115"/>
      <c r="J44" s="27"/>
      <c r="K44" s="27"/>
      <c r="L44" s="27"/>
      <c r="M44" s="27"/>
      <c r="N44" s="27"/>
      <c r="O44" s="27"/>
      <c r="P44" s="27"/>
      <c r="Q44" s="27"/>
    </row>
    <row r="45" spans="1:17">
      <c r="A45" t="str">
        <f t="shared" si="0"/>
        <v>Windows - Class 35 to Class 22 - Heating Zone 2 (Average Heating System)Windows - Class 35 to Class 22 - Heating Zone 2 (Average Heating System)</v>
      </c>
      <c r="B45" s="116" t="str">
        <f>Costs!$A20&amp;" - Heating Zone 2 (Average Heating System)"</f>
        <v>Windows - Class 35 to Class 22 - Heating Zone 2 (Average Heating System)</v>
      </c>
      <c r="C45" s="116" t="str">
        <f>Costs!$A20&amp;" - Heating Zone 2 (Average Heating System)"</f>
        <v>Windows - Class 35 to Class 22 - Heating Zone 2 (Average Heating System)</v>
      </c>
      <c r="D45" s="117">
        <f>VLOOKUP(C45,SEEMsavings!$A$5:$L$556,11,FALSE)+VLOOKUP(C45,SEEMsavings!$A$5:$L$556,12,FALSE)</f>
        <v>4.3517755256258708</v>
      </c>
      <c r="E45" s="113">
        <v>45</v>
      </c>
      <c r="F45" s="115">
        <f t="shared" si="1"/>
        <v>2.3232509724857735</v>
      </c>
      <c r="G45" s="113">
        <v>0</v>
      </c>
      <c r="H45" s="112" t="s">
        <v>1198</v>
      </c>
      <c r="I45" s="115"/>
      <c r="J45" s="27"/>
      <c r="K45" s="27"/>
      <c r="L45" s="27"/>
      <c r="M45" s="27"/>
      <c r="N45" s="27"/>
      <c r="O45" s="27"/>
      <c r="P45" s="27"/>
      <c r="Q45" s="27"/>
    </row>
    <row r="46" spans="1:17" ht="25.5">
      <c r="A46" t="str">
        <f t="shared" si="0"/>
        <v>Multi Family Weatherization - Insulate Walls - R-0 to R-11 - Heating Zone 3 (Average Heating System)Multi Family Weatherization - Insulate Walls - R-0 to R-11 - Heating Zone 3 (Average Heating System)</v>
      </c>
      <c r="B46" s="116" t="str">
        <f>Costs!$A2&amp;" - Heating Zone 3 (Average Heating System)"</f>
        <v>Multi Family Weatherization - Insulate Walls - R-0 to R-11 - Heating Zone 3 (Average Heating System)</v>
      </c>
      <c r="C46" s="116" t="str">
        <f>Costs!$A2&amp;" - Heating Zone 3 (Average Heating System)"</f>
        <v>Multi Family Weatherization - Insulate Walls - R-0 to R-11 - Heating Zone 3 (Average Heating System)</v>
      </c>
      <c r="D46" s="117">
        <f>VLOOKUP(C46,SEEMsavings!$A$5:$L$556,11,FALSE)+VLOOKUP(C46,SEEMsavings!$A$5:$L$556,12,FALSE)</f>
        <v>2.108692953243446</v>
      </c>
      <c r="E46" s="113">
        <v>45</v>
      </c>
      <c r="F46" s="115">
        <f t="shared" si="1"/>
        <v>0.85033582942530117</v>
      </c>
      <c r="G46" s="113">
        <v>0</v>
      </c>
      <c r="H46" s="112" t="s">
        <v>1198</v>
      </c>
      <c r="I46" s="115"/>
      <c r="J46" s="27"/>
      <c r="K46" s="27"/>
      <c r="L46" s="27"/>
      <c r="M46" s="27"/>
      <c r="N46" s="27"/>
      <c r="O46" s="27"/>
      <c r="P46" s="27"/>
      <c r="Q46" s="27"/>
    </row>
    <row r="47" spans="1:17" ht="25.5">
      <c r="A47" t="str">
        <f t="shared" si="0"/>
        <v>Multi Family Weatherization - Insulate Floors - R-0 to R-19 - Heating Zone 3 (Average Heating System)Multi Family Weatherization - Insulate Floors - R-0 to R-19 - Heating Zone 3 (Average Heating System)</v>
      </c>
      <c r="B47" s="116" t="str">
        <f>Costs!$A3&amp;" - Heating Zone 3 (Average Heating System)"</f>
        <v>Multi Family Weatherization - Insulate Floors - R-0 to R-19 - Heating Zone 3 (Average Heating System)</v>
      </c>
      <c r="C47" s="116" t="str">
        <f>Costs!$A3&amp;" - Heating Zone 3 (Average Heating System)"</f>
        <v>Multi Family Weatherization - Insulate Floors - R-0 to R-19 - Heating Zone 3 (Average Heating System)</v>
      </c>
      <c r="D47" s="117">
        <f>VLOOKUP(C47,SEEMsavings!$A$5:$L$556,11,FALSE)+VLOOKUP(C47,SEEMsavings!$A$5:$L$556,12,FALSE)</f>
        <v>0.825076434191791</v>
      </c>
      <c r="E47" s="113">
        <v>45</v>
      </c>
      <c r="F47" s="115">
        <f t="shared" si="1"/>
        <v>1.1190178820234826</v>
      </c>
      <c r="G47" s="113">
        <v>0</v>
      </c>
      <c r="H47" s="112" t="s">
        <v>1198</v>
      </c>
      <c r="I47" s="115"/>
      <c r="J47" s="27"/>
      <c r="K47" s="27"/>
      <c r="L47" s="27"/>
      <c r="M47" s="27"/>
      <c r="N47" s="27"/>
      <c r="O47" s="27"/>
      <c r="P47" s="27"/>
      <c r="Q47" s="27"/>
    </row>
    <row r="48" spans="1:17" ht="25.5">
      <c r="A48" t="str">
        <f t="shared" si="0"/>
        <v>Multi Family Weatherization - Insulate Floors - R-0 to R-30 - Heating Zone 3 (Average Heating System)Multi Family Weatherization - Insulate Floors - R-0 to R-30 - Heating Zone 3 (Average Heating System)</v>
      </c>
      <c r="B48" s="116" t="str">
        <f>Costs!$A4&amp;" - Heating Zone 3 (Average Heating System)"</f>
        <v>Multi Family Weatherization - Insulate Floors - R-0 to R-30 - Heating Zone 3 (Average Heating System)</v>
      </c>
      <c r="C48" s="116" t="str">
        <f>Costs!$A4&amp;" - Heating Zone 3 (Average Heating System)"</f>
        <v>Multi Family Weatherization - Insulate Floors - R-0 to R-30 - Heating Zone 3 (Average Heating System)</v>
      </c>
      <c r="D48" s="117">
        <f>VLOOKUP(C48,SEEMsavings!$A$5:$L$556,11,FALSE)+VLOOKUP(C48,SEEMsavings!$A$5:$L$556,12,FALSE)</f>
        <v>1.076617145562228</v>
      </c>
      <c r="E48" s="113">
        <v>45</v>
      </c>
      <c r="F48" s="115">
        <f t="shared" si="1"/>
        <v>1.766870340037078</v>
      </c>
      <c r="G48" s="113">
        <v>0</v>
      </c>
      <c r="H48" s="112" t="s">
        <v>1198</v>
      </c>
      <c r="I48" s="115"/>
      <c r="J48" s="27"/>
      <c r="K48" s="27"/>
      <c r="L48" s="27"/>
      <c r="M48" s="27"/>
      <c r="N48" s="27"/>
      <c r="O48" s="27"/>
      <c r="P48" s="27"/>
      <c r="Q48" s="27"/>
    </row>
    <row r="49" spans="1:17" ht="25.5">
      <c r="A49" t="str">
        <f t="shared" si="0"/>
        <v>Multi Family Weatherization - Insulate Floors - R-19 to R-30 - Heating Zone 3 (Average Heating System)Multi Family Weatherization - Insulate Floors - R-19 to R-30 - Heating Zone 3 (Average Heating System)</v>
      </c>
      <c r="B49" s="116" t="str">
        <f>Costs!$A5&amp;" - Heating Zone 3 (Average Heating System)"</f>
        <v>Multi Family Weatherization - Insulate Floors - R-19 to R-30 - Heating Zone 3 (Average Heating System)</v>
      </c>
      <c r="C49" s="116" t="str">
        <f>Costs!$A5&amp;" - Heating Zone 3 (Average Heating System)"</f>
        <v>Multi Family Weatherization - Insulate Floors - R-19 to R-30 - Heating Zone 3 (Average Heating System)</v>
      </c>
      <c r="D49" s="117">
        <f>VLOOKUP(C49,SEEMsavings!$A$5:$L$556,11,FALSE)+VLOOKUP(C49,SEEMsavings!$A$5:$L$556,12,FALSE)</f>
        <v>0.2515407113704371</v>
      </c>
      <c r="E49" s="113">
        <v>45</v>
      </c>
      <c r="F49" s="115">
        <f t="shared" si="1"/>
        <v>0.64785245801359526</v>
      </c>
      <c r="G49" s="113">
        <v>0</v>
      </c>
      <c r="H49" s="112" t="s">
        <v>1198</v>
      </c>
      <c r="I49" s="115"/>
      <c r="J49" s="27"/>
      <c r="K49" s="27"/>
      <c r="L49" s="27"/>
      <c r="M49" s="27"/>
      <c r="N49" s="27"/>
      <c r="O49" s="27"/>
      <c r="P49" s="27"/>
      <c r="Q49" s="27"/>
    </row>
    <row r="50" spans="1:17" ht="25.5">
      <c r="A50" t="str">
        <f t="shared" si="0"/>
        <v>Multi Family Weatherization - Insulate Attic - R-0 to R-19 - Heating Zone 3 (Average Heating System)Multi Family Weatherization - Insulate Attic - R-0 to R-19 - Heating Zone 3 (Average Heating System)</v>
      </c>
      <c r="B50" s="116" t="str">
        <f>Costs!$A6&amp;" - Heating Zone 3 (Average Heating System)"</f>
        <v>Multi Family Weatherization - Insulate Attic - R-0 to R-19 - Heating Zone 3 (Average Heating System)</v>
      </c>
      <c r="C50" s="116" t="str">
        <f>Costs!$A6&amp;" - Heating Zone 3 (Average Heating System)"</f>
        <v>Multi Family Weatherization - Insulate Attic - R-0 to R-19 - Heating Zone 3 (Average Heating System)</v>
      </c>
      <c r="D50" s="117">
        <f>VLOOKUP(C50,SEEMsavings!$A$5:$L$556,11,FALSE)+VLOOKUP(C50,SEEMsavings!$A$5:$L$556,12,FALSE)</f>
        <v>0.43256971038192438</v>
      </c>
      <c r="E50" s="113">
        <v>45</v>
      </c>
      <c r="F50" s="115">
        <f t="shared" si="1"/>
        <v>0.58749066649983317</v>
      </c>
      <c r="G50" s="113">
        <v>0</v>
      </c>
      <c r="H50" s="112" t="s">
        <v>1198</v>
      </c>
      <c r="I50" s="115"/>
      <c r="J50" s="27"/>
      <c r="K50" s="27"/>
      <c r="L50" s="27"/>
      <c r="M50" s="27"/>
      <c r="N50" s="27"/>
      <c r="O50" s="27"/>
      <c r="P50" s="27"/>
      <c r="Q50" s="27"/>
    </row>
    <row r="51" spans="1:17" ht="25.5">
      <c r="A51" t="str">
        <f t="shared" si="0"/>
        <v>Multi Family Weatherization - Insulate Attic - R-0 to R-38 - Heating Zone 3 (Average Heating System)Multi Family Weatherization - Insulate Attic - R-0 to R-38 - Heating Zone 3 (Average Heating System)</v>
      </c>
      <c r="B51" s="116" t="str">
        <f>Costs!$A7&amp;" - Heating Zone 3 (Average Heating System)"</f>
        <v>Multi Family Weatherization - Insulate Attic - R-0 to R-38 - Heating Zone 3 (Average Heating System)</v>
      </c>
      <c r="C51" s="116" t="str">
        <f>Costs!$A7&amp;" - Heating Zone 3 (Average Heating System)"</f>
        <v>Multi Family Weatherization - Insulate Attic - R-0 to R-38 - Heating Zone 3 (Average Heating System)</v>
      </c>
      <c r="D51" s="117">
        <f>VLOOKUP(C51,SEEMsavings!$A$5:$L$556,11,FALSE)+VLOOKUP(C51,SEEMsavings!$A$5:$L$556,12,FALSE)</f>
        <v>0.59064128138874772</v>
      </c>
      <c r="E51" s="113">
        <v>45</v>
      </c>
      <c r="F51" s="115">
        <f t="shared" si="1"/>
        <v>1.1749813329996663</v>
      </c>
      <c r="G51" s="113">
        <v>0</v>
      </c>
      <c r="H51" s="112" t="s">
        <v>1198</v>
      </c>
      <c r="I51" s="115"/>
      <c r="J51" s="27"/>
      <c r="K51" s="27"/>
      <c r="L51" s="27"/>
      <c r="M51" s="27"/>
      <c r="N51" s="27"/>
      <c r="O51" s="27"/>
      <c r="P51" s="27"/>
      <c r="Q51" s="27"/>
    </row>
    <row r="52" spans="1:17" ht="25.5">
      <c r="A52" t="str">
        <f t="shared" si="0"/>
        <v>Multi Family Weatherization - Insulate Attic - R-0 to R-49 - Heating Zone 3 (Average Heating System)Multi Family Weatherization - Insulate Attic - R-0 to R-49 - Heating Zone 3 (Average Heating System)</v>
      </c>
      <c r="B52" s="116" t="str">
        <f>Costs!$A8&amp;" - Heating Zone 3 (Average Heating System)"</f>
        <v>Multi Family Weatherization - Insulate Attic - R-0 to R-49 - Heating Zone 3 (Average Heating System)</v>
      </c>
      <c r="C52" s="116" t="str">
        <f>Costs!$A8&amp;" - Heating Zone 3 (Average Heating System)"</f>
        <v>Multi Family Weatherization - Insulate Attic - R-0 to R-49 - Heating Zone 3 (Average Heating System)</v>
      </c>
      <c r="D52" s="117">
        <f>VLOOKUP(C52,SEEMsavings!$A$5:$L$556,11,FALSE)+VLOOKUP(C52,SEEMsavings!$A$5:$L$556,12,FALSE)</f>
        <v>0.62739197566675997</v>
      </c>
      <c r="E52" s="113">
        <v>45</v>
      </c>
      <c r="F52" s="115">
        <f t="shared" si="1"/>
        <v>1.515107508341675</v>
      </c>
      <c r="G52" s="113">
        <v>0</v>
      </c>
      <c r="H52" s="112" t="s">
        <v>1198</v>
      </c>
      <c r="I52" s="115"/>
      <c r="J52" s="27"/>
      <c r="K52" s="27"/>
      <c r="L52" s="27"/>
      <c r="M52" s="27"/>
      <c r="N52" s="27"/>
      <c r="O52" s="27"/>
      <c r="P52" s="27"/>
      <c r="Q52" s="27"/>
    </row>
    <row r="53" spans="1:17" ht="25.5">
      <c r="A53" t="str">
        <f t="shared" si="0"/>
        <v>Multi Family Weatherization - Insulate Attic - R-30 to R-38 - Heating Zone 3 (Average Heating System)Multi Family Weatherization - Insulate Attic - R-30 to R-38 - Heating Zone 3 (Average Heating System)</v>
      </c>
      <c r="B53" s="116" t="str">
        <f>Costs!$A9&amp;" - Heating Zone 3 (Average Heating System)"</f>
        <v>Multi Family Weatherization - Insulate Attic - R-30 to R-38 - Heating Zone 3 (Average Heating System)</v>
      </c>
      <c r="C53" s="116" t="str">
        <f>Costs!$A9&amp;" - Heating Zone 3 (Average Heating System)"</f>
        <v>Multi Family Weatherization - Insulate Attic - R-30 to R-38 - Heating Zone 3 (Average Heating System)</v>
      </c>
      <c r="D53" s="117">
        <f>VLOOKUP(C53,SEEMsavings!$A$5:$L$556,11,FALSE)+VLOOKUP(C53,SEEMsavings!$A$5:$L$556,12,FALSE)</f>
        <v>4.3582379985597608E-2</v>
      </c>
      <c r="E53" s="113">
        <v>45</v>
      </c>
      <c r="F53" s="115">
        <f t="shared" si="1"/>
        <v>0.2473644911578245</v>
      </c>
      <c r="G53" s="113">
        <v>0</v>
      </c>
      <c r="H53" s="112" t="s">
        <v>1198</v>
      </c>
      <c r="I53" s="115"/>
      <c r="J53" s="27"/>
      <c r="K53" s="27"/>
      <c r="L53" s="27"/>
      <c r="M53" s="27"/>
      <c r="N53" s="27"/>
      <c r="O53" s="27"/>
      <c r="P53" s="27"/>
      <c r="Q53" s="27"/>
    </row>
    <row r="54" spans="1:17" ht="25.5">
      <c r="A54" t="str">
        <f t="shared" si="0"/>
        <v>Multi Family Weatherization - Insulate Attic - R-30 to R-49 - Heating Zone 3 (Average Heating System)Multi Family Weatherization - Insulate Attic - R-30 to R-49 - Heating Zone 3 (Average Heating System)</v>
      </c>
      <c r="B54" s="116" t="str">
        <f>Costs!$A10&amp;" - Heating Zone 3 (Average Heating System)"</f>
        <v>Multi Family Weatherization - Insulate Attic - R-30 to R-49 - Heating Zone 3 (Average Heating System)</v>
      </c>
      <c r="C54" s="116" t="str">
        <f>Costs!$A10&amp;" - Heating Zone 3 (Average Heating System)"</f>
        <v>Multi Family Weatherization - Insulate Attic - R-30 to R-49 - Heating Zone 3 (Average Heating System)</v>
      </c>
      <c r="D54" s="117">
        <f>VLOOKUP(C54,SEEMsavings!$A$5:$L$556,11,FALSE)+VLOOKUP(C54,SEEMsavings!$A$5:$L$556,12,FALSE)</f>
        <v>8.0333074263609833E-2</v>
      </c>
      <c r="E54" s="113">
        <v>45</v>
      </c>
      <c r="F54" s="115">
        <f t="shared" si="1"/>
        <v>0.58749066649983317</v>
      </c>
      <c r="G54" s="113">
        <v>0</v>
      </c>
      <c r="H54" s="112" t="s">
        <v>1198</v>
      </c>
      <c r="I54" s="115"/>
      <c r="J54" s="27"/>
      <c r="K54" s="27"/>
      <c r="L54" s="27"/>
      <c r="M54" s="27"/>
      <c r="N54" s="27"/>
      <c r="O54" s="27"/>
      <c r="P54" s="27"/>
      <c r="Q54" s="27"/>
    </row>
    <row r="55" spans="1:17" ht="25.5">
      <c r="A55" t="str">
        <f t="shared" si="0"/>
        <v>Multi Family Weatherization - Insulate Attic - R-38 to R-49 - Heating Zone 3 (Average Heating System)Multi Family Weatherization - Insulate Attic - R-38 to R-49 - Heating Zone 3 (Average Heating System)</v>
      </c>
      <c r="B55" s="116" t="str">
        <f>Costs!$A11&amp;" - Heating Zone 3 (Average Heating System)"</f>
        <v>Multi Family Weatherization - Insulate Attic - R-38 to R-49 - Heating Zone 3 (Average Heating System)</v>
      </c>
      <c r="C55" s="116" t="str">
        <f>Costs!$A11&amp;" - Heating Zone 3 (Average Heating System)"</f>
        <v>Multi Family Weatherization - Insulate Attic - R-38 to R-49 - Heating Zone 3 (Average Heating System)</v>
      </c>
      <c r="D55" s="117">
        <f>VLOOKUP(C55,SEEMsavings!$A$5:$L$556,11,FALSE)+VLOOKUP(C55,SEEMsavings!$A$5:$L$556,12,FALSE)</f>
        <v>3.6750694278012211E-2</v>
      </c>
      <c r="E55" s="113">
        <v>45</v>
      </c>
      <c r="F55" s="115">
        <f t="shared" si="1"/>
        <v>0.34012617534200867</v>
      </c>
      <c r="G55" s="113">
        <v>0</v>
      </c>
      <c r="H55" s="112" t="s">
        <v>1198</v>
      </c>
      <c r="I55" s="115"/>
      <c r="J55" s="27"/>
      <c r="K55" s="27"/>
      <c r="L55" s="27"/>
      <c r="M55" s="27"/>
      <c r="N55" s="27"/>
      <c r="O55" s="27"/>
      <c r="P55" s="27"/>
      <c r="Q55" s="27"/>
    </row>
    <row r="56" spans="1:17" ht="25.5">
      <c r="A56" t="str">
        <f t="shared" si="0"/>
        <v>Multi Family Weatherization - Insulate Attic - R-19 to R-30 - Heating Zone 3 (Average Heating System)Multi Family Weatherization - Insulate Attic - R-19 to R-30 - Heating Zone 3 (Average Heating System)</v>
      </c>
      <c r="B56" s="116" t="str">
        <f>Costs!$A12&amp;" - Heating Zone 3 (Average Heating System)"</f>
        <v>Multi Family Weatherization - Insulate Attic - R-19 to R-30 - Heating Zone 3 (Average Heating System)</v>
      </c>
      <c r="C56" s="116" t="str">
        <f>Costs!$A12&amp;" - Heating Zone 3 (Average Heating System)"</f>
        <v>Multi Family Weatherization - Insulate Attic - R-19 to R-30 - Heating Zone 3 (Average Heating System)</v>
      </c>
      <c r="D56" s="117">
        <f>VLOOKUP(C56,SEEMsavings!$A$5:$L$556,11,FALSE)+VLOOKUP(C56,SEEMsavings!$A$5:$L$556,12,FALSE)</f>
        <v>0.11448919102122572</v>
      </c>
      <c r="E56" s="113">
        <v>45</v>
      </c>
      <c r="F56" s="115">
        <f t="shared" si="1"/>
        <v>0.34012617534200867</v>
      </c>
      <c r="G56" s="113">
        <v>0</v>
      </c>
      <c r="H56" s="112" t="s">
        <v>1198</v>
      </c>
      <c r="I56" s="115"/>
      <c r="J56" s="27"/>
      <c r="K56" s="27"/>
      <c r="L56" s="27"/>
      <c r="M56" s="27"/>
      <c r="N56" s="27"/>
      <c r="O56" s="27"/>
      <c r="P56" s="27"/>
      <c r="Q56" s="27"/>
    </row>
    <row r="57" spans="1:17" ht="25.5">
      <c r="A57" t="str">
        <f t="shared" si="0"/>
        <v>Multi Family Weatherization - Insulate Attic - R-19 to R-38 - Heating Zone 3 (Average Heating System)Multi Family Weatherization - Insulate Attic - R-19 to R-38 - Heating Zone 3 (Average Heating System)</v>
      </c>
      <c r="B57" s="116" t="str">
        <f>Costs!$A13&amp;" - Heating Zone 3 (Average Heating System)"</f>
        <v>Multi Family Weatherization - Insulate Attic - R-19 to R-38 - Heating Zone 3 (Average Heating System)</v>
      </c>
      <c r="C57" s="116" t="str">
        <f>Costs!$A13&amp;" - Heating Zone 3 (Average Heating System)"</f>
        <v>Multi Family Weatherization - Insulate Attic - R-19 to R-38 - Heating Zone 3 (Average Heating System)</v>
      </c>
      <c r="D57" s="117">
        <f>VLOOKUP(C57,SEEMsavings!$A$5:$L$556,11,FALSE)+VLOOKUP(C57,SEEMsavings!$A$5:$L$556,12,FALSE)</f>
        <v>0.1580715710068234</v>
      </c>
      <c r="E57" s="113">
        <v>45</v>
      </c>
      <c r="F57" s="115">
        <f t="shared" si="1"/>
        <v>0.58749066649983317</v>
      </c>
      <c r="G57" s="113">
        <v>0</v>
      </c>
      <c r="H57" s="112" t="s">
        <v>1198</v>
      </c>
      <c r="I57" s="115"/>
      <c r="J57" s="27"/>
      <c r="K57" s="27"/>
      <c r="L57" s="27"/>
      <c r="M57" s="27"/>
      <c r="N57" s="27"/>
      <c r="O57" s="27"/>
      <c r="P57" s="27"/>
      <c r="Q57" s="27"/>
    </row>
    <row r="58" spans="1:17" ht="25.5">
      <c r="A58" t="str">
        <f t="shared" si="0"/>
        <v>Multi Family Weatherization - Insulate Attic - R-19 to R-49 - Heating Zone 3 (Average Heating System)Multi Family Weatherization - Insulate Attic - R-19 to R-49 - Heating Zone 3 (Average Heating System)</v>
      </c>
      <c r="B58" s="116" t="str">
        <f>Costs!$A14&amp;" - Heating Zone 3 (Average Heating System)"</f>
        <v>Multi Family Weatherization - Insulate Attic - R-19 to R-49 - Heating Zone 3 (Average Heating System)</v>
      </c>
      <c r="C58" s="116" t="str">
        <f>Costs!$A14&amp;" - Heating Zone 3 (Average Heating System)"</f>
        <v>Multi Family Weatherization - Insulate Attic - R-19 to R-49 - Heating Zone 3 (Average Heating System)</v>
      </c>
      <c r="D58" s="117">
        <f>VLOOKUP(C58,SEEMsavings!$A$5:$L$556,11,FALSE)+VLOOKUP(C58,SEEMsavings!$A$5:$L$556,12,FALSE)</f>
        <v>0.19482226528483557</v>
      </c>
      <c r="E58" s="113">
        <v>45</v>
      </c>
      <c r="F58" s="115">
        <f t="shared" si="1"/>
        <v>0.9276168418418419</v>
      </c>
      <c r="G58" s="113">
        <v>0</v>
      </c>
      <c r="H58" s="112" t="s">
        <v>1198</v>
      </c>
      <c r="I58" s="115"/>
      <c r="J58" s="27"/>
      <c r="K58" s="27"/>
      <c r="L58" s="27"/>
      <c r="M58" s="27"/>
      <c r="N58" s="27"/>
      <c r="O58" s="27"/>
      <c r="P58" s="27"/>
      <c r="Q58" s="27"/>
    </row>
    <row r="59" spans="1:17">
      <c r="A59" t="str">
        <f t="shared" si="0"/>
        <v>Windows - Single Pane to Class 22 - Heating Zone 3 (Average Heating System)Windows - Single Pane to Class 22 - Heating Zone 3 (Average Heating System)</v>
      </c>
      <c r="B59" s="116" t="str">
        <f>Costs!$A15&amp;" - Heating Zone 3 (Average Heating System)"</f>
        <v>Windows - Single Pane to Class 22 - Heating Zone 3 (Average Heating System)</v>
      </c>
      <c r="C59" s="116" t="str">
        <f>Costs!$A15&amp;" - Heating Zone 3 (Average Heating System)"</f>
        <v>Windows - Single Pane to Class 22 - Heating Zone 3 (Average Heating System)</v>
      </c>
      <c r="D59" s="117">
        <f>VLOOKUP(C59,SEEMsavings!$A$5:$L$556,11,FALSE)+VLOOKUP(C59,SEEMsavings!$A$5:$L$556,12,FALSE)</f>
        <v>38.702374685074446</v>
      </c>
      <c r="E59" s="113">
        <v>45</v>
      </c>
      <c r="F59" s="115">
        <f t="shared" si="1"/>
        <v>23.573200327964955</v>
      </c>
      <c r="G59" s="113">
        <v>0</v>
      </c>
      <c r="H59" s="112" t="s">
        <v>1198</v>
      </c>
      <c r="I59" s="115"/>
      <c r="J59" s="27"/>
      <c r="K59" s="27"/>
      <c r="L59" s="27"/>
      <c r="M59" s="27"/>
      <c r="N59" s="27"/>
      <c r="O59" s="27"/>
      <c r="P59" s="27"/>
      <c r="Q59" s="27"/>
    </row>
    <row r="60" spans="1:17">
      <c r="A60" t="str">
        <f t="shared" si="0"/>
        <v>Windows - Double Pane to Class 22 - Heating Zone 3 (Average Heating System)Windows - Double Pane to Class 22 - Heating Zone 3 (Average Heating System)</v>
      </c>
      <c r="B60" s="116" t="str">
        <f>Costs!$A16&amp;" - Heating Zone 3 (Average Heating System)"</f>
        <v>Windows - Double Pane to Class 22 - Heating Zone 3 (Average Heating System)</v>
      </c>
      <c r="C60" s="116" t="str">
        <f>Costs!$A16&amp;" - Heating Zone 3 (Average Heating System)"</f>
        <v>Windows - Double Pane to Class 22 - Heating Zone 3 (Average Heating System)</v>
      </c>
      <c r="D60" s="117">
        <f>VLOOKUP(C60,SEEMsavings!$A$5:$L$556,11,FALSE)+VLOOKUP(C60,SEEMsavings!$A$5:$L$556,12,FALSE)</f>
        <v>23.449054695707837</v>
      </c>
      <c r="E60" s="113">
        <v>45</v>
      </c>
      <c r="F60" s="115">
        <f t="shared" si="1"/>
        <v>23.573200327964955</v>
      </c>
      <c r="G60" s="113">
        <v>0</v>
      </c>
      <c r="H60" s="112" t="s">
        <v>1198</v>
      </c>
      <c r="I60" s="115"/>
      <c r="J60" s="27"/>
      <c r="K60" s="27"/>
      <c r="L60" s="27"/>
      <c r="M60" s="27"/>
      <c r="N60" s="27"/>
      <c r="O60" s="27"/>
      <c r="P60" s="27"/>
      <c r="Q60" s="27"/>
    </row>
    <row r="61" spans="1:17">
      <c r="A61" t="str">
        <f t="shared" si="0"/>
        <v>Windows - Single Pane to Class 30 - Heating Zone 3 (Average Heating System)Windows - Single Pane to Class 30 - Heating Zone 3 (Average Heating System)</v>
      </c>
      <c r="B61" s="116" t="str">
        <f>Costs!$A17&amp;" - Heating Zone 3 (Average Heating System)"</f>
        <v>Windows - Single Pane to Class 30 - Heating Zone 3 (Average Heating System)</v>
      </c>
      <c r="C61" s="116" t="str">
        <f>Costs!$A17&amp;" - Heating Zone 3 (Average Heating System)"</f>
        <v>Windows - Single Pane to Class 30 - Heating Zone 3 (Average Heating System)</v>
      </c>
      <c r="D61" s="117">
        <f>VLOOKUP(C61,SEEMsavings!$A$5:$L$556,11,FALSE)+VLOOKUP(C61,SEEMsavings!$A$5:$L$556,12,FALSE)</f>
        <v>35.495416583755997</v>
      </c>
      <c r="E61" s="113">
        <v>45</v>
      </c>
      <c r="F61" s="115">
        <f t="shared" si="1"/>
        <v>22.213200327964955</v>
      </c>
      <c r="G61" s="113">
        <v>0</v>
      </c>
      <c r="H61" s="112" t="s">
        <v>1198</v>
      </c>
      <c r="I61" s="115"/>
      <c r="J61" s="27"/>
      <c r="K61" s="27"/>
      <c r="L61" s="27"/>
      <c r="M61" s="27"/>
      <c r="N61" s="27"/>
      <c r="O61" s="27"/>
      <c r="P61" s="27"/>
      <c r="Q61" s="27"/>
    </row>
    <row r="62" spans="1:17">
      <c r="A62" t="str">
        <f t="shared" si="0"/>
        <v>Windows - Double Pane to Class 30 - Heating Zone 3 (Average Heating System)Windows - Double Pane to Class 30 - Heating Zone 3 (Average Heating System)</v>
      </c>
      <c r="B62" s="116" t="str">
        <f>Costs!$A18&amp;" - Heating Zone 3 (Average Heating System)"</f>
        <v>Windows - Double Pane to Class 30 - Heating Zone 3 (Average Heating System)</v>
      </c>
      <c r="C62" s="116" t="str">
        <f>Costs!$A18&amp;" - Heating Zone 3 (Average Heating System)"</f>
        <v>Windows - Double Pane to Class 30 - Heating Zone 3 (Average Heating System)</v>
      </c>
      <c r="D62" s="117">
        <f>VLOOKUP(C62,SEEMsavings!$A$5:$L$556,11,FALSE)+VLOOKUP(C62,SEEMsavings!$A$5:$L$556,12,FALSE)</f>
        <v>20.242096594389395</v>
      </c>
      <c r="E62" s="113">
        <v>45</v>
      </c>
      <c r="F62" s="115">
        <f t="shared" si="1"/>
        <v>22.213200327964955</v>
      </c>
      <c r="G62" s="113">
        <v>0</v>
      </c>
      <c r="H62" s="112" t="s">
        <v>1198</v>
      </c>
      <c r="I62" s="115"/>
      <c r="J62" s="27"/>
      <c r="K62" s="27"/>
      <c r="L62" s="27"/>
      <c r="M62" s="27"/>
      <c r="N62" s="27"/>
      <c r="O62" s="27"/>
      <c r="P62" s="27"/>
      <c r="Q62" s="27"/>
    </row>
    <row r="63" spans="1:17">
      <c r="A63" t="str">
        <f t="shared" si="0"/>
        <v>Windows - Class 35 to Class 30 - Heating Zone 3 (Average Heating System)Windows - Class 35 to Class 30 - Heating Zone 3 (Average Heating System)</v>
      </c>
      <c r="B63" s="116" t="str">
        <f>Costs!$A19&amp;" - Heating Zone 3 (Average Heating System)"</f>
        <v>Windows - Class 35 to Class 30 - Heating Zone 3 (Average Heating System)</v>
      </c>
      <c r="C63" s="116" t="str">
        <f>Costs!$A19&amp;" - Heating Zone 3 (Average Heating System)"</f>
        <v>Windows - Class 35 to Class 30 - Heating Zone 3 (Average Heating System)</v>
      </c>
      <c r="D63" s="117">
        <f>VLOOKUP(C63,SEEMsavings!$A$5:$L$556,11,FALSE)+VLOOKUP(C63,SEEMsavings!$A$5:$L$556,12,FALSE)</f>
        <v>2.1575945391008693</v>
      </c>
      <c r="E63" s="113">
        <v>45</v>
      </c>
      <c r="F63" s="115">
        <f t="shared" si="1"/>
        <v>0.9632509724857734</v>
      </c>
      <c r="G63" s="113">
        <v>0</v>
      </c>
      <c r="H63" s="112" t="s">
        <v>1198</v>
      </c>
      <c r="I63" s="115"/>
      <c r="J63" s="27"/>
      <c r="K63" s="27"/>
      <c r="L63" s="27"/>
      <c r="M63" s="27"/>
      <c r="N63" s="27"/>
      <c r="O63" s="27"/>
      <c r="P63" s="27"/>
      <c r="Q63" s="27"/>
    </row>
    <row r="64" spans="1:17">
      <c r="A64" t="str">
        <f t="shared" si="0"/>
        <v>Windows - Class 35 to Class 22 - Heating Zone 3 (Average Heating System)Windows - Class 35 to Class 22 - Heating Zone 3 (Average Heating System)</v>
      </c>
      <c r="B64" s="116" t="str">
        <f>Costs!$A20&amp;" - Heating Zone 3 (Average Heating System)"</f>
        <v>Windows - Class 35 to Class 22 - Heating Zone 3 (Average Heating System)</v>
      </c>
      <c r="C64" s="116" t="str">
        <f>Costs!$A20&amp;" - Heating Zone 3 (Average Heating System)"</f>
        <v>Windows - Class 35 to Class 22 - Heating Zone 3 (Average Heating System)</v>
      </c>
      <c r="D64" s="117">
        <f>VLOOKUP(C64,SEEMsavings!$A$5:$L$556,11,FALSE)+VLOOKUP(C64,SEEMsavings!$A$5:$L$556,12,FALSE)</f>
        <v>5.364552640419312</v>
      </c>
      <c r="E64" s="113">
        <v>45</v>
      </c>
      <c r="F64" s="115">
        <f t="shared" si="1"/>
        <v>2.3232509724857735</v>
      </c>
      <c r="G64" s="113">
        <v>0</v>
      </c>
      <c r="H64" s="112" t="s">
        <v>1198</v>
      </c>
      <c r="I64" s="115"/>
      <c r="J64" s="27"/>
      <c r="K64" s="27"/>
      <c r="L64" s="27"/>
      <c r="M64" s="27"/>
      <c r="N64" s="27"/>
      <c r="O64" s="27"/>
      <c r="P64" s="27"/>
      <c r="Q64" s="27"/>
    </row>
    <row r="65" spans="1:17">
      <c r="A65" t="str">
        <f t="shared" si="0"/>
        <v>Multi Family Weatherization - Insulate Walls - R-0 to R-11 - Heating Zone 1 (Zonal Heating System)Multi Family Weatherization - Insulate Walls - R-0 to R-11 - Heating Zone 1 (Zonal Heating System)</v>
      </c>
      <c r="B65" s="116" t="str">
        <f>Costs!$A2&amp;" - Heating Zone 1 (Zonal Heating System)"</f>
        <v>Multi Family Weatherization - Insulate Walls - R-0 to R-11 - Heating Zone 1 (Zonal Heating System)</v>
      </c>
      <c r="C65" s="116" t="str">
        <f>Costs!$A2&amp;" - Heating Zone 1 (Zonal Heating System)"</f>
        <v>Multi Family Weatherization - Insulate Walls - R-0 to R-11 - Heating Zone 1 (Zonal Heating System)</v>
      </c>
      <c r="D65" s="117">
        <f>VLOOKUP(C65,SEEMsavings!$A$5:$L$556,11,FALSE)+VLOOKUP(C65,SEEMsavings!$A$5:$L$556,12,FALSE)</f>
        <v>1.2472794546100672</v>
      </c>
      <c r="E65" s="113">
        <v>45</v>
      </c>
      <c r="F65" s="115">
        <f t="shared" si="1"/>
        <v>0.85033582942530117</v>
      </c>
      <c r="G65" s="113">
        <v>0</v>
      </c>
      <c r="H65" s="112" t="s">
        <v>1198</v>
      </c>
      <c r="I65" s="115"/>
      <c r="J65" s="27"/>
      <c r="K65" s="27"/>
      <c r="L65" s="27"/>
      <c r="M65" s="27"/>
      <c r="N65" s="27"/>
      <c r="O65" s="27"/>
      <c r="P65" s="27"/>
      <c r="Q65" s="27"/>
    </row>
    <row r="66" spans="1:17">
      <c r="A66" t="str">
        <f t="shared" si="0"/>
        <v>Multi Family Weatherization - Insulate Floors - R-0 to R-19 - Heating Zone 1 (Zonal Heating System)Multi Family Weatherization - Insulate Floors - R-0 to R-19 - Heating Zone 1 (Zonal Heating System)</v>
      </c>
      <c r="B66" s="116" t="str">
        <f>Costs!$A3&amp;" - Heating Zone 1 (Zonal Heating System)"</f>
        <v>Multi Family Weatherization - Insulate Floors - R-0 to R-19 - Heating Zone 1 (Zonal Heating System)</v>
      </c>
      <c r="C66" s="116" t="str">
        <f>Costs!$A3&amp;" - Heating Zone 1 (Zonal Heating System)"</f>
        <v>Multi Family Weatherization - Insulate Floors - R-0 to R-19 - Heating Zone 1 (Zonal Heating System)</v>
      </c>
      <c r="D66" s="117">
        <f>VLOOKUP(C66,SEEMsavings!$A$5:$L$556,11,FALSE)+VLOOKUP(C66,SEEMsavings!$A$5:$L$556,12,FALSE)</f>
        <v>0.55318177492593634</v>
      </c>
      <c r="E66" s="113">
        <v>45</v>
      </c>
      <c r="F66" s="115">
        <f t="shared" si="1"/>
        <v>1.1190178820234826</v>
      </c>
      <c r="G66" s="113">
        <v>0</v>
      </c>
      <c r="H66" s="112" t="s">
        <v>1198</v>
      </c>
      <c r="I66" s="115"/>
      <c r="J66" s="27"/>
      <c r="K66" s="27"/>
      <c r="L66" s="27"/>
      <c r="M66" s="27"/>
      <c r="N66" s="27"/>
      <c r="O66" s="27"/>
      <c r="P66" s="27"/>
      <c r="Q66" s="27"/>
    </row>
    <row r="67" spans="1:17">
      <c r="A67" t="str">
        <f t="shared" si="0"/>
        <v>Multi Family Weatherization - Insulate Floors - R-0 to R-30 - Heating Zone 1 (Zonal Heating System)Multi Family Weatherization - Insulate Floors - R-0 to R-30 - Heating Zone 1 (Zonal Heating System)</v>
      </c>
      <c r="B67" s="116" t="str">
        <f>Costs!$A4&amp;" - Heating Zone 1 (Zonal Heating System)"</f>
        <v>Multi Family Weatherization - Insulate Floors - R-0 to R-30 - Heating Zone 1 (Zonal Heating System)</v>
      </c>
      <c r="C67" s="116" t="str">
        <f>Costs!$A4&amp;" - Heating Zone 1 (Zonal Heating System)"</f>
        <v>Multi Family Weatherization - Insulate Floors - R-0 to R-30 - Heating Zone 1 (Zonal Heating System)</v>
      </c>
      <c r="D67" s="117">
        <f>VLOOKUP(C67,SEEMsavings!$A$5:$L$556,11,FALSE)+VLOOKUP(C67,SEEMsavings!$A$5:$L$556,12,FALSE)</f>
        <v>0.71896218781336929</v>
      </c>
      <c r="E67" s="113">
        <v>45</v>
      </c>
      <c r="F67" s="115">
        <f t="shared" si="1"/>
        <v>1.766870340037078</v>
      </c>
      <c r="G67" s="113">
        <v>0</v>
      </c>
      <c r="H67" s="112" t="s">
        <v>1198</v>
      </c>
      <c r="I67" s="115"/>
      <c r="J67" s="27"/>
      <c r="K67" s="27"/>
      <c r="L67" s="27"/>
      <c r="M67" s="27"/>
      <c r="N67" s="27"/>
      <c r="O67" s="27"/>
      <c r="P67" s="27"/>
      <c r="Q67" s="27"/>
    </row>
    <row r="68" spans="1:17" ht="25.5">
      <c r="A68" t="str">
        <f t="shared" si="0"/>
        <v>Multi Family Weatherization - Insulate Floors - R-19 to R-30 - Heating Zone 1 (Zonal Heating System)Multi Family Weatherization - Insulate Floors - R-19 to R-30 - Heating Zone 1 (Zonal Heating System)</v>
      </c>
      <c r="B68" s="116" t="str">
        <f>Costs!$A5&amp;" - Heating Zone 1 (Zonal Heating System)"</f>
        <v>Multi Family Weatherization - Insulate Floors - R-19 to R-30 - Heating Zone 1 (Zonal Heating System)</v>
      </c>
      <c r="C68" s="116" t="str">
        <f>Costs!$A5&amp;" - Heating Zone 1 (Zonal Heating System)"</f>
        <v>Multi Family Weatherization - Insulate Floors - R-19 to R-30 - Heating Zone 1 (Zonal Heating System)</v>
      </c>
      <c r="D68" s="117">
        <f>VLOOKUP(C68,SEEMsavings!$A$5:$L$556,11,FALSE)+VLOOKUP(C68,SEEMsavings!$A$5:$L$556,12,FALSE)</f>
        <v>0.16578041288743295</v>
      </c>
      <c r="E68" s="113">
        <v>45</v>
      </c>
      <c r="F68" s="115">
        <f t="shared" si="1"/>
        <v>0.64785245801359526</v>
      </c>
      <c r="G68" s="113">
        <v>0</v>
      </c>
      <c r="H68" s="112" t="s">
        <v>1198</v>
      </c>
      <c r="I68" s="115"/>
      <c r="J68" s="27"/>
      <c r="K68" s="27"/>
      <c r="L68" s="27"/>
      <c r="M68" s="27"/>
      <c r="N68" s="27"/>
      <c r="O68" s="27"/>
      <c r="P68" s="27"/>
      <c r="Q68" s="27"/>
    </row>
    <row r="69" spans="1:17">
      <c r="A69" t="str">
        <f t="shared" si="0"/>
        <v>Multi Family Weatherization - Insulate Attic - R-0 to R-19 - Heating Zone 1 (Zonal Heating System)Multi Family Weatherization - Insulate Attic - R-0 to R-19 - Heating Zone 1 (Zonal Heating System)</v>
      </c>
      <c r="B69" s="116" t="str">
        <f>Costs!$A6&amp;" - Heating Zone 1 (Zonal Heating System)"</f>
        <v>Multi Family Weatherization - Insulate Attic - R-0 to R-19 - Heating Zone 1 (Zonal Heating System)</v>
      </c>
      <c r="C69" s="116" t="str">
        <f>Costs!$A6&amp;" - Heating Zone 1 (Zonal Heating System)"</f>
        <v>Multi Family Weatherization - Insulate Attic - R-0 to R-19 - Heating Zone 1 (Zonal Heating System)</v>
      </c>
      <c r="D69" s="117">
        <f>VLOOKUP(C69,SEEMsavings!$A$5:$L$556,11,FALSE)+VLOOKUP(C69,SEEMsavings!$A$5:$L$556,12,FALSE)</f>
        <v>0.45541817326465872</v>
      </c>
      <c r="E69" s="113">
        <v>45</v>
      </c>
      <c r="F69" s="115">
        <f t="shared" si="1"/>
        <v>0.58749066649983317</v>
      </c>
      <c r="G69" s="113">
        <v>0</v>
      </c>
      <c r="H69" s="112" t="s">
        <v>1198</v>
      </c>
      <c r="I69" s="115"/>
      <c r="J69" s="27"/>
      <c r="K69" s="27"/>
      <c r="L69" s="27"/>
      <c r="M69" s="27"/>
      <c r="N69" s="27"/>
      <c r="O69" s="27"/>
      <c r="P69" s="27"/>
      <c r="Q69" s="27"/>
    </row>
    <row r="70" spans="1:17">
      <c r="A70" t="str">
        <f t="shared" si="0"/>
        <v>Multi Family Weatherization - Insulate Attic - R-0 to R-38 - Heating Zone 1 (Zonal Heating System)Multi Family Weatherization - Insulate Attic - R-0 to R-38 - Heating Zone 1 (Zonal Heating System)</v>
      </c>
      <c r="B70" s="116" t="str">
        <f>Costs!$A7&amp;" - Heating Zone 1 (Zonal Heating System)"</f>
        <v>Multi Family Weatherization - Insulate Attic - R-0 to R-38 - Heating Zone 1 (Zonal Heating System)</v>
      </c>
      <c r="C70" s="116" t="str">
        <f>Costs!$A7&amp;" - Heating Zone 1 (Zonal Heating System)"</f>
        <v>Multi Family Weatherization - Insulate Attic - R-0 to R-38 - Heating Zone 1 (Zonal Heating System)</v>
      </c>
      <c r="D70" s="117">
        <f>VLOOKUP(C70,SEEMsavings!$A$5:$L$556,11,FALSE)+VLOOKUP(C70,SEEMsavings!$A$5:$L$556,12,FALSE)</f>
        <v>0.61951019567454524</v>
      </c>
      <c r="E70" s="113">
        <v>45</v>
      </c>
      <c r="F70" s="115">
        <f t="shared" si="1"/>
        <v>1.1749813329996663</v>
      </c>
      <c r="G70" s="113">
        <v>0</v>
      </c>
      <c r="H70" s="112" t="s">
        <v>1198</v>
      </c>
      <c r="I70" s="115"/>
      <c r="J70" s="27"/>
      <c r="K70" s="27"/>
      <c r="L70" s="27"/>
      <c r="M70" s="27"/>
      <c r="N70" s="27"/>
      <c r="O70" s="27"/>
      <c r="P70" s="27"/>
      <c r="Q70" s="27"/>
    </row>
    <row r="71" spans="1:17">
      <c r="A71" t="str">
        <f t="shared" si="0"/>
        <v>Multi Family Weatherization - Insulate Attic - R-0 to R-49 - Heating Zone 1 (Zonal Heating System)Multi Family Weatherization - Insulate Attic - R-0 to R-49 - Heating Zone 1 (Zonal Heating System)</v>
      </c>
      <c r="B71" s="116" t="str">
        <f>Costs!$A8&amp;" - Heating Zone 1 (Zonal Heating System)"</f>
        <v>Multi Family Weatherization - Insulate Attic - R-0 to R-49 - Heating Zone 1 (Zonal Heating System)</v>
      </c>
      <c r="C71" s="116" t="str">
        <f>Costs!$A8&amp;" - Heating Zone 1 (Zonal Heating System)"</f>
        <v>Multi Family Weatherization - Insulate Attic - R-0 to R-49 - Heating Zone 1 (Zonal Heating System)</v>
      </c>
      <c r="D71" s="117">
        <f>VLOOKUP(C71,SEEMsavings!$A$5:$L$556,11,FALSE)+VLOOKUP(C71,SEEMsavings!$A$5:$L$556,12,FALSE)</f>
        <v>0.65746060110011362</v>
      </c>
      <c r="E71" s="113">
        <v>45</v>
      </c>
      <c r="F71" s="115">
        <f t="shared" si="1"/>
        <v>1.515107508341675</v>
      </c>
      <c r="G71" s="113">
        <v>0</v>
      </c>
      <c r="H71" s="112" t="s">
        <v>1198</v>
      </c>
      <c r="I71" s="115"/>
      <c r="J71" s="27"/>
      <c r="K71" s="27"/>
      <c r="L71" s="27"/>
      <c r="M71" s="27"/>
      <c r="N71" s="27"/>
      <c r="O71" s="27"/>
      <c r="P71" s="27"/>
      <c r="Q71" s="27"/>
    </row>
    <row r="72" spans="1:17">
      <c r="A72" t="str">
        <f t="shared" si="0"/>
        <v>Multi Family Weatherization - Insulate Attic - R-30 to R-38 - Heating Zone 1 (Zonal Heating System)Multi Family Weatherization - Insulate Attic - R-30 to R-38 - Heating Zone 1 (Zonal Heating System)</v>
      </c>
      <c r="B72" s="116" t="str">
        <f>Costs!$A9&amp;" - Heating Zone 1 (Zonal Heating System)"</f>
        <v>Multi Family Weatherization - Insulate Attic - R-30 to R-38 - Heating Zone 1 (Zonal Heating System)</v>
      </c>
      <c r="C72" s="116" t="str">
        <f>Costs!$A9&amp;" - Heating Zone 1 (Zonal Heating System)"</f>
        <v>Multi Family Weatherization - Insulate Attic - R-30 to R-38 - Heating Zone 1 (Zonal Heating System)</v>
      </c>
      <c r="D72" s="117">
        <f>VLOOKUP(C72,SEEMsavings!$A$5:$L$556,11,FALSE)+VLOOKUP(C72,SEEMsavings!$A$5:$L$556,12,FALSE)</f>
        <v>4.5119713772727429E-2</v>
      </c>
      <c r="E72" s="113">
        <v>45</v>
      </c>
      <c r="F72" s="115">
        <f t="shared" si="1"/>
        <v>0.2473644911578245</v>
      </c>
      <c r="G72" s="113">
        <v>0</v>
      </c>
      <c r="H72" s="112" t="s">
        <v>1198</v>
      </c>
      <c r="I72" s="115"/>
      <c r="J72" s="27"/>
      <c r="K72" s="27"/>
      <c r="L72" s="27"/>
      <c r="M72" s="27"/>
      <c r="N72" s="27"/>
      <c r="O72" s="27"/>
      <c r="P72" s="27"/>
      <c r="Q72" s="27"/>
    </row>
    <row r="73" spans="1:17">
      <c r="A73" t="str">
        <f t="shared" ref="A73:A136" si="2">CONCATENATE(B73,C73)</f>
        <v>Multi Family Weatherization - Insulate Attic - R-30 to R-49 - Heating Zone 1 (Zonal Heating System)Multi Family Weatherization - Insulate Attic - R-30 to R-49 - Heating Zone 1 (Zonal Heating System)</v>
      </c>
      <c r="B73" s="116" t="str">
        <f>Costs!$A10&amp;" - Heating Zone 1 (Zonal Heating System)"</f>
        <v>Multi Family Weatherization - Insulate Attic - R-30 to R-49 - Heating Zone 1 (Zonal Heating System)</v>
      </c>
      <c r="C73" s="116" t="str">
        <f>Costs!$A10&amp;" - Heating Zone 1 (Zonal Heating System)"</f>
        <v>Multi Family Weatherization - Insulate Attic - R-30 to R-49 - Heating Zone 1 (Zonal Heating System)</v>
      </c>
      <c r="D73" s="117">
        <f>VLOOKUP(C73,SEEMsavings!$A$5:$L$556,11,FALSE)+VLOOKUP(C73,SEEMsavings!$A$5:$L$556,12,FALSE)</f>
        <v>8.3070119198295753E-2</v>
      </c>
      <c r="E73" s="113">
        <v>45</v>
      </c>
      <c r="F73" s="115">
        <f t="shared" si="1"/>
        <v>0.58749066649983317</v>
      </c>
      <c r="G73" s="113">
        <v>0</v>
      </c>
      <c r="H73" s="112" t="s">
        <v>1198</v>
      </c>
      <c r="I73" s="115"/>
      <c r="J73" s="27"/>
      <c r="K73" s="27"/>
      <c r="L73" s="27"/>
      <c r="M73" s="27"/>
      <c r="N73" s="27"/>
      <c r="O73" s="27"/>
      <c r="P73" s="27"/>
      <c r="Q73" s="27"/>
    </row>
    <row r="74" spans="1:17">
      <c r="A74" t="str">
        <f t="shared" si="2"/>
        <v>Multi Family Weatherization - Insulate Attic - R-38 to R-49 - Heating Zone 1 (Zonal Heating System)Multi Family Weatherization - Insulate Attic - R-38 to R-49 - Heating Zone 1 (Zonal Heating System)</v>
      </c>
      <c r="B74" s="116" t="str">
        <f>Costs!$A11&amp;" - Heating Zone 1 (Zonal Heating System)"</f>
        <v>Multi Family Weatherization - Insulate Attic - R-38 to R-49 - Heating Zone 1 (Zonal Heating System)</v>
      </c>
      <c r="C74" s="116" t="str">
        <f>Costs!$A11&amp;" - Heating Zone 1 (Zonal Heating System)"</f>
        <v>Multi Family Weatherization - Insulate Attic - R-38 to R-49 - Heating Zone 1 (Zonal Heating System)</v>
      </c>
      <c r="D74" s="117">
        <f>VLOOKUP(C74,SEEMsavings!$A$5:$L$556,11,FALSE)+VLOOKUP(C74,SEEMsavings!$A$5:$L$556,12,FALSE)</f>
        <v>3.7950405425568309E-2</v>
      </c>
      <c r="E74" s="113">
        <v>45</v>
      </c>
      <c r="F74" s="115">
        <f t="shared" si="1"/>
        <v>0.34012617534200867</v>
      </c>
      <c r="G74" s="113">
        <v>0</v>
      </c>
      <c r="H74" s="112" t="s">
        <v>1198</v>
      </c>
      <c r="I74" s="115"/>
      <c r="J74" s="27"/>
      <c r="K74" s="27"/>
      <c r="L74" s="27"/>
      <c r="M74" s="27"/>
      <c r="N74" s="27"/>
      <c r="O74" s="27"/>
      <c r="P74" s="27"/>
      <c r="Q74" s="27"/>
    </row>
    <row r="75" spans="1:17">
      <c r="A75" t="str">
        <f t="shared" si="2"/>
        <v>Multi Family Weatherization - Insulate Attic - R-19 to R-30 - Heating Zone 1 (Zonal Heating System)Multi Family Weatherization - Insulate Attic - R-19 to R-30 - Heating Zone 1 (Zonal Heating System)</v>
      </c>
      <c r="B75" s="116" t="str">
        <f>Costs!$A12&amp;" - Heating Zone 1 (Zonal Heating System)"</f>
        <v>Multi Family Weatherization - Insulate Attic - R-19 to R-30 - Heating Zone 1 (Zonal Heating System)</v>
      </c>
      <c r="C75" s="116" t="str">
        <f>Costs!$A12&amp;" - Heating Zone 1 (Zonal Heating System)"</f>
        <v>Multi Family Weatherization - Insulate Attic - R-19 to R-30 - Heating Zone 1 (Zonal Heating System)</v>
      </c>
      <c r="D75" s="117">
        <f>VLOOKUP(C75,SEEMsavings!$A$5:$L$556,11,FALSE)+VLOOKUP(C75,SEEMsavings!$A$5:$L$556,12,FALSE)</f>
        <v>0.11897230863715916</v>
      </c>
      <c r="E75" s="113">
        <v>45</v>
      </c>
      <c r="F75" s="115">
        <f t="shared" si="1"/>
        <v>0.34012617534200867</v>
      </c>
      <c r="G75" s="113">
        <v>0</v>
      </c>
      <c r="H75" s="112" t="s">
        <v>1198</v>
      </c>
      <c r="I75" s="115"/>
      <c r="J75" s="27"/>
      <c r="K75" s="27"/>
      <c r="L75" s="27"/>
      <c r="M75" s="27"/>
      <c r="N75" s="27"/>
      <c r="O75" s="27"/>
      <c r="P75" s="27"/>
      <c r="Q75" s="27"/>
    </row>
    <row r="76" spans="1:17">
      <c r="A76" t="str">
        <f t="shared" si="2"/>
        <v>Multi Family Weatherization - Insulate Attic - R-19 to R-38 - Heating Zone 1 (Zonal Heating System)Multi Family Weatherization - Insulate Attic - R-19 to R-38 - Heating Zone 1 (Zonal Heating System)</v>
      </c>
      <c r="B76" s="116" t="str">
        <f>Costs!$A13&amp;" - Heating Zone 1 (Zonal Heating System)"</f>
        <v>Multi Family Weatherization - Insulate Attic - R-19 to R-38 - Heating Zone 1 (Zonal Heating System)</v>
      </c>
      <c r="C76" s="116" t="str">
        <f>Costs!$A13&amp;" - Heating Zone 1 (Zonal Heating System)"</f>
        <v>Multi Family Weatherization - Insulate Attic - R-19 to R-38 - Heating Zone 1 (Zonal Heating System)</v>
      </c>
      <c r="D76" s="117">
        <f>VLOOKUP(C76,SEEMsavings!$A$5:$L$556,11,FALSE)+VLOOKUP(C76,SEEMsavings!$A$5:$L$556,12,FALSE)</f>
        <v>0.16409202240988657</v>
      </c>
      <c r="E76" s="113">
        <v>45</v>
      </c>
      <c r="F76" s="115">
        <f t="shared" si="1"/>
        <v>0.58749066649983317</v>
      </c>
      <c r="G76" s="113">
        <v>0</v>
      </c>
      <c r="H76" s="112" t="s">
        <v>1198</v>
      </c>
      <c r="I76" s="115"/>
      <c r="J76" s="27"/>
      <c r="K76" s="27"/>
      <c r="L76" s="27"/>
      <c r="M76" s="27"/>
      <c r="N76" s="27"/>
      <c r="O76" s="27"/>
      <c r="P76" s="27"/>
      <c r="Q76" s="27"/>
    </row>
    <row r="77" spans="1:17">
      <c r="A77" t="str">
        <f t="shared" si="2"/>
        <v>Multi Family Weatherization - Insulate Attic - R-19 to R-49 - Heating Zone 1 (Zonal Heating System)Multi Family Weatherization - Insulate Attic - R-19 to R-49 - Heating Zone 1 (Zonal Heating System)</v>
      </c>
      <c r="B77" s="116" t="str">
        <f>Costs!$A14&amp;" - Heating Zone 1 (Zonal Heating System)"</f>
        <v>Multi Family Weatherization - Insulate Attic - R-19 to R-49 - Heating Zone 1 (Zonal Heating System)</v>
      </c>
      <c r="C77" s="116" t="str">
        <f>Costs!$A14&amp;" - Heating Zone 1 (Zonal Heating System)"</f>
        <v>Multi Family Weatherization - Insulate Attic - R-19 to R-49 - Heating Zone 1 (Zonal Heating System)</v>
      </c>
      <c r="D77" s="117">
        <f>VLOOKUP(C77,SEEMsavings!$A$5:$L$556,11,FALSE)+VLOOKUP(C77,SEEMsavings!$A$5:$L$556,12,FALSE)</f>
        <v>0.2020424278354549</v>
      </c>
      <c r="E77" s="113">
        <v>45</v>
      </c>
      <c r="F77" s="115">
        <f t="shared" si="1"/>
        <v>0.9276168418418419</v>
      </c>
      <c r="G77" s="113">
        <v>0</v>
      </c>
      <c r="H77" s="112" t="s">
        <v>1198</v>
      </c>
      <c r="I77" s="115"/>
      <c r="J77" s="27"/>
      <c r="K77" s="27"/>
      <c r="L77" s="27"/>
      <c r="M77" s="27"/>
      <c r="N77" s="27"/>
      <c r="O77" s="27"/>
      <c r="P77" s="27"/>
      <c r="Q77" s="27"/>
    </row>
    <row r="78" spans="1:17">
      <c r="A78" t="str">
        <f t="shared" si="2"/>
        <v>Windows - Single Pane to Class 22 - Heating Zone 1 (Zonal Heating System)Windows - Single Pane to Class 22 - Heating Zone 1 (Zonal Heating System)</v>
      </c>
      <c r="B78" s="116" t="str">
        <f>Costs!$A15&amp;" - Heating Zone 1 (Zonal Heating System)"</f>
        <v>Windows - Single Pane to Class 22 - Heating Zone 1 (Zonal Heating System)</v>
      </c>
      <c r="C78" s="116" t="str">
        <f>Costs!$A15&amp;" - Heating Zone 1 (Zonal Heating System)"</f>
        <v>Windows - Single Pane to Class 22 - Heating Zone 1 (Zonal Heating System)</v>
      </c>
      <c r="D78" s="117">
        <f>VLOOKUP(C78,SEEMsavings!$A$5:$L$556,11,FALSE)+VLOOKUP(C78,SEEMsavings!$A$5:$L$556,12,FALSE)</f>
        <v>22.905370149993779</v>
      </c>
      <c r="E78" s="113">
        <v>45</v>
      </c>
      <c r="F78" s="115">
        <f t="shared" si="1"/>
        <v>23.573200327964955</v>
      </c>
      <c r="G78" s="113">
        <v>0</v>
      </c>
      <c r="H78" s="112" t="s">
        <v>1198</v>
      </c>
      <c r="I78" s="115"/>
      <c r="J78" s="27"/>
      <c r="K78" s="27"/>
      <c r="L78" s="27"/>
      <c r="M78" s="27"/>
      <c r="N78" s="27"/>
      <c r="O78" s="27"/>
      <c r="P78" s="27"/>
      <c r="Q78" s="27"/>
    </row>
    <row r="79" spans="1:17">
      <c r="A79" t="str">
        <f t="shared" si="2"/>
        <v>Windows - Double Pane to Class 22 - Heating Zone 1 (Zonal Heating System)Windows - Double Pane to Class 22 - Heating Zone 1 (Zonal Heating System)</v>
      </c>
      <c r="B79" s="116" t="str">
        <f>Costs!$A16&amp;" - Heating Zone 1 (Zonal Heating System)"</f>
        <v>Windows - Double Pane to Class 22 - Heating Zone 1 (Zonal Heating System)</v>
      </c>
      <c r="C79" s="116" t="str">
        <f>Costs!$A16&amp;" - Heating Zone 1 (Zonal Heating System)"</f>
        <v>Windows - Double Pane to Class 22 - Heating Zone 1 (Zonal Heating System)</v>
      </c>
      <c r="D79" s="117">
        <f>VLOOKUP(C79,SEEMsavings!$A$5:$L$556,11,FALSE)+VLOOKUP(C79,SEEMsavings!$A$5:$L$556,12,FALSE)</f>
        <v>13.397849857544676</v>
      </c>
      <c r="E79" s="113">
        <v>45</v>
      </c>
      <c r="F79" s="115">
        <f t="shared" si="1"/>
        <v>23.573200327964955</v>
      </c>
      <c r="G79" s="113">
        <v>0</v>
      </c>
      <c r="H79" s="112" t="s">
        <v>1198</v>
      </c>
      <c r="I79" s="115"/>
      <c r="J79" s="27"/>
      <c r="K79" s="27"/>
      <c r="L79" s="27"/>
      <c r="M79" s="27"/>
      <c r="N79" s="27"/>
      <c r="O79" s="27"/>
      <c r="P79" s="27"/>
      <c r="Q79" s="27"/>
    </row>
    <row r="80" spans="1:17">
      <c r="A80" t="str">
        <f t="shared" si="2"/>
        <v>Windows - Single Pane to Class 30 - Heating Zone 1 (Zonal Heating System)Windows - Single Pane to Class 30 - Heating Zone 1 (Zonal Heating System)</v>
      </c>
      <c r="B80" s="116" t="str">
        <f>Costs!$A17&amp;" - Heating Zone 1 (Zonal Heating System)"</f>
        <v>Windows - Single Pane to Class 30 - Heating Zone 1 (Zonal Heating System)</v>
      </c>
      <c r="C80" s="116" t="str">
        <f>Costs!$A17&amp;" - Heating Zone 1 (Zonal Heating System)"</f>
        <v>Windows - Single Pane to Class 30 - Heating Zone 1 (Zonal Heating System)</v>
      </c>
      <c r="D80" s="117">
        <f>VLOOKUP(C80,SEEMsavings!$A$5:$L$556,11,FALSE)+VLOOKUP(C80,SEEMsavings!$A$5:$L$556,12,FALSE)</f>
        <v>21.095852285685414</v>
      </c>
      <c r="E80" s="113">
        <v>45</v>
      </c>
      <c r="F80" s="115">
        <f t="shared" si="1"/>
        <v>22.213200327964955</v>
      </c>
      <c r="G80" s="113">
        <v>0</v>
      </c>
      <c r="H80" s="112" t="s">
        <v>1198</v>
      </c>
      <c r="I80" s="115"/>
      <c r="J80" s="27"/>
      <c r="K80" s="27"/>
      <c r="L80" s="27"/>
      <c r="M80" s="27"/>
      <c r="N80" s="27"/>
      <c r="O80" s="27"/>
      <c r="P80" s="27"/>
      <c r="Q80" s="27"/>
    </row>
    <row r="81" spans="1:17">
      <c r="A81" t="str">
        <f t="shared" si="2"/>
        <v>Windows - Double Pane to Class 30 - Heating Zone 1 (Zonal Heating System)Windows - Double Pane to Class 30 - Heating Zone 1 (Zonal Heating System)</v>
      </c>
      <c r="B81" s="116" t="str">
        <f>Costs!$A18&amp;" - Heating Zone 1 (Zonal Heating System)"</f>
        <v>Windows - Double Pane to Class 30 - Heating Zone 1 (Zonal Heating System)</v>
      </c>
      <c r="C81" s="116" t="str">
        <f>Costs!$A18&amp;" - Heating Zone 1 (Zonal Heating System)"</f>
        <v>Windows - Double Pane to Class 30 - Heating Zone 1 (Zonal Heating System)</v>
      </c>
      <c r="D81" s="117">
        <f>VLOOKUP(C81,SEEMsavings!$A$5:$L$556,11,FALSE)+VLOOKUP(C81,SEEMsavings!$A$5:$L$556,12,FALSE)</f>
        <v>11.588331993236304</v>
      </c>
      <c r="E81" s="113">
        <v>45</v>
      </c>
      <c r="F81" s="115">
        <f t="shared" si="1"/>
        <v>22.213200327964955</v>
      </c>
      <c r="G81" s="113">
        <v>0</v>
      </c>
      <c r="H81" s="112" t="s">
        <v>1198</v>
      </c>
      <c r="I81" s="115"/>
      <c r="J81" s="27"/>
      <c r="K81" s="27"/>
      <c r="L81" s="27"/>
      <c r="M81" s="27"/>
      <c r="N81" s="27"/>
      <c r="O81" s="27"/>
      <c r="P81" s="27"/>
      <c r="Q81" s="27"/>
    </row>
    <row r="82" spans="1:17">
      <c r="A82" t="str">
        <f t="shared" si="2"/>
        <v>Windows - Class 35 to Class 30 - Heating Zone 1 (Zonal Heating System)Windows - Class 35 to Class 30 - Heating Zone 1 (Zonal Heating System)</v>
      </c>
      <c r="B82" s="116" t="str">
        <f>Costs!$A19&amp;" - Heating Zone 1 (Zonal Heating System)"</f>
        <v>Windows - Class 35 to Class 30 - Heating Zone 1 (Zonal Heating System)</v>
      </c>
      <c r="C82" s="116" t="str">
        <f>Costs!$A19&amp;" - Heating Zone 1 (Zonal Heating System)"</f>
        <v>Windows - Class 35 to Class 30 - Heating Zone 1 (Zonal Heating System)</v>
      </c>
      <c r="D82" s="117">
        <f>VLOOKUP(C82,SEEMsavings!$A$5:$L$556,11,FALSE)+VLOOKUP(C82,SEEMsavings!$A$5:$L$556,12,FALSE)</f>
        <v>1.247421167899281</v>
      </c>
      <c r="E82" s="113">
        <v>45</v>
      </c>
      <c r="F82" s="115">
        <f t="shared" si="1"/>
        <v>0.9632509724857734</v>
      </c>
      <c r="G82" s="113">
        <v>0</v>
      </c>
      <c r="H82" s="112" t="s">
        <v>1198</v>
      </c>
      <c r="I82" s="115"/>
      <c r="J82" s="27"/>
      <c r="K82" s="27"/>
      <c r="L82" s="27"/>
      <c r="M82" s="27"/>
      <c r="N82" s="27"/>
      <c r="O82" s="27"/>
      <c r="P82" s="27"/>
      <c r="Q82" s="27"/>
    </row>
    <row r="83" spans="1:17">
      <c r="A83" t="str">
        <f t="shared" si="2"/>
        <v>Windows - Class 35 to Class 22 - Heating Zone 1 (Zonal Heating System)Windows - Class 35 to Class 22 - Heating Zone 1 (Zonal Heating System)</v>
      </c>
      <c r="B83" s="116" t="str">
        <f>Costs!$A20&amp;" - Heating Zone 1 (Zonal Heating System)"</f>
        <v>Windows - Class 35 to Class 22 - Heating Zone 1 (Zonal Heating System)</v>
      </c>
      <c r="C83" s="116" t="str">
        <f>Costs!$A20&amp;" - Heating Zone 1 (Zonal Heating System)"</f>
        <v>Windows - Class 35 to Class 22 - Heating Zone 1 (Zonal Heating System)</v>
      </c>
      <c r="D83" s="117">
        <f>VLOOKUP(C83,SEEMsavings!$A$5:$L$556,11,FALSE)+VLOOKUP(C83,SEEMsavings!$A$5:$L$556,12,FALSE)</f>
        <v>3.0569390322076524</v>
      </c>
      <c r="E83" s="113">
        <v>45</v>
      </c>
      <c r="F83" s="115">
        <f t="shared" si="1"/>
        <v>2.3232509724857735</v>
      </c>
      <c r="G83" s="113">
        <v>0</v>
      </c>
      <c r="H83" s="112" t="s">
        <v>1198</v>
      </c>
      <c r="I83" s="115"/>
      <c r="J83" s="27"/>
      <c r="K83" s="27"/>
      <c r="L83" s="27"/>
      <c r="M83" s="27"/>
      <c r="N83" s="27"/>
      <c r="O83" s="27"/>
      <c r="P83" s="27"/>
      <c r="Q83" s="27"/>
    </row>
    <row r="84" spans="1:17">
      <c r="A84" t="str">
        <f t="shared" si="2"/>
        <v>Multi Family Weatherization - Insulate Walls - R-0 to R-11 - Heating Zone 2 (Zonal Heating System)Multi Family Weatherization - Insulate Walls - R-0 to R-11 - Heating Zone 2 (Zonal Heating System)</v>
      </c>
      <c r="B84" s="116" t="str">
        <f>Costs!$A2&amp;" - Heating Zone 2 (Zonal Heating System)"</f>
        <v>Multi Family Weatherization - Insulate Walls - R-0 to R-11 - Heating Zone 2 (Zonal Heating System)</v>
      </c>
      <c r="C84" s="116" t="str">
        <f>Costs!$A2&amp;" - Heating Zone 2 (Zonal Heating System)"</f>
        <v>Multi Family Weatherization - Insulate Walls - R-0 to R-11 - Heating Zone 2 (Zonal Heating System)</v>
      </c>
      <c r="D84" s="117">
        <f>VLOOKUP(C84,SEEMsavings!$A$5:$L$556,11,FALSE)+VLOOKUP(C84,SEEMsavings!$A$5:$L$556,12,FALSE)</f>
        <v>1.7455528503752906</v>
      </c>
      <c r="E84" s="113">
        <v>45</v>
      </c>
      <c r="F84" s="115">
        <f t="shared" si="1"/>
        <v>0.85033582942530117</v>
      </c>
      <c r="G84" s="113">
        <v>0</v>
      </c>
      <c r="H84" s="112" t="s">
        <v>1198</v>
      </c>
      <c r="I84" s="115"/>
      <c r="J84" s="27"/>
      <c r="K84" s="27"/>
      <c r="L84" s="27"/>
      <c r="M84" s="27"/>
      <c r="N84" s="27"/>
      <c r="O84" s="27"/>
      <c r="P84" s="27"/>
      <c r="Q84" s="27"/>
    </row>
    <row r="85" spans="1:17">
      <c r="A85" t="str">
        <f t="shared" si="2"/>
        <v>Multi Family Weatherization - Insulate Floors - R-0 to R-19 - Heating Zone 2 (Zonal Heating System)Multi Family Weatherization - Insulate Floors - R-0 to R-19 - Heating Zone 2 (Zonal Heating System)</v>
      </c>
      <c r="B85" s="116" t="str">
        <f>Costs!$A3&amp;" - Heating Zone 2 (Zonal Heating System)"</f>
        <v>Multi Family Weatherization - Insulate Floors - R-0 to R-19 - Heating Zone 2 (Zonal Heating System)</v>
      </c>
      <c r="C85" s="116" t="str">
        <f>Costs!$A3&amp;" - Heating Zone 2 (Zonal Heating System)"</f>
        <v>Multi Family Weatherization - Insulate Floors - R-0 to R-19 - Heating Zone 2 (Zonal Heating System)</v>
      </c>
      <c r="D85" s="117">
        <f>VLOOKUP(C85,SEEMsavings!$A$5:$L$556,11,FALSE)+VLOOKUP(C85,SEEMsavings!$A$5:$L$556,12,FALSE)</f>
        <v>0.70850569625695259</v>
      </c>
      <c r="E85" s="113">
        <v>45</v>
      </c>
      <c r="F85" s="115">
        <f t="shared" si="1"/>
        <v>1.1190178820234826</v>
      </c>
      <c r="G85" s="113">
        <v>0</v>
      </c>
      <c r="H85" s="112" t="s">
        <v>1198</v>
      </c>
      <c r="I85" s="115"/>
      <c r="J85" s="27"/>
      <c r="K85" s="27"/>
      <c r="L85" s="27"/>
      <c r="M85" s="27"/>
      <c r="N85" s="27"/>
      <c r="O85" s="27"/>
      <c r="P85" s="27"/>
      <c r="Q85" s="27"/>
    </row>
    <row r="86" spans="1:17">
      <c r="A86" t="str">
        <f t="shared" si="2"/>
        <v>Multi Family Weatherization - Insulate Floors - R-0 to R-30 - Heating Zone 2 (Zonal Heating System)Multi Family Weatherization - Insulate Floors - R-0 to R-30 - Heating Zone 2 (Zonal Heating System)</v>
      </c>
      <c r="B86" s="116" t="str">
        <f>Costs!$A4&amp;" - Heating Zone 2 (Zonal Heating System)"</f>
        <v>Multi Family Weatherization - Insulate Floors - R-0 to R-30 - Heating Zone 2 (Zonal Heating System)</v>
      </c>
      <c r="C86" s="116" t="str">
        <f>Costs!$A4&amp;" - Heating Zone 2 (Zonal Heating System)"</f>
        <v>Multi Family Weatherization - Insulate Floors - R-0 to R-30 - Heating Zone 2 (Zonal Heating System)</v>
      </c>
      <c r="D86" s="117">
        <f>VLOOKUP(C86,SEEMsavings!$A$5:$L$556,11,FALSE)+VLOOKUP(C86,SEEMsavings!$A$5:$L$556,12,FALSE)</f>
        <v>0.92380901266016036</v>
      </c>
      <c r="E86" s="113">
        <v>45</v>
      </c>
      <c r="F86" s="115">
        <f t="shared" si="1"/>
        <v>1.766870340037078</v>
      </c>
      <c r="G86" s="113">
        <v>0</v>
      </c>
      <c r="H86" s="112" t="s">
        <v>1198</v>
      </c>
      <c r="I86" s="115"/>
      <c r="J86" s="27"/>
      <c r="K86" s="27"/>
      <c r="L86" s="27"/>
      <c r="M86" s="27"/>
      <c r="N86" s="27"/>
      <c r="O86" s="27"/>
      <c r="P86" s="27"/>
      <c r="Q86" s="27"/>
    </row>
    <row r="87" spans="1:17" ht="25.5">
      <c r="A87" t="str">
        <f t="shared" si="2"/>
        <v>Multi Family Weatherization - Insulate Floors - R-19 to R-30 - Heating Zone 2 (Zonal Heating System)Multi Family Weatherization - Insulate Floors - R-19 to R-30 - Heating Zone 2 (Zonal Heating System)</v>
      </c>
      <c r="B87" s="116" t="str">
        <f>Costs!$A5&amp;" - Heating Zone 2 (Zonal Heating System)"</f>
        <v>Multi Family Weatherization - Insulate Floors - R-19 to R-30 - Heating Zone 2 (Zonal Heating System)</v>
      </c>
      <c r="C87" s="116" t="str">
        <f>Costs!$A5&amp;" - Heating Zone 2 (Zonal Heating System)"</f>
        <v>Multi Family Weatherization - Insulate Floors - R-19 to R-30 - Heating Zone 2 (Zonal Heating System)</v>
      </c>
      <c r="D87" s="117">
        <f>VLOOKUP(C87,SEEMsavings!$A$5:$L$556,11,FALSE)+VLOOKUP(C87,SEEMsavings!$A$5:$L$556,12,FALSE)</f>
        <v>0.21530331640320782</v>
      </c>
      <c r="E87" s="113">
        <v>45</v>
      </c>
      <c r="F87" s="115">
        <f t="shared" si="1"/>
        <v>0.64785245801359526</v>
      </c>
      <c r="G87" s="113">
        <v>0</v>
      </c>
      <c r="H87" s="112" t="s">
        <v>1198</v>
      </c>
      <c r="I87" s="115"/>
      <c r="J87" s="27"/>
      <c r="K87" s="27"/>
      <c r="L87" s="27"/>
      <c r="M87" s="27"/>
      <c r="N87" s="27"/>
      <c r="O87" s="27"/>
      <c r="P87" s="27"/>
      <c r="Q87" s="27"/>
    </row>
    <row r="88" spans="1:17">
      <c r="A88" t="str">
        <f t="shared" si="2"/>
        <v>Multi Family Weatherization - Insulate Attic - R-0 to R-19 - Heating Zone 2 (Zonal Heating System)Multi Family Weatherization - Insulate Attic - R-0 to R-19 - Heating Zone 2 (Zonal Heating System)</v>
      </c>
      <c r="B88" s="116" t="str">
        <f>Costs!$A6&amp;" - Heating Zone 2 (Zonal Heating System)"</f>
        <v>Multi Family Weatherization - Insulate Attic - R-0 to R-19 - Heating Zone 2 (Zonal Heating System)</v>
      </c>
      <c r="C88" s="116" t="str">
        <f>Costs!$A6&amp;" - Heating Zone 2 (Zonal Heating System)"</f>
        <v>Multi Family Weatherization - Insulate Attic - R-0 to R-19 - Heating Zone 2 (Zonal Heating System)</v>
      </c>
      <c r="D88" s="117">
        <f>VLOOKUP(C88,SEEMsavings!$A$5:$L$556,11,FALSE)+VLOOKUP(C88,SEEMsavings!$A$5:$L$556,12,FALSE)</f>
        <v>0.46821869034522712</v>
      </c>
      <c r="E88" s="113">
        <v>45</v>
      </c>
      <c r="F88" s="115">
        <f t="shared" si="1"/>
        <v>0.58749066649983317</v>
      </c>
      <c r="G88" s="113">
        <v>0</v>
      </c>
      <c r="H88" s="112" t="s">
        <v>1198</v>
      </c>
      <c r="I88" s="115"/>
      <c r="J88" s="27"/>
      <c r="K88" s="27"/>
      <c r="L88" s="27"/>
      <c r="M88" s="27"/>
      <c r="N88" s="27"/>
      <c r="O88" s="27"/>
      <c r="P88" s="27"/>
      <c r="Q88" s="27"/>
    </row>
    <row r="89" spans="1:17">
      <c r="A89" t="str">
        <f t="shared" si="2"/>
        <v>Multi Family Weatherization - Insulate Attic - R-0 to R-38 - Heating Zone 2 (Zonal Heating System)Multi Family Weatherization - Insulate Attic - R-0 to R-38 - Heating Zone 2 (Zonal Heating System)</v>
      </c>
      <c r="B89" s="116" t="str">
        <f>Costs!$A7&amp;" - Heating Zone 2 (Zonal Heating System)"</f>
        <v>Multi Family Weatherization - Insulate Attic - R-0 to R-38 - Heating Zone 2 (Zonal Heating System)</v>
      </c>
      <c r="C89" s="116" t="str">
        <f>Costs!$A7&amp;" - Heating Zone 2 (Zonal Heating System)"</f>
        <v>Multi Family Weatherization - Insulate Attic - R-0 to R-38 - Heating Zone 2 (Zonal Heating System)</v>
      </c>
      <c r="D89" s="117">
        <f>VLOOKUP(C89,SEEMsavings!$A$5:$L$556,11,FALSE)+VLOOKUP(C89,SEEMsavings!$A$5:$L$556,12,FALSE)</f>
        <v>0.63802501343193219</v>
      </c>
      <c r="E89" s="113">
        <v>45</v>
      </c>
      <c r="F89" s="115">
        <f t="shared" si="1"/>
        <v>1.1749813329996663</v>
      </c>
      <c r="G89" s="113">
        <v>0</v>
      </c>
      <c r="H89" s="112" t="s">
        <v>1198</v>
      </c>
      <c r="I89" s="115"/>
      <c r="J89" s="27"/>
      <c r="K89" s="27"/>
      <c r="L89" s="27"/>
      <c r="M89" s="27"/>
      <c r="N89" s="27"/>
      <c r="O89" s="27"/>
      <c r="P89" s="27"/>
      <c r="Q89" s="27"/>
    </row>
    <row r="90" spans="1:17">
      <c r="A90" t="str">
        <f t="shared" si="2"/>
        <v>Multi Family Weatherization - Insulate Attic - R-0 to R-49 - Heating Zone 2 (Zonal Heating System)Multi Family Weatherization - Insulate Attic - R-0 to R-49 - Heating Zone 2 (Zonal Heating System)</v>
      </c>
      <c r="B90" s="116" t="str">
        <f>Costs!$A8&amp;" - Heating Zone 2 (Zonal Heating System)"</f>
        <v>Multi Family Weatherization - Insulate Attic - R-0 to R-49 - Heating Zone 2 (Zonal Heating System)</v>
      </c>
      <c r="C90" s="116" t="str">
        <f>Costs!$A8&amp;" - Heating Zone 2 (Zonal Heating System)"</f>
        <v>Multi Family Weatherization - Insulate Attic - R-0 to R-49 - Heating Zone 2 (Zonal Heating System)</v>
      </c>
      <c r="D90" s="117">
        <f>VLOOKUP(C90,SEEMsavings!$A$5:$L$556,11,FALSE)+VLOOKUP(C90,SEEMsavings!$A$5:$L$556,12,FALSE)</f>
        <v>0.67745633057068222</v>
      </c>
      <c r="E90" s="113">
        <v>45</v>
      </c>
      <c r="F90" s="115">
        <f t="shared" si="1"/>
        <v>1.515107508341675</v>
      </c>
      <c r="G90" s="113">
        <v>0</v>
      </c>
      <c r="H90" s="112" t="s">
        <v>1198</v>
      </c>
      <c r="I90" s="115"/>
      <c r="J90" s="27"/>
      <c r="K90" s="27"/>
      <c r="L90" s="27"/>
      <c r="M90" s="27"/>
      <c r="N90" s="27"/>
      <c r="O90" s="27"/>
      <c r="P90" s="27"/>
      <c r="Q90" s="27"/>
    </row>
    <row r="91" spans="1:17">
      <c r="A91" t="str">
        <f t="shared" si="2"/>
        <v>Multi Family Weatherization - Insulate Attic - R-30 to R-38 - Heating Zone 2 (Zonal Heating System)Multi Family Weatherization - Insulate Attic - R-30 to R-38 - Heating Zone 2 (Zonal Heating System)</v>
      </c>
      <c r="B91" s="116" t="str">
        <f>Costs!$A9&amp;" - Heating Zone 2 (Zonal Heating System)"</f>
        <v>Multi Family Weatherization - Insulate Attic - R-30 to R-38 - Heating Zone 2 (Zonal Heating System)</v>
      </c>
      <c r="C91" s="116" t="str">
        <f>Costs!$A9&amp;" - Heating Zone 2 (Zonal Heating System)"</f>
        <v>Multi Family Weatherization - Insulate Attic - R-30 to R-38 - Heating Zone 2 (Zonal Heating System)</v>
      </c>
      <c r="D91" s="117">
        <f>VLOOKUP(C91,SEEMsavings!$A$5:$L$556,11,FALSE)+VLOOKUP(C91,SEEMsavings!$A$5:$L$556,12,FALSE)</f>
        <v>4.6789568398409503E-2</v>
      </c>
      <c r="E91" s="113">
        <v>45</v>
      </c>
      <c r="F91" s="115">
        <f t="shared" ref="F91:F154" si="3">F72</f>
        <v>0.2473644911578245</v>
      </c>
      <c r="G91" s="113">
        <v>0</v>
      </c>
      <c r="H91" s="112" t="s">
        <v>1198</v>
      </c>
      <c r="I91" s="115"/>
      <c r="J91" s="27"/>
      <c r="K91" s="27"/>
      <c r="L91" s="27"/>
      <c r="M91" s="27"/>
      <c r="N91" s="27"/>
      <c r="O91" s="27"/>
      <c r="P91" s="27"/>
      <c r="Q91" s="27"/>
    </row>
    <row r="92" spans="1:17">
      <c r="A92" t="str">
        <f t="shared" si="2"/>
        <v>Multi Family Weatherization - Insulate Attic - R-30 to R-49 - Heating Zone 2 (Zonal Heating System)Multi Family Weatherization - Insulate Attic - R-30 to R-49 - Heating Zone 2 (Zonal Heating System)</v>
      </c>
      <c r="B92" s="116" t="str">
        <f>Costs!$A10&amp;" - Heating Zone 2 (Zonal Heating System)"</f>
        <v>Multi Family Weatherization - Insulate Attic - R-30 to R-49 - Heating Zone 2 (Zonal Heating System)</v>
      </c>
      <c r="C92" s="116" t="str">
        <f>Costs!$A10&amp;" - Heating Zone 2 (Zonal Heating System)"</f>
        <v>Multi Family Weatherization - Insulate Attic - R-30 to R-49 - Heating Zone 2 (Zonal Heating System)</v>
      </c>
      <c r="D92" s="117">
        <f>VLOOKUP(C92,SEEMsavings!$A$5:$L$556,11,FALSE)+VLOOKUP(C92,SEEMsavings!$A$5:$L$556,12,FALSE)</f>
        <v>8.6220885537159647E-2</v>
      </c>
      <c r="E92" s="113">
        <v>45</v>
      </c>
      <c r="F92" s="115">
        <f t="shared" si="3"/>
        <v>0.58749066649983317</v>
      </c>
      <c r="G92" s="113">
        <v>0</v>
      </c>
      <c r="H92" s="112" t="s">
        <v>1198</v>
      </c>
      <c r="I92" s="115"/>
      <c r="J92" s="27"/>
      <c r="K92" s="27"/>
      <c r="L92" s="27"/>
      <c r="M92" s="27"/>
      <c r="N92" s="27"/>
      <c r="O92" s="27"/>
      <c r="P92" s="27"/>
      <c r="Q92" s="27"/>
    </row>
    <row r="93" spans="1:17">
      <c r="A93" t="str">
        <f t="shared" si="2"/>
        <v>Multi Family Weatherization - Insulate Attic - R-38 to R-49 - Heating Zone 2 (Zonal Heating System)Multi Family Weatherization - Insulate Attic - R-38 to R-49 - Heating Zone 2 (Zonal Heating System)</v>
      </c>
      <c r="B93" s="116" t="str">
        <f>Costs!$A11&amp;" - Heating Zone 2 (Zonal Heating System)"</f>
        <v>Multi Family Weatherization - Insulate Attic - R-38 to R-49 - Heating Zone 2 (Zonal Heating System)</v>
      </c>
      <c r="C93" s="116" t="str">
        <f>Costs!$A11&amp;" - Heating Zone 2 (Zonal Heating System)"</f>
        <v>Multi Family Weatherization - Insulate Attic - R-38 to R-49 - Heating Zone 2 (Zonal Heating System)</v>
      </c>
      <c r="D93" s="117">
        <f>VLOOKUP(C93,SEEMsavings!$A$5:$L$556,11,FALSE)+VLOOKUP(C93,SEEMsavings!$A$5:$L$556,12,FALSE)</f>
        <v>3.9431317138750137E-2</v>
      </c>
      <c r="E93" s="113">
        <v>45</v>
      </c>
      <c r="F93" s="115">
        <f t="shared" si="3"/>
        <v>0.34012617534200867</v>
      </c>
      <c r="G93" s="113">
        <v>0</v>
      </c>
      <c r="H93" s="112" t="s">
        <v>1198</v>
      </c>
      <c r="I93" s="115"/>
      <c r="J93" s="27"/>
      <c r="K93" s="27"/>
      <c r="L93" s="27"/>
      <c r="M93" s="27"/>
      <c r="N93" s="27"/>
      <c r="O93" s="27"/>
      <c r="P93" s="27"/>
      <c r="Q93" s="27"/>
    </row>
    <row r="94" spans="1:17">
      <c r="A94" t="str">
        <f t="shared" si="2"/>
        <v>Multi Family Weatherization - Insulate Attic - R-19 to R-30 - Heating Zone 2 (Zonal Heating System)Multi Family Weatherization - Insulate Attic - R-19 to R-30 - Heating Zone 2 (Zonal Heating System)</v>
      </c>
      <c r="B94" s="116" t="str">
        <f>Costs!$A12&amp;" - Heating Zone 2 (Zonal Heating System)"</f>
        <v>Multi Family Weatherization - Insulate Attic - R-19 to R-30 - Heating Zone 2 (Zonal Heating System)</v>
      </c>
      <c r="C94" s="116" t="str">
        <f>Costs!$A12&amp;" - Heating Zone 2 (Zonal Heating System)"</f>
        <v>Multi Family Weatherization - Insulate Attic - R-19 to R-30 - Heating Zone 2 (Zonal Heating System)</v>
      </c>
      <c r="D94" s="117">
        <f>VLOOKUP(C94,SEEMsavings!$A$5:$L$556,11,FALSE)+VLOOKUP(C94,SEEMsavings!$A$5:$L$556,12,FALSE)</f>
        <v>0.12301675468829548</v>
      </c>
      <c r="E94" s="113">
        <v>45</v>
      </c>
      <c r="F94" s="115">
        <f t="shared" si="3"/>
        <v>0.34012617534200867</v>
      </c>
      <c r="G94" s="113">
        <v>0</v>
      </c>
      <c r="H94" s="112" t="s">
        <v>1198</v>
      </c>
      <c r="I94" s="115"/>
      <c r="J94" s="27"/>
      <c r="K94" s="27"/>
      <c r="L94" s="27"/>
      <c r="M94" s="27"/>
      <c r="N94" s="27"/>
      <c r="O94" s="27"/>
      <c r="P94" s="27"/>
      <c r="Q94" s="27"/>
    </row>
    <row r="95" spans="1:17">
      <c r="A95" t="str">
        <f t="shared" si="2"/>
        <v>Multi Family Weatherization - Insulate Attic - R-19 to R-38 - Heating Zone 2 (Zonal Heating System)Multi Family Weatherization - Insulate Attic - R-19 to R-38 - Heating Zone 2 (Zonal Heating System)</v>
      </c>
      <c r="B95" s="116" t="str">
        <f>Costs!$A13&amp;" - Heating Zone 2 (Zonal Heating System)"</f>
        <v>Multi Family Weatherization - Insulate Attic - R-19 to R-38 - Heating Zone 2 (Zonal Heating System)</v>
      </c>
      <c r="C95" s="116" t="str">
        <f>Costs!$A13&amp;" - Heating Zone 2 (Zonal Heating System)"</f>
        <v>Multi Family Weatherization - Insulate Attic - R-19 to R-38 - Heating Zone 2 (Zonal Heating System)</v>
      </c>
      <c r="D95" s="117">
        <f>VLOOKUP(C95,SEEMsavings!$A$5:$L$556,11,FALSE)+VLOOKUP(C95,SEEMsavings!$A$5:$L$556,12,FALSE)</f>
        <v>0.16980632308670501</v>
      </c>
      <c r="E95" s="113">
        <v>45</v>
      </c>
      <c r="F95" s="115">
        <f t="shared" si="3"/>
        <v>0.58749066649983317</v>
      </c>
      <c r="G95" s="113">
        <v>0</v>
      </c>
      <c r="H95" s="112" t="s">
        <v>1198</v>
      </c>
      <c r="I95" s="115"/>
      <c r="J95" s="27"/>
      <c r="K95" s="27"/>
      <c r="L95" s="27"/>
      <c r="M95" s="27"/>
      <c r="N95" s="27"/>
      <c r="O95" s="27"/>
      <c r="P95" s="27"/>
      <c r="Q95" s="27"/>
    </row>
    <row r="96" spans="1:17">
      <c r="A96" t="str">
        <f t="shared" si="2"/>
        <v>Multi Family Weatherization - Insulate Attic - R-19 to R-49 - Heating Zone 2 (Zonal Heating System)Multi Family Weatherization - Insulate Attic - R-19 to R-49 - Heating Zone 2 (Zonal Heating System)</v>
      </c>
      <c r="B96" s="116" t="str">
        <f>Costs!$A14&amp;" - Heating Zone 2 (Zonal Heating System)"</f>
        <v>Multi Family Weatherization - Insulate Attic - R-19 to R-49 - Heating Zone 2 (Zonal Heating System)</v>
      </c>
      <c r="C96" s="116" t="str">
        <f>Costs!$A14&amp;" - Heating Zone 2 (Zonal Heating System)"</f>
        <v>Multi Family Weatherization - Insulate Attic - R-19 to R-49 - Heating Zone 2 (Zonal Heating System)</v>
      </c>
      <c r="D96" s="117">
        <f>VLOOKUP(C96,SEEMsavings!$A$5:$L$556,11,FALSE)+VLOOKUP(C96,SEEMsavings!$A$5:$L$556,12,FALSE)</f>
        <v>0.20923764022545513</v>
      </c>
      <c r="E96" s="113">
        <v>45</v>
      </c>
      <c r="F96" s="115">
        <f t="shared" si="3"/>
        <v>0.9276168418418419</v>
      </c>
      <c r="G96" s="113">
        <v>0</v>
      </c>
      <c r="H96" s="112" t="s">
        <v>1198</v>
      </c>
      <c r="I96" s="115"/>
      <c r="J96" s="27"/>
      <c r="K96" s="27"/>
      <c r="L96" s="27"/>
      <c r="M96" s="27"/>
      <c r="N96" s="27"/>
      <c r="O96" s="27"/>
      <c r="P96" s="27"/>
      <c r="Q96" s="27"/>
    </row>
    <row r="97" spans="1:17">
      <c r="A97" t="str">
        <f t="shared" si="2"/>
        <v>Windows - Single Pane to Class 22 - Heating Zone 2 (Zonal Heating System)Windows - Single Pane to Class 22 - Heating Zone 2 (Zonal Heating System)</v>
      </c>
      <c r="B97" s="116" t="str">
        <f>Costs!$A15&amp;" - Heating Zone 2 (Zonal Heating System)"</f>
        <v>Windows - Single Pane to Class 22 - Heating Zone 2 (Zonal Heating System)</v>
      </c>
      <c r="C97" s="116" t="str">
        <f>Costs!$A15&amp;" - Heating Zone 2 (Zonal Heating System)"</f>
        <v>Windows - Single Pane to Class 22 - Heating Zone 2 (Zonal Heating System)</v>
      </c>
      <c r="D97" s="117">
        <f>VLOOKUP(C97,SEEMsavings!$A$5:$L$556,11,FALSE)+VLOOKUP(C97,SEEMsavings!$A$5:$L$556,12,FALSE)</f>
        <v>31.736895128284569</v>
      </c>
      <c r="E97" s="113">
        <v>45</v>
      </c>
      <c r="F97" s="115">
        <f t="shared" si="3"/>
        <v>23.573200327964955</v>
      </c>
      <c r="G97" s="113">
        <v>0</v>
      </c>
      <c r="H97" s="112" t="s">
        <v>1198</v>
      </c>
      <c r="I97" s="115"/>
      <c r="J97" s="27"/>
      <c r="K97" s="27"/>
      <c r="L97" s="27"/>
      <c r="M97" s="27"/>
      <c r="N97" s="27"/>
      <c r="O97" s="27"/>
      <c r="P97" s="27"/>
      <c r="Q97" s="27"/>
    </row>
    <row r="98" spans="1:17">
      <c r="A98" t="str">
        <f t="shared" si="2"/>
        <v>Windows - Double Pane to Class 22 - Heating Zone 2 (Zonal Heating System)Windows - Double Pane to Class 22 - Heating Zone 2 (Zonal Heating System)</v>
      </c>
      <c r="B98" s="116" t="str">
        <f>Costs!$A16&amp;" - Heating Zone 2 (Zonal Heating System)"</f>
        <v>Windows - Double Pane to Class 22 - Heating Zone 2 (Zonal Heating System)</v>
      </c>
      <c r="C98" s="116" t="str">
        <f>Costs!$A16&amp;" - Heating Zone 2 (Zonal Heating System)"</f>
        <v>Windows - Double Pane to Class 22 - Heating Zone 2 (Zonal Heating System)</v>
      </c>
      <c r="D98" s="117">
        <f>VLOOKUP(C98,SEEMsavings!$A$5:$L$556,11,FALSE)+VLOOKUP(C98,SEEMsavings!$A$5:$L$556,12,FALSE)</f>
        <v>18.897395849439391</v>
      </c>
      <c r="E98" s="113">
        <v>45</v>
      </c>
      <c r="F98" s="115">
        <f t="shared" si="3"/>
        <v>23.573200327964955</v>
      </c>
      <c r="G98" s="113">
        <v>0</v>
      </c>
      <c r="H98" s="112" t="s">
        <v>1198</v>
      </c>
      <c r="I98" s="115"/>
      <c r="J98" s="27"/>
      <c r="K98" s="27"/>
      <c r="L98" s="27"/>
      <c r="M98" s="27"/>
      <c r="N98" s="27"/>
      <c r="O98" s="27"/>
      <c r="P98" s="27"/>
      <c r="Q98" s="27"/>
    </row>
    <row r="99" spans="1:17">
      <c r="A99" t="str">
        <f t="shared" si="2"/>
        <v>Windows - Single Pane to Class 30 - Heating Zone 2 (Zonal Heating System)Windows - Single Pane to Class 30 - Heating Zone 2 (Zonal Heating System)</v>
      </c>
      <c r="B99" s="116" t="str">
        <f>Costs!$A17&amp;" - Heating Zone 2 (Zonal Heating System)"</f>
        <v>Windows - Single Pane to Class 30 - Heating Zone 2 (Zonal Heating System)</v>
      </c>
      <c r="C99" s="116" t="str">
        <f>Costs!$A17&amp;" - Heating Zone 2 (Zonal Heating System)"</f>
        <v>Windows - Single Pane to Class 30 - Heating Zone 2 (Zonal Heating System)</v>
      </c>
      <c r="D99" s="117">
        <f>VLOOKUP(C99,SEEMsavings!$A$5:$L$556,11,FALSE)+VLOOKUP(C99,SEEMsavings!$A$5:$L$556,12,FALSE)</f>
        <v>29.141597442207942</v>
      </c>
      <c r="E99" s="113">
        <v>45</v>
      </c>
      <c r="F99" s="115">
        <f t="shared" si="3"/>
        <v>22.213200327964955</v>
      </c>
      <c r="G99" s="113">
        <v>0</v>
      </c>
      <c r="H99" s="112" t="s">
        <v>1198</v>
      </c>
      <c r="I99" s="115"/>
      <c r="J99" s="27"/>
      <c r="K99" s="27"/>
      <c r="L99" s="27"/>
      <c r="M99" s="27"/>
      <c r="N99" s="27"/>
      <c r="O99" s="27"/>
      <c r="P99" s="27"/>
      <c r="Q99" s="27"/>
    </row>
    <row r="100" spans="1:17">
      <c r="A100" t="str">
        <f t="shared" si="2"/>
        <v>Windows - Double Pane to Class 30 - Heating Zone 2 (Zonal Heating System)Windows - Double Pane to Class 30 - Heating Zone 2 (Zonal Heating System)</v>
      </c>
      <c r="B100" s="116" t="str">
        <f>Costs!$A18&amp;" - Heating Zone 2 (Zonal Heating System)"</f>
        <v>Windows - Double Pane to Class 30 - Heating Zone 2 (Zonal Heating System)</v>
      </c>
      <c r="C100" s="116" t="str">
        <f>Costs!$A18&amp;" - Heating Zone 2 (Zonal Heating System)"</f>
        <v>Windows - Double Pane to Class 30 - Heating Zone 2 (Zonal Heating System)</v>
      </c>
      <c r="D100" s="117">
        <f>VLOOKUP(C100,SEEMsavings!$A$5:$L$556,11,FALSE)+VLOOKUP(C100,SEEMsavings!$A$5:$L$556,12,FALSE)</f>
        <v>16.302098163362761</v>
      </c>
      <c r="E100" s="113">
        <v>45</v>
      </c>
      <c r="F100" s="115">
        <f t="shared" si="3"/>
        <v>22.213200327964955</v>
      </c>
      <c r="G100" s="113">
        <v>0</v>
      </c>
      <c r="H100" s="112" t="s">
        <v>1198</v>
      </c>
      <c r="I100" s="115"/>
      <c r="J100" s="27"/>
      <c r="K100" s="27"/>
      <c r="L100" s="27"/>
      <c r="M100" s="27"/>
      <c r="N100" s="27"/>
      <c r="O100" s="27"/>
      <c r="P100" s="27"/>
      <c r="Q100" s="27"/>
    </row>
    <row r="101" spans="1:17">
      <c r="A101" t="str">
        <f t="shared" si="2"/>
        <v>Windows - Class 35 to Class 30 - Heating Zone 2 (Zonal Heating System)Windows - Class 35 to Class 30 - Heating Zone 2 (Zonal Heating System)</v>
      </c>
      <c r="B101" s="116" t="str">
        <f>Costs!$A19&amp;" - Heating Zone 2 (Zonal Heating System)"</f>
        <v>Windows - Class 35 to Class 30 - Heating Zone 2 (Zonal Heating System)</v>
      </c>
      <c r="C101" s="116" t="str">
        <f>Costs!$A19&amp;" - Heating Zone 2 (Zonal Heating System)"</f>
        <v>Windows - Class 35 to Class 30 - Heating Zone 2 (Zonal Heating System)</v>
      </c>
      <c r="D101" s="117">
        <f>VLOOKUP(C101,SEEMsavings!$A$5:$L$556,11,FALSE)+VLOOKUP(C101,SEEMsavings!$A$5:$L$556,12,FALSE)</f>
        <v>1.7667013012237769</v>
      </c>
      <c r="E101" s="113">
        <v>45</v>
      </c>
      <c r="F101" s="115">
        <f t="shared" si="3"/>
        <v>0.9632509724857734</v>
      </c>
      <c r="G101" s="113">
        <v>0</v>
      </c>
      <c r="H101" s="112" t="s">
        <v>1198</v>
      </c>
      <c r="I101" s="115"/>
      <c r="J101" s="27"/>
      <c r="K101" s="27"/>
      <c r="L101" s="27"/>
      <c r="M101" s="27"/>
      <c r="N101" s="27"/>
      <c r="O101" s="27"/>
      <c r="P101" s="27"/>
      <c r="Q101" s="27"/>
    </row>
    <row r="102" spans="1:17">
      <c r="A102" t="str">
        <f t="shared" si="2"/>
        <v>Windows - Class 35 to Class 22 - Heating Zone 2 (Zonal Heating System)Windows - Class 35 to Class 22 - Heating Zone 2 (Zonal Heating System)</v>
      </c>
      <c r="B102" s="116" t="str">
        <f>Costs!$A20&amp;" - Heating Zone 2 (Zonal Heating System)"</f>
        <v>Windows - Class 35 to Class 22 - Heating Zone 2 (Zonal Heating System)</v>
      </c>
      <c r="C102" s="116" t="str">
        <f>Costs!$A20&amp;" - Heating Zone 2 (Zonal Heating System)"</f>
        <v>Windows - Class 35 to Class 22 - Heating Zone 2 (Zonal Heating System)</v>
      </c>
      <c r="D102" s="117">
        <f>VLOOKUP(C102,SEEMsavings!$A$5:$L$556,11,FALSE)+VLOOKUP(C102,SEEMsavings!$A$5:$L$556,12,FALSE)</f>
        <v>4.3619989873004066</v>
      </c>
      <c r="E102" s="113">
        <v>45</v>
      </c>
      <c r="F102" s="115">
        <f t="shared" si="3"/>
        <v>2.3232509724857735</v>
      </c>
      <c r="G102" s="113">
        <v>0</v>
      </c>
      <c r="H102" s="112" t="s">
        <v>1198</v>
      </c>
      <c r="I102" s="115"/>
      <c r="J102" s="27"/>
      <c r="K102" s="27"/>
      <c r="L102" s="27"/>
      <c r="M102" s="27"/>
      <c r="N102" s="27"/>
      <c r="O102" s="27"/>
      <c r="P102" s="27"/>
      <c r="Q102" s="27"/>
    </row>
    <row r="103" spans="1:17">
      <c r="A103" t="str">
        <f t="shared" si="2"/>
        <v>Multi Family Weatherization - Insulate Walls - R-0 to R-11 - Heating Zone 3 (Zonal Heating System)Multi Family Weatherization - Insulate Walls - R-0 to R-11 - Heating Zone 3 (Zonal Heating System)</v>
      </c>
      <c r="B103" s="116" t="str">
        <f>Costs!$A2&amp;" - Heating Zone 3 (Zonal Heating System)"</f>
        <v>Multi Family Weatherization - Insulate Walls - R-0 to R-11 - Heating Zone 3 (Zonal Heating System)</v>
      </c>
      <c r="C103" s="116" t="str">
        <f>Costs!$A2&amp;" - Heating Zone 3 (Zonal Heating System)"</f>
        <v>Multi Family Weatherization - Insulate Walls - R-0 to R-11 - Heating Zone 3 (Zonal Heating System)</v>
      </c>
      <c r="D103" s="117">
        <f>VLOOKUP(C103,SEEMsavings!$A$5:$L$556,11,FALSE)+VLOOKUP(C103,SEEMsavings!$A$5:$L$556,12,FALSE)</f>
        <v>2.1186632912856931</v>
      </c>
      <c r="E103" s="113">
        <v>45</v>
      </c>
      <c r="F103" s="115">
        <f t="shared" si="3"/>
        <v>0.85033582942530117</v>
      </c>
      <c r="G103" s="113">
        <v>0</v>
      </c>
      <c r="H103" s="112" t="s">
        <v>1198</v>
      </c>
      <c r="I103" s="115"/>
      <c r="J103" s="27"/>
      <c r="K103" s="27"/>
      <c r="L103" s="27"/>
      <c r="M103" s="27"/>
      <c r="N103" s="27"/>
      <c r="O103" s="27"/>
      <c r="P103" s="27"/>
      <c r="Q103" s="27"/>
    </row>
    <row r="104" spans="1:17">
      <c r="A104" t="str">
        <f t="shared" si="2"/>
        <v>Multi Family Weatherization - Insulate Floors - R-0 to R-19 - Heating Zone 3 (Zonal Heating System)Multi Family Weatherization - Insulate Floors - R-0 to R-19 - Heating Zone 3 (Zonal Heating System)</v>
      </c>
      <c r="B104" s="116" t="str">
        <f>Costs!$A3&amp;" - Heating Zone 3 (Zonal Heating System)"</f>
        <v>Multi Family Weatherization - Insulate Floors - R-0 to R-19 - Heating Zone 3 (Zonal Heating System)</v>
      </c>
      <c r="C104" s="116" t="str">
        <f>Costs!$A3&amp;" - Heating Zone 3 (Zonal Heating System)"</f>
        <v>Multi Family Weatherization - Insulate Floors - R-0 to R-19 - Heating Zone 3 (Zonal Heating System)</v>
      </c>
      <c r="D104" s="117">
        <f>VLOOKUP(C104,SEEMsavings!$A$5:$L$556,11,FALSE)+VLOOKUP(C104,SEEMsavings!$A$5:$L$556,12,FALSE)</f>
        <v>0.83933543743850392</v>
      </c>
      <c r="E104" s="113">
        <v>45</v>
      </c>
      <c r="F104" s="115">
        <f t="shared" si="3"/>
        <v>1.1190178820234826</v>
      </c>
      <c r="G104" s="113">
        <v>0</v>
      </c>
      <c r="H104" s="112" t="s">
        <v>1198</v>
      </c>
      <c r="I104" s="115"/>
      <c r="J104" s="27"/>
      <c r="K104" s="27"/>
      <c r="L104" s="27"/>
      <c r="M104" s="27"/>
      <c r="N104" s="27"/>
      <c r="O104" s="27"/>
      <c r="P104" s="27"/>
      <c r="Q104" s="27"/>
    </row>
    <row r="105" spans="1:17">
      <c r="A105" t="str">
        <f t="shared" si="2"/>
        <v>Multi Family Weatherization - Insulate Floors - R-0 to R-30 - Heating Zone 3 (Zonal Heating System)Multi Family Weatherization - Insulate Floors - R-0 to R-30 - Heating Zone 3 (Zonal Heating System)</v>
      </c>
      <c r="B105" s="116" t="str">
        <f>Costs!$A4&amp;" - Heating Zone 3 (Zonal Heating System)"</f>
        <v>Multi Family Weatherization - Insulate Floors - R-0 to R-30 - Heating Zone 3 (Zonal Heating System)</v>
      </c>
      <c r="C105" s="116" t="str">
        <f>Costs!$A4&amp;" - Heating Zone 3 (Zonal Heating System)"</f>
        <v>Multi Family Weatherization - Insulate Floors - R-0 to R-30 - Heating Zone 3 (Zonal Heating System)</v>
      </c>
      <c r="D105" s="117">
        <f>VLOOKUP(C105,SEEMsavings!$A$5:$L$556,11,FALSE)+VLOOKUP(C105,SEEMsavings!$A$5:$L$556,12,FALSE)</f>
        <v>1.0954997954090917</v>
      </c>
      <c r="E105" s="113">
        <v>45</v>
      </c>
      <c r="F105" s="115">
        <f t="shared" si="3"/>
        <v>1.766870340037078</v>
      </c>
      <c r="G105" s="113">
        <v>0</v>
      </c>
      <c r="H105" s="112" t="s">
        <v>1198</v>
      </c>
      <c r="I105" s="115"/>
      <c r="J105" s="27"/>
      <c r="K105" s="27"/>
      <c r="L105" s="27"/>
      <c r="M105" s="27"/>
      <c r="N105" s="27"/>
      <c r="O105" s="27"/>
      <c r="P105" s="27"/>
      <c r="Q105" s="27"/>
    </row>
    <row r="106" spans="1:17" ht="25.5">
      <c r="A106" t="str">
        <f t="shared" si="2"/>
        <v>Multi Family Weatherization - Insulate Floors - R-19 to R-30 - Heating Zone 3 (Zonal Heating System)Multi Family Weatherization - Insulate Floors - R-19 to R-30 - Heating Zone 3 (Zonal Heating System)</v>
      </c>
      <c r="B106" s="116" t="str">
        <f>Costs!$A5&amp;" - Heating Zone 3 (Zonal Heating System)"</f>
        <v>Multi Family Weatherization - Insulate Floors - R-19 to R-30 - Heating Zone 3 (Zonal Heating System)</v>
      </c>
      <c r="C106" s="116" t="str">
        <f>Costs!$A5&amp;" - Heating Zone 3 (Zonal Heating System)"</f>
        <v>Multi Family Weatherization - Insulate Floors - R-19 to R-30 - Heating Zone 3 (Zonal Heating System)</v>
      </c>
      <c r="D106" s="117">
        <f>VLOOKUP(C106,SEEMsavings!$A$5:$L$556,11,FALSE)+VLOOKUP(C106,SEEMsavings!$A$5:$L$556,12,FALSE)</f>
        <v>0.25616435797058795</v>
      </c>
      <c r="E106" s="113">
        <v>45</v>
      </c>
      <c r="F106" s="115">
        <f t="shared" si="3"/>
        <v>0.64785245801359526</v>
      </c>
      <c r="G106" s="113">
        <v>0</v>
      </c>
      <c r="H106" s="112" t="s">
        <v>1198</v>
      </c>
      <c r="I106" s="115"/>
      <c r="J106" s="27"/>
      <c r="K106" s="27"/>
      <c r="L106" s="27"/>
      <c r="M106" s="27"/>
      <c r="N106" s="27"/>
      <c r="O106" s="27"/>
      <c r="P106" s="27"/>
      <c r="Q106" s="27"/>
    </row>
    <row r="107" spans="1:17">
      <c r="A107" t="str">
        <f t="shared" si="2"/>
        <v>Multi Family Weatherization - Insulate Attic - R-0 to R-19 - Heating Zone 3 (Zonal Heating System)Multi Family Weatherization - Insulate Attic - R-0 to R-19 - Heating Zone 3 (Zonal Heating System)</v>
      </c>
      <c r="B107" s="116" t="str">
        <f>Costs!$A6&amp;" - Heating Zone 3 (Zonal Heating System)"</f>
        <v>Multi Family Weatherization - Insulate Attic - R-0 to R-19 - Heating Zone 3 (Zonal Heating System)</v>
      </c>
      <c r="C107" s="116" t="str">
        <f>Costs!$A6&amp;" - Heating Zone 3 (Zonal Heating System)"</f>
        <v>Multi Family Weatherization - Insulate Attic - R-0 to R-19 - Heating Zone 3 (Zonal Heating System)</v>
      </c>
      <c r="D107" s="117">
        <f>VLOOKUP(C107,SEEMsavings!$A$5:$L$556,11,FALSE)+VLOOKUP(C107,SEEMsavings!$A$5:$L$556,12,FALSE)</f>
        <v>0.42681917023409172</v>
      </c>
      <c r="E107" s="113">
        <v>45</v>
      </c>
      <c r="F107" s="115">
        <f t="shared" si="3"/>
        <v>0.58749066649983317</v>
      </c>
      <c r="G107" s="113">
        <v>0</v>
      </c>
      <c r="H107" s="112" t="s">
        <v>1198</v>
      </c>
      <c r="I107" s="115"/>
      <c r="J107" s="27"/>
      <c r="K107" s="27"/>
      <c r="L107" s="27"/>
      <c r="M107" s="27"/>
      <c r="N107" s="27"/>
      <c r="O107" s="27"/>
      <c r="P107" s="27"/>
      <c r="Q107" s="27"/>
    </row>
    <row r="108" spans="1:17">
      <c r="A108" t="str">
        <f t="shared" si="2"/>
        <v>Multi Family Weatherization - Insulate Attic - R-0 to R-38 - Heating Zone 3 (Zonal Heating System)Multi Family Weatherization - Insulate Attic - R-0 to R-38 - Heating Zone 3 (Zonal Heating System)</v>
      </c>
      <c r="B108" s="116" t="str">
        <f>Costs!$A7&amp;" - Heating Zone 3 (Zonal Heating System)"</f>
        <v>Multi Family Weatherization - Insulate Attic - R-0 to R-38 - Heating Zone 3 (Zonal Heating System)</v>
      </c>
      <c r="C108" s="116" t="str">
        <f>Costs!$A7&amp;" - Heating Zone 3 (Zonal Heating System)"</f>
        <v>Multi Family Weatherization - Insulate Attic - R-0 to R-38 - Heating Zone 3 (Zonal Heating System)</v>
      </c>
      <c r="D108" s="117">
        <f>VLOOKUP(C108,SEEMsavings!$A$5:$L$556,11,FALSE)+VLOOKUP(C108,SEEMsavings!$A$5:$L$556,12,FALSE)</f>
        <v>0.58275977589772743</v>
      </c>
      <c r="E108" s="113">
        <v>45</v>
      </c>
      <c r="F108" s="115">
        <f t="shared" si="3"/>
        <v>1.1749813329996663</v>
      </c>
      <c r="G108" s="113">
        <v>0</v>
      </c>
      <c r="H108" s="112" t="s">
        <v>1198</v>
      </c>
      <c r="I108" s="115"/>
      <c r="J108" s="27"/>
      <c r="K108" s="27"/>
      <c r="L108" s="27"/>
      <c r="M108" s="27"/>
      <c r="N108" s="27"/>
      <c r="O108" s="27"/>
      <c r="P108" s="27"/>
      <c r="Q108" s="27"/>
    </row>
    <row r="109" spans="1:17">
      <c r="A109" t="str">
        <f t="shared" si="2"/>
        <v>Multi Family Weatherization - Insulate Attic - R-0 to R-49 - Heating Zone 3 (Zonal Heating System)Multi Family Weatherization - Insulate Attic - R-0 to R-49 - Heating Zone 3 (Zonal Heating System)</v>
      </c>
      <c r="B109" s="116" t="str">
        <f>Costs!$A8&amp;" - Heating Zone 3 (Zonal Heating System)"</f>
        <v>Multi Family Weatherization - Insulate Attic - R-0 to R-49 - Heating Zone 3 (Zonal Heating System)</v>
      </c>
      <c r="C109" s="116" t="str">
        <f>Costs!$A8&amp;" - Heating Zone 3 (Zonal Heating System)"</f>
        <v>Multi Family Weatherization - Insulate Attic - R-0 to R-49 - Heating Zone 3 (Zonal Heating System)</v>
      </c>
      <c r="D109" s="117">
        <f>VLOOKUP(C109,SEEMsavings!$A$5:$L$556,11,FALSE)+VLOOKUP(C109,SEEMsavings!$A$5:$L$556,12,FALSE)</f>
        <v>0.61900856289545525</v>
      </c>
      <c r="E109" s="113">
        <v>45</v>
      </c>
      <c r="F109" s="115">
        <f t="shared" si="3"/>
        <v>1.515107508341675</v>
      </c>
      <c r="G109" s="113">
        <v>0</v>
      </c>
      <c r="H109" s="112" t="s">
        <v>1198</v>
      </c>
      <c r="I109" s="115"/>
      <c r="J109" s="27"/>
      <c r="K109" s="27"/>
      <c r="L109" s="27"/>
      <c r="M109" s="27"/>
      <c r="N109" s="27"/>
      <c r="O109" s="27"/>
      <c r="P109" s="27"/>
      <c r="Q109" s="27"/>
    </row>
    <row r="110" spans="1:17">
      <c r="A110" t="str">
        <f t="shared" si="2"/>
        <v>Multi Family Weatherization - Insulate Attic - R-30 to R-38 - Heating Zone 3 (Zonal Heating System)Multi Family Weatherization - Insulate Attic - R-30 to R-38 - Heating Zone 3 (Zonal Heating System)</v>
      </c>
      <c r="B110" s="116" t="str">
        <f>Costs!$A9&amp;" - Heating Zone 3 (Zonal Heating System)"</f>
        <v>Multi Family Weatherization - Insulate Attic - R-30 to R-38 - Heating Zone 3 (Zonal Heating System)</v>
      </c>
      <c r="C110" s="116" t="str">
        <f>Costs!$A9&amp;" - Heating Zone 3 (Zonal Heating System)"</f>
        <v>Multi Family Weatherization - Insulate Attic - R-30 to R-38 - Heating Zone 3 (Zonal Heating System)</v>
      </c>
      <c r="D110" s="117">
        <f>VLOOKUP(C110,SEEMsavings!$A$5:$L$556,11,FALSE)+VLOOKUP(C110,SEEMsavings!$A$5:$L$556,12,FALSE)</f>
        <v>4.2994746247727096E-2</v>
      </c>
      <c r="E110" s="113">
        <v>45</v>
      </c>
      <c r="F110" s="115">
        <f t="shared" si="3"/>
        <v>0.2473644911578245</v>
      </c>
      <c r="G110" s="113">
        <v>0</v>
      </c>
      <c r="H110" s="112" t="s">
        <v>1198</v>
      </c>
      <c r="I110" s="115"/>
      <c r="J110" s="27"/>
      <c r="K110" s="27"/>
      <c r="L110" s="27"/>
      <c r="M110" s="27"/>
      <c r="N110" s="27"/>
      <c r="O110" s="27"/>
      <c r="P110" s="27"/>
      <c r="Q110" s="27"/>
    </row>
    <row r="111" spans="1:17">
      <c r="A111" t="str">
        <f t="shared" si="2"/>
        <v>Multi Family Weatherization - Insulate Attic - R-30 to R-49 - Heating Zone 3 (Zonal Heating System)Multi Family Weatherization - Insulate Attic - R-30 to R-49 - Heating Zone 3 (Zonal Heating System)</v>
      </c>
      <c r="B111" s="116" t="str">
        <f>Costs!$A10&amp;" - Heating Zone 3 (Zonal Heating System)"</f>
        <v>Multi Family Weatherization - Insulate Attic - R-30 to R-49 - Heating Zone 3 (Zonal Heating System)</v>
      </c>
      <c r="C111" s="116" t="str">
        <f>Costs!$A10&amp;" - Heating Zone 3 (Zonal Heating System)"</f>
        <v>Multi Family Weatherization - Insulate Attic - R-30 to R-49 - Heating Zone 3 (Zonal Heating System)</v>
      </c>
      <c r="D111" s="117">
        <f>VLOOKUP(C111,SEEMsavings!$A$5:$L$556,11,FALSE)+VLOOKUP(C111,SEEMsavings!$A$5:$L$556,12,FALSE)</f>
        <v>7.924353324545487E-2</v>
      </c>
      <c r="E111" s="113">
        <v>45</v>
      </c>
      <c r="F111" s="115">
        <f t="shared" si="3"/>
        <v>0.58749066649983317</v>
      </c>
      <c r="G111" s="113">
        <v>0</v>
      </c>
      <c r="H111" s="112" t="s">
        <v>1198</v>
      </c>
      <c r="I111" s="115"/>
      <c r="J111" s="27"/>
      <c r="K111" s="27"/>
      <c r="L111" s="27"/>
      <c r="M111" s="27"/>
      <c r="N111" s="27"/>
      <c r="O111" s="27"/>
      <c r="P111" s="27"/>
      <c r="Q111" s="27"/>
    </row>
    <row r="112" spans="1:17">
      <c r="A112" t="str">
        <f t="shared" si="2"/>
        <v>Multi Family Weatherization - Insulate Attic - R-38 to R-49 - Heating Zone 3 (Zonal Heating System)Multi Family Weatherization - Insulate Attic - R-38 to R-49 - Heating Zone 3 (Zonal Heating System)</v>
      </c>
      <c r="B112" s="116" t="str">
        <f>Costs!$A11&amp;" - Heating Zone 3 (Zonal Heating System)"</f>
        <v>Multi Family Weatherization - Insulate Attic - R-38 to R-49 - Heating Zone 3 (Zonal Heating System)</v>
      </c>
      <c r="C112" s="116" t="str">
        <f>Costs!$A11&amp;" - Heating Zone 3 (Zonal Heating System)"</f>
        <v>Multi Family Weatherization - Insulate Attic - R-38 to R-49 - Heating Zone 3 (Zonal Heating System)</v>
      </c>
      <c r="D112" s="117">
        <f>VLOOKUP(C112,SEEMsavings!$A$5:$L$556,11,FALSE)+VLOOKUP(C112,SEEMsavings!$A$5:$L$556,12,FALSE)</f>
        <v>3.6248786997727767E-2</v>
      </c>
      <c r="E112" s="113">
        <v>45</v>
      </c>
      <c r="F112" s="115">
        <f t="shared" si="3"/>
        <v>0.34012617534200867</v>
      </c>
      <c r="G112" s="113">
        <v>0</v>
      </c>
      <c r="H112" s="112" t="s">
        <v>1198</v>
      </c>
      <c r="I112" s="115"/>
      <c r="J112" s="27"/>
      <c r="K112" s="27"/>
      <c r="L112" s="27"/>
      <c r="M112" s="27"/>
      <c r="N112" s="27"/>
      <c r="O112" s="27"/>
      <c r="P112" s="27"/>
      <c r="Q112" s="27"/>
    </row>
    <row r="113" spans="1:17">
      <c r="A113" t="str">
        <f t="shared" si="2"/>
        <v>Multi Family Weatherization - Insulate Attic - R-19 to R-30 - Heating Zone 3 (Zonal Heating System)Multi Family Weatherization - Insulate Attic - R-19 to R-30 - Heating Zone 3 (Zonal Heating System)</v>
      </c>
      <c r="B113" s="116" t="str">
        <f>Costs!$A12&amp;" - Heating Zone 3 (Zonal Heating System)"</f>
        <v>Multi Family Weatherization - Insulate Attic - R-19 to R-30 - Heating Zone 3 (Zonal Heating System)</v>
      </c>
      <c r="C113" s="116" t="str">
        <f>Costs!$A12&amp;" - Heating Zone 3 (Zonal Heating System)"</f>
        <v>Multi Family Weatherization - Insulate Attic - R-19 to R-30 - Heating Zone 3 (Zonal Heating System)</v>
      </c>
      <c r="D113" s="117">
        <f>VLOOKUP(C113,SEEMsavings!$A$5:$L$556,11,FALSE)+VLOOKUP(C113,SEEMsavings!$A$5:$L$556,12,FALSE)</f>
        <v>0.11294585941590859</v>
      </c>
      <c r="E113" s="113">
        <v>45</v>
      </c>
      <c r="F113" s="115">
        <f t="shared" si="3"/>
        <v>0.34012617534200867</v>
      </c>
      <c r="G113" s="113">
        <v>0</v>
      </c>
      <c r="H113" s="112" t="s">
        <v>1198</v>
      </c>
      <c r="I113" s="115"/>
      <c r="J113" s="27"/>
      <c r="K113" s="27"/>
      <c r="L113" s="27"/>
      <c r="M113" s="27"/>
      <c r="N113" s="27"/>
      <c r="O113" s="27"/>
      <c r="P113" s="27"/>
      <c r="Q113" s="27"/>
    </row>
    <row r="114" spans="1:17">
      <c r="A114" t="str">
        <f t="shared" si="2"/>
        <v>Multi Family Weatherization - Insulate Attic - R-19 to R-38 - Heating Zone 3 (Zonal Heating System)Multi Family Weatherization - Insulate Attic - R-19 to R-38 - Heating Zone 3 (Zonal Heating System)</v>
      </c>
      <c r="B114" s="116" t="str">
        <f>Costs!$A13&amp;" - Heating Zone 3 (Zonal Heating System)"</f>
        <v>Multi Family Weatherization - Insulate Attic - R-19 to R-38 - Heating Zone 3 (Zonal Heating System)</v>
      </c>
      <c r="C114" s="116" t="str">
        <f>Costs!$A13&amp;" - Heating Zone 3 (Zonal Heating System)"</f>
        <v>Multi Family Weatherization - Insulate Attic - R-19 to R-38 - Heating Zone 3 (Zonal Heating System)</v>
      </c>
      <c r="D114" s="117">
        <f>VLOOKUP(C114,SEEMsavings!$A$5:$L$556,11,FALSE)+VLOOKUP(C114,SEEMsavings!$A$5:$L$556,12,FALSE)</f>
        <v>0.15594060566363571</v>
      </c>
      <c r="E114" s="113">
        <v>45</v>
      </c>
      <c r="F114" s="115">
        <f t="shared" si="3"/>
        <v>0.58749066649983317</v>
      </c>
      <c r="G114" s="113">
        <v>0</v>
      </c>
      <c r="H114" s="112" t="s">
        <v>1198</v>
      </c>
      <c r="I114" s="115"/>
      <c r="J114" s="27"/>
      <c r="K114" s="27"/>
      <c r="L114" s="27"/>
      <c r="M114" s="27"/>
      <c r="N114" s="27"/>
      <c r="O114" s="27"/>
      <c r="P114" s="27"/>
      <c r="Q114" s="27"/>
    </row>
    <row r="115" spans="1:17">
      <c r="A115" t="str">
        <f t="shared" si="2"/>
        <v>Multi Family Weatherization - Insulate Attic - R-19 to R-49 - Heating Zone 3 (Zonal Heating System)Multi Family Weatherization - Insulate Attic - R-19 to R-49 - Heating Zone 3 (Zonal Heating System)</v>
      </c>
      <c r="B115" s="116" t="str">
        <f>Costs!$A14&amp;" - Heating Zone 3 (Zonal Heating System)"</f>
        <v>Multi Family Weatherization - Insulate Attic - R-19 to R-49 - Heating Zone 3 (Zonal Heating System)</v>
      </c>
      <c r="C115" s="116" t="str">
        <f>Costs!$A14&amp;" - Heating Zone 3 (Zonal Heating System)"</f>
        <v>Multi Family Weatherization - Insulate Attic - R-19 to R-49 - Heating Zone 3 (Zonal Heating System)</v>
      </c>
      <c r="D115" s="117">
        <f>VLOOKUP(C115,SEEMsavings!$A$5:$L$556,11,FALSE)+VLOOKUP(C115,SEEMsavings!$A$5:$L$556,12,FALSE)</f>
        <v>0.19218939266136348</v>
      </c>
      <c r="E115" s="113">
        <v>45</v>
      </c>
      <c r="F115" s="115">
        <f t="shared" si="3"/>
        <v>0.9276168418418419</v>
      </c>
      <c r="G115" s="113">
        <v>0</v>
      </c>
      <c r="H115" s="112" t="s">
        <v>1198</v>
      </c>
      <c r="I115" s="115"/>
      <c r="J115" s="27"/>
      <c r="K115" s="27"/>
      <c r="L115" s="27"/>
      <c r="M115" s="27"/>
      <c r="N115" s="27"/>
      <c r="O115" s="27"/>
      <c r="P115" s="27"/>
      <c r="Q115" s="27"/>
    </row>
    <row r="116" spans="1:17">
      <c r="A116" t="str">
        <f t="shared" si="2"/>
        <v>Windows - Single Pane to Class 22 - Heating Zone 3 (Zonal Heating System)Windows - Single Pane to Class 22 - Heating Zone 3 (Zonal Heating System)</v>
      </c>
      <c r="B116" s="116" t="str">
        <f>Costs!$A15&amp;" - Heating Zone 3 (Zonal Heating System)"</f>
        <v>Windows - Single Pane to Class 22 - Heating Zone 3 (Zonal Heating System)</v>
      </c>
      <c r="C116" s="116" t="str">
        <f>Costs!$A15&amp;" - Heating Zone 3 (Zonal Heating System)"</f>
        <v>Windows - Single Pane to Class 22 - Heating Zone 3 (Zonal Heating System)</v>
      </c>
      <c r="D116" s="117">
        <f>VLOOKUP(C116,SEEMsavings!$A$5:$L$556,11,FALSE)+VLOOKUP(C116,SEEMsavings!$A$5:$L$556,12,FALSE)</f>
        <v>38.722478213319739</v>
      </c>
      <c r="E116" s="113">
        <v>45</v>
      </c>
      <c r="F116" s="115">
        <f t="shared" si="3"/>
        <v>23.573200327964955</v>
      </c>
      <c r="G116" s="113">
        <v>0</v>
      </c>
      <c r="H116" s="112" t="s">
        <v>1198</v>
      </c>
      <c r="I116" s="115"/>
      <c r="J116" s="27"/>
      <c r="K116" s="27"/>
      <c r="L116" s="27"/>
      <c r="M116" s="27"/>
      <c r="N116" s="27"/>
      <c r="O116" s="27"/>
      <c r="P116" s="27"/>
      <c r="Q116" s="27"/>
    </row>
    <row r="117" spans="1:17">
      <c r="A117" t="str">
        <f t="shared" si="2"/>
        <v>Windows - Double Pane to Class 22 - Heating Zone 3 (Zonal Heating System)Windows - Double Pane to Class 22 - Heating Zone 3 (Zonal Heating System)</v>
      </c>
      <c r="B117" s="116" t="str">
        <f>Costs!$A16&amp;" - Heating Zone 3 (Zonal Heating System)"</f>
        <v>Windows - Double Pane to Class 22 - Heating Zone 3 (Zonal Heating System)</v>
      </c>
      <c r="C117" s="116" t="str">
        <f>Costs!$A16&amp;" - Heating Zone 3 (Zonal Heating System)"</f>
        <v>Windows - Double Pane to Class 22 - Heating Zone 3 (Zonal Heating System)</v>
      </c>
      <c r="D117" s="117">
        <f>VLOOKUP(C117,SEEMsavings!$A$5:$L$556,11,FALSE)+VLOOKUP(C117,SEEMsavings!$A$5:$L$556,12,FALSE)</f>
        <v>23.377004959203571</v>
      </c>
      <c r="E117" s="113">
        <v>45</v>
      </c>
      <c r="F117" s="115">
        <f t="shared" si="3"/>
        <v>23.573200327964955</v>
      </c>
      <c r="G117" s="113">
        <v>0</v>
      </c>
      <c r="H117" s="112" t="s">
        <v>1198</v>
      </c>
      <c r="I117" s="115"/>
      <c r="J117" s="27"/>
      <c r="K117" s="27"/>
      <c r="L117" s="27"/>
      <c r="M117" s="27"/>
      <c r="N117" s="27"/>
      <c r="O117" s="27"/>
      <c r="P117" s="27"/>
      <c r="Q117" s="27"/>
    </row>
    <row r="118" spans="1:17">
      <c r="A118" t="str">
        <f t="shared" si="2"/>
        <v>Windows - Single Pane to Class 30 - Heating Zone 3 (Zonal Heating System)Windows - Single Pane to Class 30 - Heating Zone 3 (Zonal Heating System)</v>
      </c>
      <c r="B118" s="116" t="str">
        <f>Costs!$A17&amp;" - Heating Zone 3 (Zonal Heating System)"</f>
        <v>Windows - Single Pane to Class 30 - Heating Zone 3 (Zonal Heating System)</v>
      </c>
      <c r="C118" s="116" t="str">
        <f>Costs!$A17&amp;" - Heating Zone 3 (Zonal Heating System)"</f>
        <v>Windows - Single Pane to Class 30 - Heating Zone 3 (Zonal Heating System)</v>
      </c>
      <c r="D118" s="117">
        <f>VLOOKUP(C118,SEEMsavings!$A$5:$L$556,11,FALSE)+VLOOKUP(C118,SEEMsavings!$A$5:$L$556,12,FALSE)</f>
        <v>35.506935121295648</v>
      </c>
      <c r="E118" s="113">
        <v>45</v>
      </c>
      <c r="F118" s="115">
        <f t="shared" si="3"/>
        <v>22.213200327964955</v>
      </c>
      <c r="G118" s="113">
        <v>0</v>
      </c>
      <c r="H118" s="112" t="s">
        <v>1198</v>
      </c>
      <c r="I118" s="115"/>
      <c r="J118" s="27"/>
      <c r="K118" s="27"/>
      <c r="L118" s="27"/>
      <c r="M118" s="27"/>
      <c r="N118" s="27"/>
      <c r="O118" s="27"/>
      <c r="P118" s="27"/>
      <c r="Q118" s="27"/>
    </row>
    <row r="119" spans="1:17">
      <c r="A119" t="str">
        <f t="shared" si="2"/>
        <v>Windows - Double Pane to Class 30 - Heating Zone 3 (Zonal Heating System)Windows - Double Pane to Class 30 - Heating Zone 3 (Zonal Heating System)</v>
      </c>
      <c r="B119" s="116" t="str">
        <f>Costs!$A18&amp;" - Heating Zone 3 (Zonal Heating System)"</f>
        <v>Windows - Double Pane to Class 30 - Heating Zone 3 (Zonal Heating System)</v>
      </c>
      <c r="C119" s="116" t="str">
        <f>Costs!$A18&amp;" - Heating Zone 3 (Zonal Heating System)"</f>
        <v>Windows - Double Pane to Class 30 - Heating Zone 3 (Zonal Heating System)</v>
      </c>
      <c r="D119" s="117">
        <f>VLOOKUP(C119,SEEMsavings!$A$5:$L$556,11,FALSE)+VLOOKUP(C119,SEEMsavings!$A$5:$L$556,12,FALSE)</f>
        <v>20.161461867179487</v>
      </c>
      <c r="E119" s="113">
        <v>45</v>
      </c>
      <c r="F119" s="115">
        <f t="shared" si="3"/>
        <v>22.213200327964955</v>
      </c>
      <c r="G119" s="113">
        <v>0</v>
      </c>
      <c r="H119" s="112" t="s">
        <v>1198</v>
      </c>
      <c r="I119" s="115"/>
      <c r="J119" s="27"/>
      <c r="K119" s="27"/>
      <c r="L119" s="27"/>
      <c r="M119" s="27"/>
      <c r="N119" s="27"/>
      <c r="O119" s="27"/>
      <c r="P119" s="27"/>
      <c r="Q119" s="27"/>
    </row>
    <row r="120" spans="1:17">
      <c r="A120" t="str">
        <f t="shared" si="2"/>
        <v>Windows - Class 35 to Class 30 - Heating Zone 3 (Zonal Heating System)Windows - Class 35 to Class 30 - Heating Zone 3 (Zonal Heating System)</v>
      </c>
      <c r="B120" s="116" t="str">
        <f>Costs!$A19&amp;" - Heating Zone 3 (Zonal Heating System)"</f>
        <v>Windows - Class 35 to Class 30 - Heating Zone 3 (Zonal Heating System)</v>
      </c>
      <c r="C120" s="116" t="str">
        <f>Costs!$A19&amp;" - Heating Zone 3 (Zonal Heating System)"</f>
        <v>Windows - Class 35 to Class 30 - Heating Zone 3 (Zonal Heating System)</v>
      </c>
      <c r="D120" s="117">
        <f>VLOOKUP(C120,SEEMsavings!$A$5:$L$556,11,FALSE)+VLOOKUP(C120,SEEMsavings!$A$5:$L$556,12,FALSE)</f>
        <v>2.1661102589782435</v>
      </c>
      <c r="E120" s="113">
        <v>45</v>
      </c>
      <c r="F120" s="115">
        <f t="shared" si="3"/>
        <v>0.9632509724857734</v>
      </c>
      <c r="G120" s="113">
        <v>0</v>
      </c>
      <c r="H120" s="112" t="s">
        <v>1198</v>
      </c>
      <c r="I120" s="115"/>
      <c r="J120" s="27"/>
      <c r="K120" s="27"/>
      <c r="L120" s="27"/>
      <c r="M120" s="27"/>
      <c r="N120" s="27"/>
      <c r="O120" s="27"/>
      <c r="P120" s="27"/>
      <c r="Q120" s="27"/>
    </row>
    <row r="121" spans="1:17">
      <c r="A121" t="str">
        <f t="shared" si="2"/>
        <v>Windows - Class 35 to Class 22 - Heating Zone 3 (Zonal Heating System)Windows - Class 35 to Class 22 - Heating Zone 3 (Zonal Heating System)</v>
      </c>
      <c r="B121" s="116" t="str">
        <f>Costs!$A20&amp;" - Heating Zone 3 (Zonal Heating System)"</f>
        <v>Windows - Class 35 to Class 22 - Heating Zone 3 (Zonal Heating System)</v>
      </c>
      <c r="C121" s="116" t="str">
        <f>Costs!$A20&amp;" - Heating Zone 3 (Zonal Heating System)"</f>
        <v>Windows - Class 35 to Class 22 - Heating Zone 3 (Zonal Heating System)</v>
      </c>
      <c r="D121" s="117">
        <f>VLOOKUP(C121,SEEMsavings!$A$5:$L$556,11,FALSE)+VLOOKUP(C121,SEEMsavings!$A$5:$L$556,12,FALSE)</f>
        <v>5.3816533510023312</v>
      </c>
      <c r="E121" s="113">
        <v>45</v>
      </c>
      <c r="F121" s="115">
        <f t="shared" si="3"/>
        <v>2.3232509724857735</v>
      </c>
      <c r="G121" s="113">
        <v>0</v>
      </c>
      <c r="H121" s="112" t="s">
        <v>1198</v>
      </c>
      <c r="I121" s="115"/>
      <c r="J121" s="27"/>
      <c r="K121" s="27"/>
      <c r="L121" s="27"/>
      <c r="M121" s="27"/>
      <c r="N121" s="27"/>
      <c r="O121" s="27"/>
      <c r="P121" s="27"/>
      <c r="Q121" s="27"/>
    </row>
    <row r="122" spans="1:17" ht="25.5">
      <c r="A122" t="str">
        <f t="shared" si="2"/>
        <v>Multi Family Weatherization - Insulate Walls - R-0 to R-11 - Heating Zone 1 (Electric FAF Heating System)Multi Family Weatherization - Insulate Walls - R-0 to R-11 - Heating Zone 1 (Electric FAF Heating System)</v>
      </c>
      <c r="B122" s="116" t="str">
        <f>Costs!$A2&amp;" - Heating Zone 1 (Electric FAF Heating System)"</f>
        <v>Multi Family Weatherization - Insulate Walls - R-0 to R-11 - Heating Zone 1 (Electric FAF Heating System)</v>
      </c>
      <c r="C122" s="116" t="str">
        <f>Costs!$A2&amp;" - Heating Zone 1 (Electric FAF Heating System)"</f>
        <v>Multi Family Weatherization - Insulate Walls - R-0 to R-11 - Heating Zone 1 (Electric FAF Heating System)</v>
      </c>
      <c r="D122" s="117">
        <f>VLOOKUP(C122,SEEMsavings!$A$5:$L$556,11,FALSE)+VLOOKUP(C122,SEEMsavings!$A$5:$L$556,12,FALSE)</f>
        <v>1.2795366082093165</v>
      </c>
      <c r="E122" s="113">
        <v>45</v>
      </c>
      <c r="F122" s="115">
        <f t="shared" si="3"/>
        <v>0.85033582942530117</v>
      </c>
      <c r="G122" s="113">
        <v>0</v>
      </c>
      <c r="H122" s="112" t="s">
        <v>1198</v>
      </c>
      <c r="I122" s="115"/>
      <c r="J122" s="27"/>
      <c r="K122" s="27"/>
      <c r="L122" s="27"/>
      <c r="M122" s="27"/>
      <c r="N122" s="27"/>
      <c r="O122" s="27"/>
      <c r="P122" s="27"/>
      <c r="Q122" s="27"/>
    </row>
    <row r="123" spans="1:17" ht="25.5">
      <c r="A123" t="str">
        <f t="shared" si="2"/>
        <v>Multi Family Weatherization - Insulate Floors - R-0 to R-19 - Heating Zone 1 (Electric FAF Heating System)Multi Family Weatherization - Insulate Floors - R-0 to R-19 - Heating Zone 1 (Electric FAF Heating System)</v>
      </c>
      <c r="B123" s="116" t="str">
        <f>Costs!$A3&amp;" - Heating Zone 1 (Electric FAF Heating System)"</f>
        <v>Multi Family Weatherization - Insulate Floors - R-0 to R-19 - Heating Zone 1 (Electric FAF Heating System)</v>
      </c>
      <c r="C123" s="116" t="str">
        <f>Costs!$A3&amp;" - Heating Zone 1 (Electric FAF Heating System)"</f>
        <v>Multi Family Weatherization - Insulate Floors - R-0 to R-19 - Heating Zone 1 (Electric FAF Heating System)</v>
      </c>
      <c r="D123" s="117">
        <f>VLOOKUP(C123,SEEMsavings!$A$5:$L$556,11,FALSE)+VLOOKUP(C123,SEEMsavings!$A$5:$L$556,12,FALSE)</f>
        <v>0.54992417293141704</v>
      </c>
      <c r="E123" s="113">
        <v>45</v>
      </c>
      <c r="F123" s="115">
        <f t="shared" si="3"/>
        <v>1.1190178820234826</v>
      </c>
      <c r="G123" s="113">
        <v>0</v>
      </c>
      <c r="H123" s="112" t="s">
        <v>1198</v>
      </c>
      <c r="I123" s="115"/>
      <c r="J123" s="27"/>
      <c r="K123" s="27"/>
      <c r="L123" s="27"/>
      <c r="M123" s="27"/>
      <c r="N123" s="27"/>
      <c r="O123" s="27"/>
      <c r="P123" s="27"/>
      <c r="Q123" s="27"/>
    </row>
    <row r="124" spans="1:17" ht="25.5">
      <c r="A124" t="str">
        <f t="shared" si="2"/>
        <v>Multi Family Weatherization - Insulate Floors - R-0 to R-30 - Heating Zone 1 (Electric FAF Heating System)Multi Family Weatherization - Insulate Floors - R-0 to R-30 - Heating Zone 1 (Electric FAF Heating System)</v>
      </c>
      <c r="B124" s="116" t="str">
        <f>Costs!$A4&amp;" - Heating Zone 1 (Electric FAF Heating System)"</f>
        <v>Multi Family Weatherization - Insulate Floors - R-0 to R-30 - Heating Zone 1 (Electric FAF Heating System)</v>
      </c>
      <c r="C124" s="116" t="str">
        <f>Costs!$A4&amp;" - Heating Zone 1 (Electric FAF Heating System)"</f>
        <v>Multi Family Weatherization - Insulate Floors - R-0 to R-30 - Heating Zone 1 (Electric FAF Heating System)</v>
      </c>
      <c r="D124" s="117">
        <f>VLOOKUP(C124,SEEMsavings!$A$5:$L$556,11,FALSE)+VLOOKUP(C124,SEEMsavings!$A$5:$L$556,12,FALSE)</f>
        <v>0.71506655842459887</v>
      </c>
      <c r="E124" s="113">
        <v>45</v>
      </c>
      <c r="F124" s="115">
        <f t="shared" si="3"/>
        <v>1.766870340037078</v>
      </c>
      <c r="G124" s="113">
        <v>0</v>
      </c>
      <c r="H124" s="112" t="s">
        <v>1198</v>
      </c>
      <c r="I124" s="115"/>
      <c r="J124" s="27"/>
      <c r="K124" s="27"/>
      <c r="L124" s="27"/>
      <c r="M124" s="27"/>
      <c r="N124" s="27"/>
      <c r="O124" s="27"/>
      <c r="P124" s="27"/>
      <c r="Q124" s="27"/>
    </row>
    <row r="125" spans="1:17" ht="25.5">
      <c r="A125" t="str">
        <f t="shared" si="2"/>
        <v>Multi Family Weatherization - Insulate Floors - R-19 to R-30 - Heating Zone 1 (Electric FAF Heating System)Multi Family Weatherization - Insulate Floors - R-19 to R-30 - Heating Zone 1 (Electric FAF Heating System)</v>
      </c>
      <c r="B125" s="116" t="str">
        <f>Costs!$A5&amp;" - Heating Zone 1 (Electric FAF Heating System)"</f>
        <v>Multi Family Weatherization - Insulate Floors - R-19 to R-30 - Heating Zone 1 (Electric FAF Heating System)</v>
      </c>
      <c r="C125" s="116" t="str">
        <f>Costs!$A5&amp;" - Heating Zone 1 (Electric FAF Heating System)"</f>
        <v>Multi Family Weatherization - Insulate Floors - R-19 to R-30 - Heating Zone 1 (Electric FAF Heating System)</v>
      </c>
      <c r="D125" s="117">
        <f>VLOOKUP(C125,SEEMsavings!$A$5:$L$556,11,FALSE)+VLOOKUP(C125,SEEMsavings!$A$5:$L$556,12,FALSE)</f>
        <v>0.16514238549318172</v>
      </c>
      <c r="E125" s="113">
        <v>45</v>
      </c>
      <c r="F125" s="115">
        <f t="shared" si="3"/>
        <v>0.64785245801359526</v>
      </c>
      <c r="G125" s="113">
        <v>0</v>
      </c>
      <c r="H125" s="112" t="s">
        <v>1198</v>
      </c>
      <c r="I125" s="115"/>
      <c r="J125" s="27"/>
      <c r="K125" s="27"/>
      <c r="L125" s="27"/>
      <c r="M125" s="27"/>
      <c r="N125" s="27"/>
      <c r="O125" s="27"/>
      <c r="P125" s="27"/>
      <c r="Q125" s="27"/>
    </row>
    <row r="126" spans="1:17" ht="25.5">
      <c r="A126" t="str">
        <f t="shared" si="2"/>
        <v>Multi Family Weatherization - Insulate Attic - R-0 to R-19 - Heating Zone 1 (Electric FAF Heating System)Multi Family Weatherization - Insulate Attic - R-0 to R-19 - Heating Zone 1 (Electric FAF Heating System)</v>
      </c>
      <c r="B126" s="116" t="str">
        <f>Costs!$A6&amp;" - Heating Zone 1 (Electric FAF Heating System)"</f>
        <v>Multi Family Weatherization - Insulate Attic - R-0 to R-19 - Heating Zone 1 (Electric FAF Heating System)</v>
      </c>
      <c r="C126" s="116" t="str">
        <f>Costs!$A6&amp;" - Heating Zone 1 (Electric FAF Heating System)"</f>
        <v>Multi Family Weatherization - Insulate Attic - R-0 to R-19 - Heating Zone 1 (Electric FAF Heating System)</v>
      </c>
      <c r="D126" s="117">
        <f>VLOOKUP(C126,SEEMsavings!$A$5:$L$556,11,FALSE)+VLOOKUP(C126,SEEMsavings!$A$5:$L$556,12,FALSE)</f>
        <v>0.46621429878568194</v>
      </c>
      <c r="E126" s="113">
        <v>45</v>
      </c>
      <c r="F126" s="115">
        <f t="shared" si="3"/>
        <v>0.58749066649983317</v>
      </c>
      <c r="G126" s="113">
        <v>0</v>
      </c>
      <c r="H126" s="112" t="s">
        <v>1198</v>
      </c>
      <c r="I126" s="115"/>
      <c r="J126" s="27"/>
      <c r="K126" s="27"/>
      <c r="L126" s="27"/>
      <c r="M126" s="27"/>
      <c r="N126" s="27"/>
      <c r="O126" s="27"/>
      <c r="P126" s="27"/>
      <c r="Q126" s="27"/>
    </row>
    <row r="127" spans="1:17" ht="25.5">
      <c r="A127" t="str">
        <f t="shared" si="2"/>
        <v>Multi Family Weatherization - Insulate Attic - R-0 to R-38 - Heating Zone 1 (Electric FAF Heating System)Multi Family Weatherization - Insulate Attic - R-0 to R-38 - Heating Zone 1 (Electric FAF Heating System)</v>
      </c>
      <c r="B127" s="116" t="str">
        <f>Costs!$A7&amp;" - Heating Zone 1 (Electric FAF Heating System)"</f>
        <v>Multi Family Weatherization - Insulate Attic - R-0 to R-38 - Heating Zone 1 (Electric FAF Heating System)</v>
      </c>
      <c r="C127" s="116" t="str">
        <f>Costs!$A7&amp;" - Heating Zone 1 (Electric FAF Heating System)"</f>
        <v>Multi Family Weatherization - Insulate Attic - R-0 to R-38 - Heating Zone 1 (Electric FAF Heating System)</v>
      </c>
      <c r="D127" s="117">
        <f>VLOOKUP(C127,SEEMsavings!$A$5:$L$556,11,FALSE)+VLOOKUP(C127,SEEMsavings!$A$5:$L$556,12,FALSE)</f>
        <v>0.63424727150579585</v>
      </c>
      <c r="E127" s="113">
        <v>45</v>
      </c>
      <c r="F127" s="115">
        <f t="shared" si="3"/>
        <v>1.1749813329996663</v>
      </c>
      <c r="G127" s="113">
        <v>0</v>
      </c>
      <c r="H127" s="112" t="s">
        <v>1198</v>
      </c>
      <c r="I127" s="115"/>
      <c r="J127" s="27"/>
      <c r="K127" s="27"/>
      <c r="L127" s="27"/>
      <c r="M127" s="27"/>
      <c r="N127" s="27"/>
      <c r="O127" s="27"/>
      <c r="P127" s="27"/>
      <c r="Q127" s="27"/>
    </row>
    <row r="128" spans="1:17" ht="25.5">
      <c r="A128" t="str">
        <f t="shared" si="2"/>
        <v>Multi Family Weatherization - Insulate Attic - R-0 to R-49 - Heating Zone 1 (Electric FAF Heating System)Multi Family Weatherization - Insulate Attic - R-0 to R-49 - Heating Zone 1 (Electric FAF Heating System)</v>
      </c>
      <c r="B128" s="116" t="str">
        <f>Costs!$A8&amp;" - Heating Zone 1 (Electric FAF Heating System)"</f>
        <v>Multi Family Weatherization - Insulate Attic - R-0 to R-49 - Heating Zone 1 (Electric FAF Heating System)</v>
      </c>
      <c r="C128" s="116" t="str">
        <f>Costs!$A8&amp;" - Heating Zone 1 (Electric FAF Heating System)"</f>
        <v>Multi Family Weatherization - Insulate Attic - R-0 to R-49 - Heating Zone 1 (Electric FAF Heating System)</v>
      </c>
      <c r="D128" s="117">
        <f>VLOOKUP(C128,SEEMsavings!$A$5:$L$556,11,FALSE)+VLOOKUP(C128,SEEMsavings!$A$5:$L$556,12,FALSE)</f>
        <v>0.67311479770670479</v>
      </c>
      <c r="E128" s="113">
        <v>45</v>
      </c>
      <c r="F128" s="115">
        <f t="shared" si="3"/>
        <v>1.515107508341675</v>
      </c>
      <c r="G128" s="113">
        <v>0</v>
      </c>
      <c r="H128" s="112" t="s">
        <v>1198</v>
      </c>
      <c r="I128" s="115"/>
      <c r="J128" s="27"/>
      <c r="K128" s="27"/>
      <c r="L128" s="27"/>
      <c r="M128" s="27"/>
      <c r="N128" s="27"/>
      <c r="O128" s="27"/>
      <c r="P128" s="27"/>
      <c r="Q128" s="27"/>
    </row>
    <row r="129" spans="1:17" ht="25.5">
      <c r="A129" t="str">
        <f t="shared" si="2"/>
        <v>Multi Family Weatherization - Insulate Attic - R-30 to R-38 - Heating Zone 1 (Electric FAF Heating System)Multi Family Weatherization - Insulate Attic - R-30 to R-38 - Heating Zone 1 (Electric FAF Heating System)</v>
      </c>
      <c r="B129" s="116" t="str">
        <f>Costs!$A9&amp;" - Heating Zone 1 (Electric FAF Heating System)"</f>
        <v>Multi Family Weatherization - Insulate Attic - R-30 to R-38 - Heating Zone 1 (Electric FAF Heating System)</v>
      </c>
      <c r="C129" s="116" t="str">
        <f>Costs!$A9&amp;" - Heating Zone 1 (Electric FAF Heating System)"</f>
        <v>Multi Family Weatherization - Insulate Attic - R-30 to R-38 - Heating Zone 1 (Electric FAF Heating System)</v>
      </c>
      <c r="D129" s="117">
        <f>VLOOKUP(C129,SEEMsavings!$A$5:$L$556,11,FALSE)+VLOOKUP(C129,SEEMsavings!$A$5:$L$556,12,FALSE)</f>
        <v>4.6205455862954554E-2</v>
      </c>
      <c r="E129" s="113">
        <v>45</v>
      </c>
      <c r="F129" s="115">
        <f t="shared" si="3"/>
        <v>0.2473644911578245</v>
      </c>
      <c r="G129" s="113">
        <v>0</v>
      </c>
      <c r="H129" s="112" t="s">
        <v>1198</v>
      </c>
      <c r="I129" s="115"/>
      <c r="J129" s="27"/>
      <c r="K129" s="27"/>
      <c r="L129" s="27"/>
      <c r="M129" s="27"/>
      <c r="N129" s="27"/>
      <c r="O129" s="27"/>
      <c r="P129" s="27"/>
      <c r="Q129" s="27"/>
    </row>
    <row r="130" spans="1:17" ht="25.5">
      <c r="A130" t="str">
        <f t="shared" si="2"/>
        <v>Multi Family Weatherization - Insulate Attic - R-30 to R-49 - Heating Zone 1 (Electric FAF Heating System)Multi Family Weatherization - Insulate Attic - R-30 to R-49 - Heating Zone 1 (Electric FAF Heating System)</v>
      </c>
      <c r="B130" s="116" t="str">
        <f>Costs!$A10&amp;" - Heating Zone 1 (Electric FAF Heating System)"</f>
        <v>Multi Family Weatherization - Insulate Attic - R-30 to R-49 - Heating Zone 1 (Electric FAF Heating System)</v>
      </c>
      <c r="C130" s="116" t="str">
        <f>Costs!$A10&amp;" - Heating Zone 1 (Electric FAF Heating System)"</f>
        <v>Multi Family Weatherization - Insulate Attic - R-30 to R-49 - Heating Zone 1 (Electric FAF Heating System)</v>
      </c>
      <c r="D130" s="117">
        <f>VLOOKUP(C130,SEEMsavings!$A$5:$L$556,11,FALSE)+VLOOKUP(C130,SEEMsavings!$A$5:$L$556,12,FALSE)</f>
        <v>8.5072982063863586E-2</v>
      </c>
      <c r="E130" s="113">
        <v>45</v>
      </c>
      <c r="F130" s="115">
        <f t="shared" si="3"/>
        <v>0.58749066649983317</v>
      </c>
      <c r="G130" s="113">
        <v>0</v>
      </c>
      <c r="H130" s="112" t="s">
        <v>1198</v>
      </c>
      <c r="I130" s="115"/>
      <c r="J130" s="27"/>
      <c r="K130" s="27"/>
      <c r="L130" s="27"/>
      <c r="M130" s="27"/>
      <c r="N130" s="27"/>
      <c r="O130" s="27"/>
      <c r="P130" s="27"/>
      <c r="Q130" s="27"/>
    </row>
    <row r="131" spans="1:17" ht="25.5">
      <c r="A131" t="str">
        <f t="shared" si="2"/>
        <v>Multi Family Weatherization - Insulate Attic - R-38 to R-49 - Heating Zone 1 (Electric FAF Heating System)Multi Family Weatherization - Insulate Attic - R-38 to R-49 - Heating Zone 1 (Electric FAF Heating System)</v>
      </c>
      <c r="B131" s="116" t="str">
        <f>Costs!$A11&amp;" - Heating Zone 1 (Electric FAF Heating System)"</f>
        <v>Multi Family Weatherization - Insulate Attic - R-38 to R-49 - Heating Zone 1 (Electric FAF Heating System)</v>
      </c>
      <c r="C131" s="116" t="str">
        <f>Costs!$A11&amp;" - Heating Zone 1 (Electric FAF Heating System)"</f>
        <v>Multi Family Weatherization - Insulate Attic - R-38 to R-49 - Heating Zone 1 (Electric FAF Heating System)</v>
      </c>
      <c r="D131" s="117">
        <f>VLOOKUP(C131,SEEMsavings!$A$5:$L$556,11,FALSE)+VLOOKUP(C131,SEEMsavings!$A$5:$L$556,12,FALSE)</f>
        <v>3.8867526200909039E-2</v>
      </c>
      <c r="E131" s="113">
        <v>45</v>
      </c>
      <c r="F131" s="115">
        <f t="shared" si="3"/>
        <v>0.34012617534200867</v>
      </c>
      <c r="G131" s="113">
        <v>0</v>
      </c>
      <c r="H131" s="112" t="s">
        <v>1198</v>
      </c>
      <c r="I131" s="115"/>
      <c r="J131" s="27"/>
      <c r="K131" s="27"/>
      <c r="L131" s="27"/>
      <c r="M131" s="27"/>
      <c r="N131" s="27"/>
      <c r="O131" s="27"/>
      <c r="P131" s="27"/>
      <c r="Q131" s="27"/>
    </row>
    <row r="132" spans="1:17" ht="25.5">
      <c r="A132" t="str">
        <f t="shared" si="2"/>
        <v>Multi Family Weatherization - Insulate Attic - R-19 to R-30 - Heating Zone 1 (Electric FAF Heating System)Multi Family Weatherization - Insulate Attic - R-19 to R-30 - Heating Zone 1 (Electric FAF Heating System)</v>
      </c>
      <c r="B132" s="116" t="str">
        <f>Costs!$A12&amp;" - Heating Zone 1 (Electric FAF Heating System)"</f>
        <v>Multi Family Weatherization - Insulate Attic - R-19 to R-30 - Heating Zone 1 (Electric FAF Heating System)</v>
      </c>
      <c r="C132" s="116" t="str">
        <f>Costs!$A12&amp;" - Heating Zone 1 (Electric FAF Heating System)"</f>
        <v>Multi Family Weatherization - Insulate Attic - R-19 to R-30 - Heating Zone 1 (Electric FAF Heating System)</v>
      </c>
      <c r="D132" s="117">
        <f>VLOOKUP(C132,SEEMsavings!$A$5:$L$556,11,FALSE)+VLOOKUP(C132,SEEMsavings!$A$5:$L$556,12,FALSE)</f>
        <v>0.12182751685715926</v>
      </c>
      <c r="E132" s="113">
        <v>45</v>
      </c>
      <c r="F132" s="115">
        <f t="shared" si="3"/>
        <v>0.34012617534200867</v>
      </c>
      <c r="G132" s="113">
        <v>0</v>
      </c>
      <c r="H132" s="112" t="s">
        <v>1198</v>
      </c>
      <c r="I132" s="115"/>
      <c r="J132" s="27"/>
      <c r="K132" s="27"/>
      <c r="L132" s="27"/>
      <c r="M132" s="27"/>
      <c r="N132" s="27"/>
      <c r="O132" s="27"/>
      <c r="P132" s="27"/>
      <c r="Q132" s="27"/>
    </row>
    <row r="133" spans="1:17" ht="25.5">
      <c r="A133" t="str">
        <f t="shared" si="2"/>
        <v>Multi Family Weatherization - Insulate Attic - R-19 to R-38 - Heating Zone 1 (Electric FAF Heating System)Multi Family Weatherization - Insulate Attic - R-19 to R-38 - Heating Zone 1 (Electric FAF Heating System)</v>
      </c>
      <c r="B133" s="116" t="str">
        <f>Costs!$A13&amp;" - Heating Zone 1 (Electric FAF Heating System)"</f>
        <v>Multi Family Weatherization - Insulate Attic - R-19 to R-38 - Heating Zone 1 (Electric FAF Heating System)</v>
      </c>
      <c r="C133" s="116" t="str">
        <f>Costs!$A13&amp;" - Heating Zone 1 (Electric FAF Heating System)"</f>
        <v>Multi Family Weatherization - Insulate Attic - R-19 to R-38 - Heating Zone 1 (Electric FAF Heating System)</v>
      </c>
      <c r="D133" s="117">
        <f>VLOOKUP(C133,SEEMsavings!$A$5:$L$556,11,FALSE)+VLOOKUP(C133,SEEMsavings!$A$5:$L$556,12,FALSE)</f>
        <v>0.1680329727201138</v>
      </c>
      <c r="E133" s="113">
        <v>45</v>
      </c>
      <c r="F133" s="115">
        <f t="shared" si="3"/>
        <v>0.58749066649983317</v>
      </c>
      <c r="G133" s="113">
        <v>0</v>
      </c>
      <c r="H133" s="112" t="s">
        <v>1198</v>
      </c>
      <c r="I133" s="115"/>
      <c r="J133" s="27"/>
      <c r="K133" s="27"/>
      <c r="L133" s="27"/>
      <c r="M133" s="27"/>
      <c r="N133" s="27"/>
      <c r="O133" s="27"/>
      <c r="P133" s="27"/>
      <c r="Q133" s="27"/>
    </row>
    <row r="134" spans="1:17" ht="25.5">
      <c r="A134" t="str">
        <f t="shared" si="2"/>
        <v>Multi Family Weatherization - Insulate Attic - R-19 to R-49 - Heating Zone 1 (Electric FAF Heating System)Multi Family Weatherization - Insulate Attic - R-19 to R-49 - Heating Zone 1 (Electric FAF Heating System)</v>
      </c>
      <c r="B134" s="116" t="str">
        <f>Costs!$A14&amp;" - Heating Zone 1 (Electric FAF Heating System)"</f>
        <v>Multi Family Weatherization - Insulate Attic - R-19 to R-49 - Heating Zone 1 (Electric FAF Heating System)</v>
      </c>
      <c r="C134" s="116" t="str">
        <f>Costs!$A14&amp;" - Heating Zone 1 (Electric FAF Heating System)"</f>
        <v>Multi Family Weatherization - Insulate Attic - R-19 to R-49 - Heating Zone 1 (Electric FAF Heating System)</v>
      </c>
      <c r="D134" s="117">
        <f>VLOOKUP(C134,SEEMsavings!$A$5:$L$556,11,FALSE)+VLOOKUP(C134,SEEMsavings!$A$5:$L$556,12,FALSE)</f>
        <v>0.20690049892102283</v>
      </c>
      <c r="E134" s="113">
        <v>45</v>
      </c>
      <c r="F134" s="115">
        <f t="shared" si="3"/>
        <v>0.9276168418418419</v>
      </c>
      <c r="G134" s="113">
        <v>0</v>
      </c>
      <c r="H134" s="112" t="s">
        <v>1198</v>
      </c>
      <c r="I134" s="115"/>
      <c r="J134" s="27"/>
      <c r="K134" s="27"/>
      <c r="L134" s="27"/>
      <c r="M134" s="27"/>
      <c r="N134" s="27"/>
      <c r="O134" s="27"/>
      <c r="P134" s="27"/>
      <c r="Q134" s="27"/>
    </row>
    <row r="135" spans="1:17">
      <c r="A135" t="str">
        <f t="shared" si="2"/>
        <v>Windows - Single Pane to Class 22 - Heating Zone 1 (Electric FAF Heating System)Windows - Single Pane to Class 22 - Heating Zone 1 (Electric FAF Heating System)</v>
      </c>
      <c r="B135" s="116" t="str">
        <f>Costs!$A15&amp;" - Heating Zone 1 (Electric FAF Heating System)"</f>
        <v>Windows - Single Pane to Class 22 - Heating Zone 1 (Electric FAF Heating System)</v>
      </c>
      <c r="C135" s="116" t="str">
        <f>Costs!$A15&amp;" - Heating Zone 1 (Electric FAF Heating System)"</f>
        <v>Windows - Single Pane to Class 22 - Heating Zone 1 (Electric FAF Heating System)</v>
      </c>
      <c r="D135" s="117">
        <f>VLOOKUP(C135,SEEMsavings!$A$5:$L$556,11,FALSE)+VLOOKUP(C135,SEEMsavings!$A$5:$L$556,12,FALSE)</f>
        <v>23.366702249546424</v>
      </c>
      <c r="E135" s="113">
        <v>45</v>
      </c>
      <c r="F135" s="115">
        <f t="shared" si="3"/>
        <v>23.573200327964955</v>
      </c>
      <c r="G135" s="113">
        <v>0</v>
      </c>
      <c r="H135" s="112" t="s">
        <v>1198</v>
      </c>
      <c r="I135" s="115"/>
      <c r="J135" s="27"/>
      <c r="K135" s="27"/>
      <c r="L135" s="27"/>
      <c r="M135" s="27"/>
      <c r="N135" s="27"/>
      <c r="O135" s="27"/>
      <c r="P135" s="27"/>
      <c r="Q135" s="27"/>
    </row>
    <row r="136" spans="1:17">
      <c r="A136" t="str">
        <f t="shared" si="2"/>
        <v>Windows - Double Pane to Class 22 - Heating Zone 1 (Electric FAF Heating System)Windows - Double Pane to Class 22 - Heating Zone 1 (Electric FAF Heating System)</v>
      </c>
      <c r="B136" s="116" t="str">
        <f>Costs!$A16&amp;" - Heating Zone 1 (Electric FAF Heating System)"</f>
        <v>Windows - Double Pane to Class 22 - Heating Zone 1 (Electric FAF Heating System)</v>
      </c>
      <c r="C136" s="116" t="str">
        <f>Costs!$A16&amp;" - Heating Zone 1 (Electric FAF Heating System)"</f>
        <v>Windows - Double Pane to Class 22 - Heating Zone 1 (Electric FAF Heating System)</v>
      </c>
      <c r="D136" s="117">
        <f>VLOOKUP(C136,SEEMsavings!$A$5:$L$556,11,FALSE)+VLOOKUP(C136,SEEMsavings!$A$5:$L$556,12,FALSE)</f>
        <v>13.672746268447941</v>
      </c>
      <c r="E136" s="113">
        <v>45</v>
      </c>
      <c r="F136" s="115">
        <f t="shared" si="3"/>
        <v>23.573200327964955</v>
      </c>
      <c r="G136" s="113">
        <v>0</v>
      </c>
      <c r="H136" s="112" t="s">
        <v>1198</v>
      </c>
      <c r="I136" s="115"/>
      <c r="J136" s="27"/>
      <c r="K136" s="27"/>
      <c r="L136" s="27"/>
      <c r="M136" s="27"/>
      <c r="N136" s="27"/>
      <c r="O136" s="27"/>
      <c r="P136" s="27"/>
      <c r="Q136" s="27"/>
    </row>
    <row r="137" spans="1:17">
      <c r="A137" t="str">
        <f t="shared" ref="A137:A200" si="4">CONCATENATE(B137,C137)</f>
        <v>Windows - Single Pane to Class 30 - Heating Zone 1 (Electric FAF Heating System)Windows - Single Pane to Class 30 - Heating Zone 1 (Electric FAF Heating System)</v>
      </c>
      <c r="B137" s="116" t="str">
        <f>Costs!$A17&amp;" - Heating Zone 1 (Electric FAF Heating System)"</f>
        <v>Windows - Single Pane to Class 30 - Heating Zone 1 (Electric FAF Heating System)</v>
      </c>
      <c r="C137" s="116" t="str">
        <f>Costs!$A17&amp;" - Heating Zone 1 (Electric FAF Heating System)"</f>
        <v>Windows - Single Pane to Class 30 - Heating Zone 1 (Electric FAF Heating System)</v>
      </c>
      <c r="D137" s="117">
        <f>VLOOKUP(C137,SEEMsavings!$A$5:$L$556,11,FALSE)+VLOOKUP(C137,SEEMsavings!$A$5:$L$556,12,FALSE)</f>
        <v>21.515051429693667</v>
      </c>
      <c r="E137" s="113">
        <v>45</v>
      </c>
      <c r="F137" s="115">
        <f t="shared" si="3"/>
        <v>22.213200327964955</v>
      </c>
      <c r="G137" s="113">
        <v>0</v>
      </c>
      <c r="H137" s="112" t="s">
        <v>1198</v>
      </c>
      <c r="I137" s="115"/>
      <c r="J137" s="27"/>
      <c r="K137" s="27"/>
      <c r="L137" s="27"/>
      <c r="M137" s="27"/>
      <c r="N137" s="27"/>
      <c r="O137" s="27"/>
      <c r="P137" s="27"/>
      <c r="Q137" s="27"/>
    </row>
    <row r="138" spans="1:17">
      <c r="A138" t="str">
        <f t="shared" si="4"/>
        <v>Windows - Double Pane to Class 30 - Heating Zone 1 (Electric FAF Heating System)Windows - Double Pane to Class 30 - Heating Zone 1 (Electric FAF Heating System)</v>
      </c>
      <c r="B138" s="116" t="str">
        <f>Costs!$A18&amp;" - Heating Zone 1 (Electric FAF Heating System)"</f>
        <v>Windows - Double Pane to Class 30 - Heating Zone 1 (Electric FAF Heating System)</v>
      </c>
      <c r="C138" s="116" t="str">
        <f>Costs!$A18&amp;" - Heating Zone 1 (Electric FAF Heating System)"</f>
        <v>Windows - Double Pane to Class 30 - Heating Zone 1 (Electric FAF Heating System)</v>
      </c>
      <c r="D138" s="117">
        <f>VLOOKUP(C138,SEEMsavings!$A$5:$L$556,11,FALSE)+VLOOKUP(C138,SEEMsavings!$A$5:$L$556,12,FALSE)</f>
        <v>11.821095448595184</v>
      </c>
      <c r="E138" s="113">
        <v>45</v>
      </c>
      <c r="F138" s="115">
        <f t="shared" si="3"/>
        <v>22.213200327964955</v>
      </c>
      <c r="G138" s="113">
        <v>0</v>
      </c>
      <c r="H138" s="112" t="s">
        <v>1198</v>
      </c>
      <c r="I138" s="115"/>
      <c r="J138" s="27"/>
      <c r="K138" s="27"/>
      <c r="L138" s="27"/>
      <c r="M138" s="27"/>
      <c r="N138" s="27"/>
      <c r="O138" s="27"/>
      <c r="P138" s="27"/>
      <c r="Q138" s="27"/>
    </row>
    <row r="139" spans="1:17">
      <c r="A139" t="str">
        <f t="shared" si="4"/>
        <v>Windows - Class 35 to Class 30 - Heating Zone 1 (Electric FAF Heating System)Windows - Class 35 to Class 30 - Heating Zone 1 (Electric FAF Heating System)</v>
      </c>
      <c r="B139" s="116" t="str">
        <f>Costs!$A19&amp;" - Heating Zone 1 (Electric FAF Heating System)"</f>
        <v>Windows - Class 35 to Class 30 - Heating Zone 1 (Electric FAF Heating System)</v>
      </c>
      <c r="C139" s="116" t="str">
        <f>Costs!$A19&amp;" - Heating Zone 1 (Electric FAF Heating System)"</f>
        <v>Windows - Class 35 to Class 30 - Heating Zone 1 (Electric FAF Heating System)</v>
      </c>
      <c r="D139" s="117">
        <f>VLOOKUP(C139,SEEMsavings!$A$5:$L$556,11,FALSE)+VLOOKUP(C139,SEEMsavings!$A$5:$L$556,12,FALSE)</f>
        <v>1.2756866750417644</v>
      </c>
      <c r="E139" s="113">
        <v>45</v>
      </c>
      <c r="F139" s="115">
        <f t="shared" si="3"/>
        <v>0.9632509724857734</v>
      </c>
      <c r="G139" s="113">
        <v>0</v>
      </c>
      <c r="H139" s="112" t="s">
        <v>1198</v>
      </c>
      <c r="I139" s="115"/>
      <c r="J139" s="27"/>
      <c r="K139" s="27"/>
      <c r="L139" s="27"/>
      <c r="M139" s="27"/>
      <c r="N139" s="27"/>
      <c r="O139" s="27"/>
      <c r="P139" s="27"/>
      <c r="Q139" s="27"/>
    </row>
    <row r="140" spans="1:17">
      <c r="A140" t="str">
        <f t="shared" si="4"/>
        <v>Windows - Class 35 to Class 22 - Heating Zone 1 (Electric FAF Heating System)Windows - Class 35 to Class 22 - Heating Zone 1 (Electric FAF Heating System)</v>
      </c>
      <c r="B140" s="116" t="str">
        <f>Costs!$A20&amp;" - Heating Zone 1 (Electric FAF Heating System)"</f>
        <v>Windows - Class 35 to Class 22 - Heating Zone 1 (Electric FAF Heating System)</v>
      </c>
      <c r="C140" s="116" t="str">
        <f>Costs!$A20&amp;" - Heating Zone 1 (Electric FAF Heating System)"</f>
        <v>Windows - Class 35 to Class 22 - Heating Zone 1 (Electric FAF Heating System)</v>
      </c>
      <c r="D140" s="117">
        <f>VLOOKUP(C140,SEEMsavings!$A$5:$L$556,11,FALSE)+VLOOKUP(C140,SEEMsavings!$A$5:$L$556,12,FALSE)</f>
        <v>3.1273374948945216</v>
      </c>
      <c r="E140" s="113">
        <v>45</v>
      </c>
      <c r="F140" s="115">
        <f t="shared" si="3"/>
        <v>2.3232509724857735</v>
      </c>
      <c r="G140" s="113">
        <v>0</v>
      </c>
      <c r="H140" s="112" t="s">
        <v>1198</v>
      </c>
      <c r="I140" s="115"/>
      <c r="J140" s="27"/>
      <c r="K140" s="27"/>
      <c r="L140" s="27"/>
      <c r="M140" s="27"/>
      <c r="N140" s="27"/>
      <c r="O140" s="27"/>
      <c r="P140" s="27"/>
      <c r="Q140" s="27"/>
    </row>
    <row r="141" spans="1:17" ht="25.5">
      <c r="A141" t="str">
        <f t="shared" si="4"/>
        <v>Multi Family Weatherization - Insulate Walls - R-0 to R-11 - Heating Zone 2 (Electric FAF Heating System)Multi Family Weatherization - Insulate Walls - R-0 to R-11 - Heating Zone 2 (Electric FAF Heating System)</v>
      </c>
      <c r="B141" s="116" t="str">
        <f>Costs!$A2&amp;" - Heating Zone 2 (Electric FAF Heating System)"</f>
        <v>Multi Family Weatherization - Insulate Walls - R-0 to R-11 - Heating Zone 2 (Electric FAF Heating System)</v>
      </c>
      <c r="C141" s="116" t="str">
        <f>Costs!$A2&amp;" - Heating Zone 2 (Electric FAF Heating System)"</f>
        <v>Multi Family Weatherization - Insulate Walls - R-0 to R-11 - Heating Zone 2 (Electric FAF Heating System)</v>
      </c>
      <c r="D141" s="117">
        <f>VLOOKUP(C141,SEEMsavings!$A$5:$L$556,11,FALSE)+VLOOKUP(C141,SEEMsavings!$A$5:$L$556,12,FALSE)</f>
        <v>1.7844209808021618</v>
      </c>
      <c r="E141" s="113">
        <v>45</v>
      </c>
      <c r="F141" s="115">
        <f t="shared" si="3"/>
        <v>0.85033582942530117</v>
      </c>
      <c r="G141" s="113">
        <v>0</v>
      </c>
      <c r="H141" s="112" t="s">
        <v>1198</v>
      </c>
      <c r="I141" s="115"/>
      <c r="J141" s="27"/>
      <c r="K141" s="27"/>
      <c r="L141" s="27"/>
      <c r="M141" s="27"/>
      <c r="N141" s="27"/>
      <c r="O141" s="27"/>
      <c r="P141" s="27"/>
      <c r="Q141" s="27"/>
    </row>
    <row r="142" spans="1:17" ht="25.5">
      <c r="A142" t="str">
        <f t="shared" si="4"/>
        <v>Multi Family Weatherization - Insulate Floors - R-0 to R-19 - Heating Zone 2 (Electric FAF Heating System)Multi Family Weatherization - Insulate Floors - R-0 to R-19 - Heating Zone 2 (Electric FAF Heating System)</v>
      </c>
      <c r="B142" s="116" t="str">
        <f>Costs!$A3&amp;" - Heating Zone 2 (Electric FAF Heating System)"</f>
        <v>Multi Family Weatherization - Insulate Floors - R-0 to R-19 - Heating Zone 2 (Electric FAF Heating System)</v>
      </c>
      <c r="C142" s="116" t="str">
        <f>Costs!$A3&amp;" - Heating Zone 2 (Electric FAF Heating System)"</f>
        <v>Multi Family Weatherization - Insulate Floors - R-0 to R-19 - Heating Zone 2 (Electric FAF Heating System)</v>
      </c>
      <c r="D142" s="117">
        <f>VLOOKUP(C142,SEEMsavings!$A$5:$L$556,11,FALSE)+VLOOKUP(C142,SEEMsavings!$A$5:$L$556,12,FALSE)</f>
        <v>0.69790597720695102</v>
      </c>
      <c r="E142" s="113">
        <v>45</v>
      </c>
      <c r="F142" s="115">
        <f t="shared" si="3"/>
        <v>1.1190178820234826</v>
      </c>
      <c r="G142" s="113">
        <v>0</v>
      </c>
      <c r="H142" s="112" t="s">
        <v>1198</v>
      </c>
      <c r="I142" s="115"/>
      <c r="J142" s="27"/>
      <c r="K142" s="27"/>
      <c r="L142" s="27"/>
      <c r="M142" s="27"/>
      <c r="N142" s="27"/>
      <c r="O142" s="27"/>
      <c r="P142" s="27"/>
      <c r="Q142" s="27"/>
    </row>
    <row r="143" spans="1:17" ht="25.5">
      <c r="A143" t="str">
        <f t="shared" si="4"/>
        <v>Multi Family Weatherization - Insulate Floors - R-0 to R-30 - Heating Zone 2 (Electric FAF Heating System)Multi Family Weatherization - Insulate Floors - R-0 to R-30 - Heating Zone 2 (Electric FAF Heating System)</v>
      </c>
      <c r="B143" s="116" t="str">
        <f>Costs!$A4&amp;" - Heating Zone 2 (Electric FAF Heating System)"</f>
        <v>Multi Family Weatherization - Insulate Floors - R-0 to R-30 - Heating Zone 2 (Electric FAF Heating System)</v>
      </c>
      <c r="C143" s="116" t="str">
        <f>Costs!$A4&amp;" - Heating Zone 2 (Electric FAF Heating System)"</f>
        <v>Multi Family Weatherization - Insulate Floors - R-0 to R-30 - Heating Zone 2 (Electric FAF Heating System)</v>
      </c>
      <c r="D143" s="117">
        <f>VLOOKUP(C143,SEEMsavings!$A$5:$L$556,11,FALSE)+VLOOKUP(C143,SEEMsavings!$A$5:$L$556,12,FALSE)</f>
        <v>0.91045361186590912</v>
      </c>
      <c r="E143" s="113">
        <v>45</v>
      </c>
      <c r="F143" s="115">
        <f t="shared" si="3"/>
        <v>1.766870340037078</v>
      </c>
      <c r="G143" s="113">
        <v>0</v>
      </c>
      <c r="H143" s="112" t="s">
        <v>1198</v>
      </c>
      <c r="I143" s="115"/>
      <c r="J143" s="27"/>
      <c r="K143" s="27"/>
      <c r="L143" s="27"/>
      <c r="M143" s="27"/>
      <c r="N143" s="27"/>
      <c r="O143" s="27"/>
      <c r="P143" s="27"/>
      <c r="Q143" s="27"/>
    </row>
    <row r="144" spans="1:17" ht="25.5">
      <c r="A144" t="str">
        <f t="shared" si="4"/>
        <v>Multi Family Weatherization - Insulate Floors - R-19 to R-30 - Heating Zone 2 (Electric FAF Heating System)Multi Family Weatherization - Insulate Floors - R-19 to R-30 - Heating Zone 2 (Electric FAF Heating System)</v>
      </c>
      <c r="B144" s="116" t="str">
        <f>Costs!$A5&amp;" - Heating Zone 2 (Electric FAF Heating System)"</f>
        <v>Multi Family Weatherization - Insulate Floors - R-19 to R-30 - Heating Zone 2 (Electric FAF Heating System)</v>
      </c>
      <c r="C144" s="116" t="str">
        <f>Costs!$A5&amp;" - Heating Zone 2 (Electric FAF Heating System)"</f>
        <v>Multi Family Weatherization - Insulate Floors - R-19 to R-30 - Heating Zone 2 (Electric FAF Heating System)</v>
      </c>
      <c r="D144" s="117">
        <f>VLOOKUP(C144,SEEMsavings!$A$5:$L$556,11,FALSE)+VLOOKUP(C144,SEEMsavings!$A$5:$L$556,12,FALSE)</f>
        <v>0.21254763465895801</v>
      </c>
      <c r="E144" s="113">
        <v>45</v>
      </c>
      <c r="F144" s="115">
        <f t="shared" si="3"/>
        <v>0.64785245801359526</v>
      </c>
      <c r="G144" s="113">
        <v>0</v>
      </c>
      <c r="H144" s="112" t="s">
        <v>1198</v>
      </c>
      <c r="I144" s="115"/>
      <c r="J144" s="27"/>
      <c r="K144" s="27"/>
      <c r="L144" s="27"/>
      <c r="M144" s="27"/>
      <c r="N144" s="27"/>
      <c r="O144" s="27"/>
      <c r="P144" s="27"/>
      <c r="Q144" s="27"/>
    </row>
    <row r="145" spans="1:17" ht="25.5">
      <c r="A145" t="str">
        <f t="shared" si="4"/>
        <v>Multi Family Weatherization - Insulate Attic - R-0 to R-19 - Heating Zone 2 (Electric FAF Heating System)Multi Family Weatherization - Insulate Attic - R-0 to R-19 - Heating Zone 2 (Electric FAF Heating System)</v>
      </c>
      <c r="B145" s="116" t="str">
        <f>Costs!$A6&amp;" - Heating Zone 2 (Electric FAF Heating System)"</f>
        <v>Multi Family Weatherization - Insulate Attic - R-0 to R-19 - Heating Zone 2 (Electric FAF Heating System)</v>
      </c>
      <c r="C145" s="116" t="str">
        <f>Costs!$A6&amp;" - Heating Zone 2 (Electric FAF Heating System)"</f>
        <v>Multi Family Weatherization - Insulate Attic - R-0 to R-19 - Heating Zone 2 (Electric FAF Heating System)</v>
      </c>
      <c r="D145" s="117">
        <f>VLOOKUP(C145,SEEMsavings!$A$5:$L$556,11,FALSE)+VLOOKUP(C145,SEEMsavings!$A$5:$L$556,12,FALSE)</f>
        <v>0.47962025779193168</v>
      </c>
      <c r="E145" s="113">
        <v>45</v>
      </c>
      <c r="F145" s="115">
        <f t="shared" si="3"/>
        <v>0.58749066649983317</v>
      </c>
      <c r="G145" s="113">
        <v>0</v>
      </c>
      <c r="H145" s="112" t="s">
        <v>1198</v>
      </c>
      <c r="I145" s="115"/>
      <c r="J145" s="27"/>
      <c r="K145" s="27"/>
      <c r="L145" s="27"/>
      <c r="M145" s="27"/>
      <c r="N145" s="27"/>
      <c r="O145" s="27"/>
      <c r="P145" s="27"/>
      <c r="Q145" s="27"/>
    </row>
    <row r="146" spans="1:17" ht="25.5">
      <c r="A146" t="str">
        <f t="shared" si="4"/>
        <v>Multi Family Weatherization - Insulate Attic - R-0 to R-38 - Heating Zone 2 (Electric FAF Heating System)Multi Family Weatherization - Insulate Attic - R-0 to R-38 - Heating Zone 2 (Electric FAF Heating System)</v>
      </c>
      <c r="B146" s="116" t="str">
        <f>Costs!$A7&amp;" - Heating Zone 2 (Electric FAF Heating System)"</f>
        <v>Multi Family Weatherization - Insulate Attic - R-0 to R-38 - Heating Zone 2 (Electric FAF Heating System)</v>
      </c>
      <c r="C146" s="116" t="str">
        <f>Costs!$A7&amp;" - Heating Zone 2 (Electric FAF Heating System)"</f>
        <v>Multi Family Weatherization - Insulate Attic - R-0 to R-38 - Heating Zone 2 (Electric FAF Heating System)</v>
      </c>
      <c r="D146" s="117">
        <f>VLOOKUP(C146,SEEMsavings!$A$5:$L$556,11,FALSE)+VLOOKUP(C146,SEEMsavings!$A$5:$L$556,12,FALSE)</f>
        <v>0.65356088579181815</v>
      </c>
      <c r="E146" s="113">
        <v>45</v>
      </c>
      <c r="F146" s="115">
        <f t="shared" si="3"/>
        <v>1.1749813329996663</v>
      </c>
      <c r="G146" s="113">
        <v>0</v>
      </c>
      <c r="H146" s="112" t="s">
        <v>1198</v>
      </c>
      <c r="I146" s="115"/>
      <c r="J146" s="27"/>
      <c r="K146" s="27"/>
      <c r="L146" s="27"/>
      <c r="M146" s="27"/>
      <c r="N146" s="27"/>
      <c r="O146" s="27"/>
      <c r="P146" s="27"/>
      <c r="Q146" s="27"/>
    </row>
    <row r="147" spans="1:17" ht="25.5">
      <c r="A147" t="str">
        <f t="shared" si="4"/>
        <v>Multi Family Weatherization - Insulate Attic - R-0 to R-49 - Heating Zone 2 (Electric FAF Heating System)Multi Family Weatherization - Insulate Attic - R-0 to R-49 - Heating Zone 2 (Electric FAF Heating System)</v>
      </c>
      <c r="B147" s="116" t="str">
        <f>Costs!$A8&amp;" - Heating Zone 2 (Electric FAF Heating System)"</f>
        <v>Multi Family Weatherization - Insulate Attic - R-0 to R-49 - Heating Zone 2 (Electric FAF Heating System)</v>
      </c>
      <c r="C147" s="116" t="str">
        <f>Costs!$A8&amp;" - Heating Zone 2 (Electric FAF Heating System)"</f>
        <v>Multi Family Weatherization - Insulate Attic - R-0 to R-49 - Heating Zone 2 (Electric FAF Heating System)</v>
      </c>
      <c r="D147" s="117">
        <f>VLOOKUP(C147,SEEMsavings!$A$5:$L$556,11,FALSE)+VLOOKUP(C147,SEEMsavings!$A$5:$L$556,12,FALSE)</f>
        <v>0.69395328484238672</v>
      </c>
      <c r="E147" s="113">
        <v>45</v>
      </c>
      <c r="F147" s="115">
        <f t="shared" si="3"/>
        <v>1.515107508341675</v>
      </c>
      <c r="G147" s="113">
        <v>0</v>
      </c>
      <c r="H147" s="112" t="s">
        <v>1198</v>
      </c>
      <c r="I147" s="115"/>
      <c r="J147" s="27"/>
      <c r="K147" s="27"/>
      <c r="L147" s="27"/>
      <c r="M147" s="27"/>
      <c r="N147" s="27"/>
      <c r="O147" s="27"/>
      <c r="P147" s="27"/>
      <c r="Q147" s="27"/>
    </row>
    <row r="148" spans="1:17" ht="25.5">
      <c r="A148" t="str">
        <f t="shared" si="4"/>
        <v>Multi Family Weatherization - Insulate Attic - R-30 to R-38 - Heating Zone 2 (Electric FAF Heating System)Multi Family Weatherization - Insulate Attic - R-30 to R-38 - Heating Zone 2 (Electric FAF Heating System)</v>
      </c>
      <c r="B148" s="116" t="str">
        <f>Costs!$A9&amp;" - Heating Zone 2 (Electric FAF Heating System)"</f>
        <v>Multi Family Weatherization - Insulate Attic - R-30 to R-38 - Heating Zone 2 (Electric FAF Heating System)</v>
      </c>
      <c r="C148" s="116" t="str">
        <f>Costs!$A9&amp;" - Heating Zone 2 (Electric FAF Heating System)"</f>
        <v>Multi Family Weatherization - Insulate Attic - R-30 to R-38 - Heating Zone 2 (Electric FAF Heating System)</v>
      </c>
      <c r="D148" s="117">
        <f>VLOOKUP(C148,SEEMsavings!$A$5:$L$556,11,FALSE)+VLOOKUP(C148,SEEMsavings!$A$5:$L$556,12,FALSE)</f>
        <v>4.7929143657044954E-2</v>
      </c>
      <c r="E148" s="113">
        <v>45</v>
      </c>
      <c r="F148" s="115">
        <f t="shared" si="3"/>
        <v>0.2473644911578245</v>
      </c>
      <c r="G148" s="113">
        <v>0</v>
      </c>
      <c r="H148" s="112" t="s">
        <v>1198</v>
      </c>
      <c r="I148" s="115"/>
      <c r="J148" s="27"/>
      <c r="K148" s="27"/>
      <c r="L148" s="27"/>
      <c r="M148" s="27"/>
      <c r="N148" s="27"/>
      <c r="O148" s="27"/>
      <c r="P148" s="27"/>
      <c r="Q148" s="27"/>
    </row>
    <row r="149" spans="1:17" ht="25.5">
      <c r="A149" t="str">
        <f t="shared" si="4"/>
        <v>Multi Family Weatherization - Insulate Attic - R-30 to R-49 - Heating Zone 2 (Electric FAF Heating System)Multi Family Weatherization - Insulate Attic - R-30 to R-49 - Heating Zone 2 (Electric FAF Heating System)</v>
      </c>
      <c r="B149" s="116" t="str">
        <f>Costs!$A10&amp;" - Heating Zone 2 (Electric FAF Heating System)"</f>
        <v>Multi Family Weatherization - Insulate Attic - R-30 to R-49 - Heating Zone 2 (Electric FAF Heating System)</v>
      </c>
      <c r="C149" s="116" t="str">
        <f>Costs!$A10&amp;" - Heating Zone 2 (Electric FAF Heating System)"</f>
        <v>Multi Family Weatherization - Insulate Attic - R-30 to R-49 - Heating Zone 2 (Electric FAF Heating System)</v>
      </c>
      <c r="D149" s="117">
        <f>VLOOKUP(C149,SEEMsavings!$A$5:$L$556,11,FALSE)+VLOOKUP(C149,SEEMsavings!$A$5:$L$556,12,FALSE)</f>
        <v>8.8321542707613526E-2</v>
      </c>
      <c r="E149" s="113">
        <v>45</v>
      </c>
      <c r="F149" s="115">
        <f t="shared" si="3"/>
        <v>0.58749066649983317</v>
      </c>
      <c r="G149" s="113">
        <v>0</v>
      </c>
      <c r="H149" s="112" t="s">
        <v>1198</v>
      </c>
      <c r="I149" s="115"/>
      <c r="J149" s="27"/>
      <c r="K149" s="27"/>
      <c r="L149" s="27"/>
      <c r="M149" s="27"/>
      <c r="N149" s="27"/>
      <c r="O149" s="27"/>
      <c r="P149" s="27"/>
      <c r="Q149" s="27"/>
    </row>
    <row r="150" spans="1:17" ht="25.5">
      <c r="A150" t="str">
        <f t="shared" si="4"/>
        <v>Multi Family Weatherization - Insulate Attic - R-38 to R-49 - Heating Zone 2 (Electric FAF Heating System)Multi Family Weatherization - Insulate Attic - R-38 to R-49 - Heating Zone 2 (Electric FAF Heating System)</v>
      </c>
      <c r="B150" s="116" t="str">
        <f>Costs!$A11&amp;" - Heating Zone 2 (Electric FAF Heating System)"</f>
        <v>Multi Family Weatherization - Insulate Attic - R-38 to R-49 - Heating Zone 2 (Electric FAF Heating System)</v>
      </c>
      <c r="C150" s="116" t="str">
        <f>Costs!$A11&amp;" - Heating Zone 2 (Electric FAF Heating System)"</f>
        <v>Multi Family Weatherization - Insulate Attic - R-38 to R-49 - Heating Zone 2 (Electric FAF Heating System)</v>
      </c>
      <c r="D150" s="117">
        <f>VLOOKUP(C150,SEEMsavings!$A$5:$L$556,11,FALSE)+VLOOKUP(C150,SEEMsavings!$A$5:$L$556,12,FALSE)</f>
        <v>4.0392399050568566E-2</v>
      </c>
      <c r="E150" s="113">
        <v>45</v>
      </c>
      <c r="F150" s="115">
        <f t="shared" si="3"/>
        <v>0.34012617534200867</v>
      </c>
      <c r="G150" s="113">
        <v>0</v>
      </c>
      <c r="H150" s="112" t="s">
        <v>1198</v>
      </c>
      <c r="I150" s="115"/>
      <c r="J150" s="27"/>
      <c r="K150" s="27"/>
      <c r="L150" s="27"/>
      <c r="M150" s="27"/>
      <c r="N150" s="27"/>
      <c r="O150" s="27"/>
      <c r="P150" s="27"/>
      <c r="Q150" s="27"/>
    </row>
    <row r="151" spans="1:17" ht="25.5">
      <c r="A151" t="str">
        <f t="shared" si="4"/>
        <v>Multi Family Weatherization - Insulate Attic - R-19 to R-30 - Heating Zone 2 (Electric FAF Heating System)Multi Family Weatherization - Insulate Attic - R-19 to R-30 - Heating Zone 2 (Electric FAF Heating System)</v>
      </c>
      <c r="B151" s="116" t="str">
        <f>Costs!$A12&amp;" - Heating Zone 2 (Electric FAF Heating System)"</f>
        <v>Multi Family Weatherization - Insulate Attic - R-19 to R-30 - Heating Zone 2 (Electric FAF Heating System)</v>
      </c>
      <c r="C151" s="116" t="str">
        <f>Costs!$A12&amp;" - Heating Zone 2 (Electric FAF Heating System)"</f>
        <v>Multi Family Weatherization - Insulate Attic - R-19 to R-30 - Heating Zone 2 (Electric FAF Heating System)</v>
      </c>
      <c r="D151" s="117">
        <f>VLOOKUP(C151,SEEMsavings!$A$5:$L$556,11,FALSE)+VLOOKUP(C151,SEEMsavings!$A$5:$L$556,12,FALSE)</f>
        <v>0.12601148434284148</v>
      </c>
      <c r="E151" s="113">
        <v>45</v>
      </c>
      <c r="F151" s="115">
        <f t="shared" si="3"/>
        <v>0.34012617534200867</v>
      </c>
      <c r="G151" s="113">
        <v>0</v>
      </c>
      <c r="H151" s="112" t="s">
        <v>1198</v>
      </c>
      <c r="I151" s="115"/>
      <c r="J151" s="27"/>
      <c r="K151" s="27"/>
      <c r="L151" s="27"/>
      <c r="M151" s="27"/>
      <c r="N151" s="27"/>
      <c r="O151" s="27"/>
      <c r="P151" s="27"/>
      <c r="Q151" s="27"/>
    </row>
    <row r="152" spans="1:17" ht="25.5">
      <c r="A152" t="str">
        <f t="shared" si="4"/>
        <v>Multi Family Weatherization - Insulate Attic - R-19 to R-38 - Heating Zone 2 (Electric FAF Heating System)Multi Family Weatherization - Insulate Attic - R-19 to R-38 - Heating Zone 2 (Electric FAF Heating System)</v>
      </c>
      <c r="B152" s="116" t="str">
        <f>Costs!$A13&amp;" - Heating Zone 2 (Electric FAF Heating System)"</f>
        <v>Multi Family Weatherization - Insulate Attic - R-19 to R-38 - Heating Zone 2 (Electric FAF Heating System)</v>
      </c>
      <c r="C152" s="116" t="str">
        <f>Costs!$A13&amp;" - Heating Zone 2 (Electric FAF Heating System)"</f>
        <v>Multi Family Weatherization - Insulate Attic - R-19 to R-38 - Heating Zone 2 (Electric FAF Heating System)</v>
      </c>
      <c r="D152" s="117">
        <f>VLOOKUP(C152,SEEMsavings!$A$5:$L$556,11,FALSE)+VLOOKUP(C152,SEEMsavings!$A$5:$L$556,12,FALSE)</f>
        <v>0.17394062799988647</v>
      </c>
      <c r="E152" s="113">
        <v>45</v>
      </c>
      <c r="F152" s="115">
        <f t="shared" si="3"/>
        <v>0.58749066649983317</v>
      </c>
      <c r="G152" s="113">
        <v>0</v>
      </c>
      <c r="H152" s="112" t="s">
        <v>1198</v>
      </c>
      <c r="I152" s="115"/>
      <c r="J152" s="27"/>
      <c r="K152" s="27"/>
      <c r="L152" s="27"/>
      <c r="M152" s="27"/>
      <c r="N152" s="27"/>
      <c r="O152" s="27"/>
      <c r="P152" s="27"/>
      <c r="Q152" s="27"/>
    </row>
    <row r="153" spans="1:17" ht="25.5">
      <c r="A153" t="str">
        <f t="shared" si="4"/>
        <v>Multi Family Weatherization - Insulate Attic - R-19 to R-49 - Heating Zone 2 (Electric FAF Heating System)Multi Family Weatherization - Insulate Attic - R-19 to R-49 - Heating Zone 2 (Electric FAF Heating System)</v>
      </c>
      <c r="B153" s="116" t="str">
        <f>Costs!$A14&amp;" - Heating Zone 2 (Electric FAF Heating System)"</f>
        <v>Multi Family Weatherization - Insulate Attic - R-19 to R-49 - Heating Zone 2 (Electric FAF Heating System)</v>
      </c>
      <c r="C153" s="116" t="str">
        <f>Costs!$A14&amp;" - Heating Zone 2 (Electric FAF Heating System)"</f>
        <v>Multi Family Weatherization - Insulate Attic - R-19 to R-49 - Heating Zone 2 (Electric FAF Heating System)</v>
      </c>
      <c r="D153" s="117">
        <f>VLOOKUP(C153,SEEMsavings!$A$5:$L$556,11,FALSE)+VLOOKUP(C153,SEEMsavings!$A$5:$L$556,12,FALSE)</f>
        <v>0.21433302705045501</v>
      </c>
      <c r="E153" s="113">
        <v>45</v>
      </c>
      <c r="F153" s="115">
        <f t="shared" si="3"/>
        <v>0.9276168418418419</v>
      </c>
      <c r="G153" s="113">
        <v>0</v>
      </c>
      <c r="H153" s="112" t="s">
        <v>1198</v>
      </c>
      <c r="I153" s="115"/>
      <c r="J153" s="27"/>
      <c r="K153" s="27"/>
      <c r="L153" s="27"/>
      <c r="M153" s="27"/>
      <c r="N153" s="27"/>
      <c r="O153" s="27"/>
      <c r="P153" s="27"/>
      <c r="Q153" s="27"/>
    </row>
    <row r="154" spans="1:17">
      <c r="A154" t="str">
        <f t="shared" si="4"/>
        <v>Windows - Single Pane to Class 22 - Heating Zone 2 (Electric FAF Heating System)Windows - Single Pane to Class 22 - Heating Zone 2 (Electric FAF Heating System)</v>
      </c>
      <c r="B154" s="116" t="str">
        <f>Costs!$A15&amp;" - Heating Zone 2 (Electric FAF Heating System)"</f>
        <v>Windows - Single Pane to Class 22 - Heating Zone 2 (Electric FAF Heating System)</v>
      </c>
      <c r="C154" s="116" t="str">
        <f>Costs!$A15&amp;" - Heating Zone 2 (Electric FAF Heating System)"</f>
        <v>Windows - Single Pane to Class 22 - Heating Zone 2 (Electric FAF Heating System)</v>
      </c>
      <c r="D154" s="117">
        <f>VLOOKUP(C154,SEEMsavings!$A$5:$L$556,11,FALSE)+VLOOKUP(C154,SEEMsavings!$A$5:$L$556,12,FALSE)</f>
        <v>32.30351481749824</v>
      </c>
      <c r="E154" s="113">
        <v>45</v>
      </c>
      <c r="F154" s="115">
        <f t="shared" si="3"/>
        <v>23.573200327964955</v>
      </c>
      <c r="G154" s="113">
        <v>0</v>
      </c>
      <c r="H154" s="112" t="s">
        <v>1198</v>
      </c>
      <c r="I154" s="115"/>
      <c r="J154" s="27"/>
      <c r="K154" s="27"/>
      <c r="L154" s="27"/>
      <c r="M154" s="27"/>
      <c r="N154" s="27"/>
      <c r="O154" s="27"/>
      <c r="P154" s="27"/>
      <c r="Q154" s="27"/>
    </row>
    <row r="155" spans="1:17">
      <c r="A155" t="str">
        <f t="shared" si="4"/>
        <v>Windows - Double Pane to Class 22 - Heating Zone 2 (Electric FAF Heating System)Windows - Double Pane to Class 22 - Heating Zone 2 (Electric FAF Heating System)</v>
      </c>
      <c r="B155" s="116" t="str">
        <f>Costs!$A16&amp;" - Heating Zone 2 (Electric FAF Heating System)"</f>
        <v>Windows - Double Pane to Class 22 - Heating Zone 2 (Electric FAF Heating System)</v>
      </c>
      <c r="C155" s="116" t="str">
        <f>Costs!$A16&amp;" - Heating Zone 2 (Electric FAF Heating System)"</f>
        <v>Windows - Double Pane to Class 22 - Heating Zone 2 (Electric FAF Heating System)</v>
      </c>
      <c r="D155" s="117">
        <f>VLOOKUP(C155,SEEMsavings!$A$5:$L$556,11,FALSE)+VLOOKUP(C155,SEEMsavings!$A$5:$L$556,12,FALSE)</f>
        <v>19.232443265234554</v>
      </c>
      <c r="E155" s="113">
        <v>45</v>
      </c>
      <c r="F155" s="115">
        <f t="shared" ref="F155:F218" si="5">F136</f>
        <v>23.573200327964955</v>
      </c>
      <c r="G155" s="113">
        <v>0</v>
      </c>
      <c r="H155" s="112" t="s">
        <v>1198</v>
      </c>
      <c r="I155" s="115"/>
      <c r="J155" s="27"/>
      <c r="K155" s="27"/>
      <c r="L155" s="27"/>
      <c r="M155" s="27"/>
      <c r="N155" s="27"/>
      <c r="O155" s="27"/>
      <c r="P155" s="27"/>
      <c r="Q155" s="27"/>
    </row>
    <row r="156" spans="1:17">
      <c r="A156" t="str">
        <f t="shared" si="4"/>
        <v>Windows - Single Pane to Class 30 - Heating Zone 2 (Electric FAF Heating System)Windows - Single Pane to Class 30 - Heating Zone 2 (Electric FAF Heating System)</v>
      </c>
      <c r="B156" s="116" t="str">
        <f>Costs!$A17&amp;" - Heating Zone 2 (Electric FAF Heating System)"</f>
        <v>Windows - Single Pane to Class 30 - Heating Zone 2 (Electric FAF Heating System)</v>
      </c>
      <c r="C156" s="116" t="str">
        <f>Costs!$A17&amp;" - Heating Zone 2 (Electric FAF Heating System)"</f>
        <v>Windows - Single Pane to Class 30 - Heating Zone 2 (Electric FAF Heating System)</v>
      </c>
      <c r="D156" s="117">
        <f>VLOOKUP(C156,SEEMsavings!$A$5:$L$556,11,FALSE)+VLOOKUP(C156,SEEMsavings!$A$5:$L$556,12,FALSE)</f>
        <v>29.658349144731158</v>
      </c>
      <c r="E156" s="113">
        <v>45</v>
      </c>
      <c r="F156" s="115">
        <f t="shared" si="5"/>
        <v>22.213200327964955</v>
      </c>
      <c r="G156" s="113">
        <v>0</v>
      </c>
      <c r="H156" s="112" t="s">
        <v>1198</v>
      </c>
      <c r="I156" s="115"/>
      <c r="J156" s="27"/>
      <c r="K156" s="27"/>
      <c r="L156" s="27"/>
      <c r="M156" s="27"/>
      <c r="N156" s="27"/>
      <c r="O156" s="27"/>
      <c r="P156" s="27"/>
      <c r="Q156" s="27"/>
    </row>
    <row r="157" spans="1:17">
      <c r="A157" t="str">
        <f t="shared" si="4"/>
        <v>Windows - Double Pane to Class 30 - Heating Zone 2 (Electric FAF Heating System)Windows - Double Pane to Class 30 - Heating Zone 2 (Electric FAF Heating System)</v>
      </c>
      <c r="B157" s="116" t="str">
        <f>Costs!$A18&amp;" - Heating Zone 2 (Electric FAF Heating System)"</f>
        <v>Windows - Double Pane to Class 30 - Heating Zone 2 (Electric FAF Heating System)</v>
      </c>
      <c r="C157" s="116" t="str">
        <f>Costs!$A18&amp;" - Heating Zone 2 (Electric FAF Heating System)"</f>
        <v>Windows - Double Pane to Class 30 - Heating Zone 2 (Electric FAF Heating System)</v>
      </c>
      <c r="D157" s="117">
        <f>VLOOKUP(C157,SEEMsavings!$A$5:$L$556,11,FALSE)+VLOOKUP(C157,SEEMsavings!$A$5:$L$556,12,FALSE)</f>
        <v>16.587277592467462</v>
      </c>
      <c r="E157" s="113">
        <v>45</v>
      </c>
      <c r="F157" s="115">
        <f t="shared" si="5"/>
        <v>22.213200327964955</v>
      </c>
      <c r="G157" s="113">
        <v>0</v>
      </c>
      <c r="H157" s="112" t="s">
        <v>1198</v>
      </c>
      <c r="I157" s="115"/>
      <c r="J157" s="27"/>
      <c r="K157" s="27"/>
      <c r="L157" s="27"/>
      <c r="M157" s="27"/>
      <c r="N157" s="27"/>
      <c r="O157" s="27"/>
      <c r="P157" s="27"/>
      <c r="Q157" s="27"/>
    </row>
    <row r="158" spans="1:17">
      <c r="A158" t="str">
        <f t="shared" si="4"/>
        <v>Windows - Class 35 to Class 30 - Heating Zone 2 (Electric FAF Heating System)Windows - Class 35 to Class 30 - Heating Zone 2 (Electric FAF Heating System)</v>
      </c>
      <c r="B158" s="116" t="str">
        <f>Costs!$A19&amp;" - Heating Zone 2 (Electric FAF Heating System)"</f>
        <v>Windows - Class 35 to Class 30 - Heating Zone 2 (Electric FAF Heating System)</v>
      </c>
      <c r="C158" s="116" t="str">
        <f>Costs!$A19&amp;" - Heating Zone 2 (Electric FAF Heating System)"</f>
        <v>Windows - Class 35 to Class 30 - Heating Zone 2 (Electric FAF Heating System)</v>
      </c>
      <c r="D158" s="117">
        <f>VLOOKUP(C158,SEEMsavings!$A$5:$L$556,11,FALSE)+VLOOKUP(C158,SEEMsavings!$A$5:$L$556,12,FALSE)</f>
        <v>1.8001394672522337</v>
      </c>
      <c r="E158" s="113">
        <v>45</v>
      </c>
      <c r="F158" s="115">
        <f t="shared" si="5"/>
        <v>0.9632509724857734</v>
      </c>
      <c r="G158" s="113">
        <v>0</v>
      </c>
      <c r="H158" s="112" t="s">
        <v>1198</v>
      </c>
      <c r="I158" s="115"/>
      <c r="J158" s="27"/>
      <c r="K158" s="27"/>
      <c r="L158" s="27"/>
      <c r="M158" s="27"/>
      <c r="N158" s="27"/>
      <c r="O158" s="27"/>
      <c r="P158" s="27"/>
      <c r="Q158" s="27"/>
    </row>
    <row r="159" spans="1:17">
      <c r="A159" t="str">
        <f t="shared" si="4"/>
        <v>Windows - Class 35 to Class 22 - Heating Zone 2 (Electric FAF Heating System)Windows - Class 35 to Class 22 - Heating Zone 2 (Electric FAF Heating System)</v>
      </c>
      <c r="B159" s="116" t="str">
        <f>Costs!$A20&amp;" - Heating Zone 2 (Electric FAF Heating System)"</f>
        <v>Windows - Class 35 to Class 22 - Heating Zone 2 (Electric FAF Heating System)</v>
      </c>
      <c r="C159" s="116" t="str">
        <f>Costs!$A20&amp;" - Heating Zone 2 (Electric FAF Heating System)"</f>
        <v>Windows - Class 35 to Class 22 - Heating Zone 2 (Electric FAF Heating System)</v>
      </c>
      <c r="D159" s="117">
        <f>VLOOKUP(C159,SEEMsavings!$A$5:$L$556,11,FALSE)+VLOOKUP(C159,SEEMsavings!$A$5:$L$556,12,FALSE)</f>
        <v>4.4453051400193271</v>
      </c>
      <c r="E159" s="113">
        <v>45</v>
      </c>
      <c r="F159" s="115">
        <f t="shared" si="5"/>
        <v>2.3232509724857735</v>
      </c>
      <c r="G159" s="113">
        <v>0</v>
      </c>
      <c r="H159" s="112" t="s">
        <v>1198</v>
      </c>
      <c r="I159" s="115"/>
      <c r="J159" s="27"/>
      <c r="K159" s="27"/>
      <c r="L159" s="27"/>
      <c r="M159" s="27"/>
      <c r="N159" s="27"/>
      <c r="O159" s="27"/>
      <c r="P159" s="27"/>
      <c r="Q159" s="27"/>
    </row>
    <row r="160" spans="1:17" ht="25.5">
      <c r="A160" t="str">
        <f t="shared" si="4"/>
        <v>Multi Family Weatherization - Insulate Walls - R-0 to R-11 - Heating Zone 3 (Electric FAF Heating System)Multi Family Weatherization - Insulate Walls - R-0 to R-11 - Heating Zone 3 (Electric FAF Heating System)</v>
      </c>
      <c r="B160" s="116" t="str">
        <f>Costs!$A2&amp;" - Heating Zone 3 (Electric FAF Heating System)"</f>
        <v>Multi Family Weatherization - Insulate Walls - R-0 to R-11 - Heating Zone 3 (Electric FAF Heating System)</v>
      </c>
      <c r="C160" s="116" t="str">
        <f>Costs!$A2&amp;" - Heating Zone 3 (Electric FAF Heating System)"</f>
        <v>Multi Family Weatherization - Insulate Walls - R-0 to R-11 - Heating Zone 3 (Electric FAF Heating System)</v>
      </c>
      <c r="D160" s="117">
        <f>VLOOKUP(C160,SEEMsavings!$A$5:$L$556,11,FALSE)+VLOOKUP(C160,SEEMsavings!$A$5:$L$556,12,FALSE)</f>
        <v>2.1631987251147935</v>
      </c>
      <c r="E160" s="113">
        <v>45</v>
      </c>
      <c r="F160" s="115">
        <f t="shared" si="5"/>
        <v>0.85033582942530117</v>
      </c>
      <c r="G160" s="113">
        <v>0</v>
      </c>
      <c r="H160" s="112" t="s">
        <v>1198</v>
      </c>
      <c r="I160" s="115"/>
      <c r="J160" s="27"/>
      <c r="K160" s="27"/>
      <c r="L160" s="27"/>
      <c r="M160" s="27"/>
      <c r="N160" s="27"/>
      <c r="O160" s="27"/>
      <c r="P160" s="27"/>
      <c r="Q160" s="27"/>
    </row>
    <row r="161" spans="1:17" ht="25.5">
      <c r="A161" t="str">
        <f t="shared" si="4"/>
        <v>Multi Family Weatherization - Insulate Floors - R-0 to R-19 - Heating Zone 3 (Electric FAF Heating System)Multi Family Weatherization - Insulate Floors - R-0 to R-19 - Heating Zone 3 (Electric FAF Heating System)</v>
      </c>
      <c r="B161" s="116" t="str">
        <f>Costs!$A3&amp;" - Heating Zone 3 (Electric FAF Heating System)"</f>
        <v>Multi Family Weatherization - Insulate Floors - R-0 to R-19 - Heating Zone 3 (Electric FAF Heating System)</v>
      </c>
      <c r="C161" s="116" t="str">
        <f>Costs!$A3&amp;" - Heating Zone 3 (Electric FAF Heating System)"</f>
        <v>Multi Family Weatherization - Insulate Floors - R-0 to R-19 - Heating Zone 3 (Electric FAF Heating System)</v>
      </c>
      <c r="D161" s="117">
        <f>VLOOKUP(C161,SEEMsavings!$A$5:$L$556,11,FALSE)+VLOOKUP(C161,SEEMsavings!$A$5:$L$556,12,FALSE)</f>
        <v>0.82437550182887731</v>
      </c>
      <c r="E161" s="113">
        <v>45</v>
      </c>
      <c r="F161" s="115">
        <f t="shared" si="5"/>
        <v>1.1190178820234826</v>
      </c>
      <c r="G161" s="113">
        <v>0</v>
      </c>
      <c r="H161" s="112" t="s">
        <v>1198</v>
      </c>
      <c r="I161" s="115"/>
      <c r="J161" s="27"/>
      <c r="K161" s="27"/>
      <c r="L161" s="27"/>
      <c r="M161" s="27"/>
      <c r="N161" s="27"/>
      <c r="O161" s="27"/>
      <c r="P161" s="27"/>
      <c r="Q161" s="27"/>
    </row>
    <row r="162" spans="1:17" ht="25.5">
      <c r="A162" t="str">
        <f t="shared" si="4"/>
        <v>Multi Family Weatherization - Insulate Floors - R-0 to R-30 - Heating Zone 3 (Electric FAF Heating System)Multi Family Weatherization - Insulate Floors - R-0 to R-30 - Heating Zone 3 (Electric FAF Heating System)</v>
      </c>
      <c r="B162" s="116" t="str">
        <f>Costs!$A4&amp;" - Heating Zone 3 (Electric FAF Heating System)"</f>
        <v>Multi Family Weatherization - Insulate Floors - R-0 to R-30 - Heating Zone 3 (Electric FAF Heating System)</v>
      </c>
      <c r="C162" s="116" t="str">
        <f>Costs!$A4&amp;" - Heating Zone 3 (Electric FAF Heating System)"</f>
        <v>Multi Family Weatherization - Insulate Floors - R-0 to R-30 - Heating Zone 3 (Electric FAF Heating System)</v>
      </c>
      <c r="D162" s="117">
        <f>VLOOKUP(C162,SEEMsavings!$A$5:$L$556,11,FALSE)+VLOOKUP(C162,SEEMsavings!$A$5:$L$556,12,FALSE)</f>
        <v>1.0765310108930493</v>
      </c>
      <c r="E162" s="113">
        <v>45</v>
      </c>
      <c r="F162" s="115">
        <f t="shared" si="5"/>
        <v>1.766870340037078</v>
      </c>
      <c r="G162" s="113">
        <v>0</v>
      </c>
      <c r="H162" s="112" t="s">
        <v>1198</v>
      </c>
      <c r="I162" s="115"/>
      <c r="J162" s="27"/>
      <c r="K162" s="27"/>
      <c r="L162" s="27"/>
      <c r="M162" s="27"/>
      <c r="N162" s="27"/>
      <c r="O162" s="27"/>
      <c r="P162" s="27"/>
      <c r="Q162" s="27"/>
    </row>
    <row r="163" spans="1:17" ht="25.5">
      <c r="A163" t="str">
        <f t="shared" si="4"/>
        <v>Multi Family Weatherization - Insulate Floors - R-19 to R-30 - Heating Zone 3 (Electric FAF Heating System)Multi Family Weatherization - Insulate Floors - R-19 to R-30 - Heating Zone 3 (Electric FAF Heating System)</v>
      </c>
      <c r="B163" s="116" t="str">
        <f>Costs!$A5&amp;" - Heating Zone 3 (Electric FAF Heating System)"</f>
        <v>Multi Family Weatherization - Insulate Floors - R-19 to R-30 - Heating Zone 3 (Electric FAF Heating System)</v>
      </c>
      <c r="C163" s="116" t="str">
        <f>Costs!$A5&amp;" - Heating Zone 3 (Electric FAF Heating System)"</f>
        <v>Multi Family Weatherization - Insulate Floors - R-19 to R-30 - Heating Zone 3 (Electric FAF Heating System)</v>
      </c>
      <c r="D163" s="117">
        <f>VLOOKUP(C163,SEEMsavings!$A$5:$L$556,11,FALSE)+VLOOKUP(C163,SEEMsavings!$A$5:$L$556,12,FALSE)</f>
        <v>0.25215550906417195</v>
      </c>
      <c r="E163" s="113">
        <v>45</v>
      </c>
      <c r="F163" s="115">
        <f t="shared" si="5"/>
        <v>0.64785245801359526</v>
      </c>
      <c r="G163" s="113">
        <v>0</v>
      </c>
      <c r="H163" s="112" t="s">
        <v>1198</v>
      </c>
      <c r="I163" s="115"/>
      <c r="J163" s="27"/>
      <c r="K163" s="27"/>
      <c r="L163" s="27"/>
      <c r="M163" s="27"/>
      <c r="N163" s="27"/>
      <c r="O163" s="27"/>
      <c r="P163" s="27"/>
      <c r="Q163" s="27"/>
    </row>
    <row r="164" spans="1:17" ht="25.5">
      <c r="A164" t="str">
        <f t="shared" si="4"/>
        <v>Multi Family Weatherization - Insulate Attic - R-0 to R-19 - Heating Zone 3 (Electric FAF Heating System)Multi Family Weatherization - Insulate Attic - R-0 to R-19 - Heating Zone 3 (Electric FAF Heating System)</v>
      </c>
      <c r="B164" s="116" t="str">
        <f>Costs!$A6&amp;" - Heating Zone 3 (Electric FAF Heating System)"</f>
        <v>Multi Family Weatherization - Insulate Attic - R-0 to R-19 - Heating Zone 3 (Electric FAF Heating System)</v>
      </c>
      <c r="C164" s="116" t="str">
        <f>Costs!$A6&amp;" - Heating Zone 3 (Electric FAF Heating System)"</f>
        <v>Multi Family Weatherization - Insulate Attic - R-0 to R-19 - Heating Zone 3 (Electric FAF Heating System)</v>
      </c>
      <c r="D164" s="117">
        <f>VLOOKUP(C164,SEEMsavings!$A$5:$L$556,11,FALSE)+VLOOKUP(C164,SEEMsavings!$A$5:$L$556,12,FALSE)</f>
        <v>0.43941515209318205</v>
      </c>
      <c r="E164" s="113">
        <v>45</v>
      </c>
      <c r="F164" s="115">
        <f t="shared" si="5"/>
        <v>0.58749066649983317</v>
      </c>
      <c r="G164" s="113">
        <v>0</v>
      </c>
      <c r="H164" s="112" t="s">
        <v>1198</v>
      </c>
      <c r="I164" s="115"/>
      <c r="J164" s="27"/>
      <c r="K164" s="27"/>
      <c r="L164" s="27"/>
      <c r="M164" s="27"/>
      <c r="N164" s="27"/>
      <c r="O164" s="27"/>
      <c r="P164" s="27"/>
      <c r="Q164" s="27"/>
    </row>
    <row r="165" spans="1:17" ht="25.5">
      <c r="A165" t="str">
        <f t="shared" si="4"/>
        <v>Multi Family Weatherization - Insulate Attic - R-0 to R-38 - Heating Zone 3 (Electric FAF Heating System)Multi Family Weatherization - Insulate Attic - R-0 to R-38 - Heating Zone 3 (Electric FAF Heating System)</v>
      </c>
      <c r="B165" s="116" t="str">
        <f>Costs!$A7&amp;" - Heating Zone 3 (Electric FAF Heating System)"</f>
        <v>Multi Family Weatherization - Insulate Attic - R-0 to R-38 - Heating Zone 3 (Electric FAF Heating System)</v>
      </c>
      <c r="C165" s="116" t="str">
        <f>Costs!$A7&amp;" - Heating Zone 3 (Electric FAF Heating System)"</f>
        <v>Multi Family Weatherization - Insulate Attic - R-0 to R-38 - Heating Zone 3 (Electric FAF Heating System)</v>
      </c>
      <c r="D165" s="117">
        <f>VLOOKUP(C165,SEEMsavings!$A$5:$L$556,11,FALSE)+VLOOKUP(C165,SEEMsavings!$A$5:$L$556,12,FALSE)</f>
        <v>0.59990572675681908</v>
      </c>
      <c r="E165" s="113">
        <v>45</v>
      </c>
      <c r="F165" s="115">
        <f t="shared" si="5"/>
        <v>1.1749813329996663</v>
      </c>
      <c r="G165" s="113">
        <v>0</v>
      </c>
      <c r="H165" s="112" t="s">
        <v>1198</v>
      </c>
      <c r="I165" s="115"/>
      <c r="J165" s="27"/>
      <c r="K165" s="27"/>
      <c r="L165" s="27"/>
      <c r="M165" s="27"/>
      <c r="N165" s="27"/>
      <c r="O165" s="27"/>
      <c r="P165" s="27"/>
      <c r="Q165" s="27"/>
    </row>
    <row r="166" spans="1:17" ht="25.5">
      <c r="A166" t="str">
        <f t="shared" si="4"/>
        <v>Multi Family Weatherization - Insulate Attic - R-0 to R-49 - Heating Zone 3 (Electric FAF Heating System)Multi Family Weatherization - Insulate Attic - R-0 to R-49 - Heating Zone 3 (Electric FAF Heating System)</v>
      </c>
      <c r="B166" s="116" t="str">
        <f>Costs!$A8&amp;" - Heating Zone 3 (Electric FAF Heating System)"</f>
        <v>Multi Family Weatherization - Insulate Attic - R-0 to R-49 - Heating Zone 3 (Electric FAF Heating System)</v>
      </c>
      <c r="C166" s="116" t="str">
        <f>Costs!$A8&amp;" - Heating Zone 3 (Electric FAF Heating System)"</f>
        <v>Multi Family Weatherization - Insulate Attic - R-0 to R-49 - Heating Zone 3 (Electric FAF Heating System)</v>
      </c>
      <c r="D166" s="117">
        <f>VLOOKUP(C166,SEEMsavings!$A$5:$L$556,11,FALSE)+VLOOKUP(C166,SEEMsavings!$A$5:$L$556,12,FALSE)</f>
        <v>0.63720868576363709</v>
      </c>
      <c r="E166" s="113">
        <v>45</v>
      </c>
      <c r="F166" s="115">
        <f t="shared" si="5"/>
        <v>1.515107508341675</v>
      </c>
      <c r="G166" s="113">
        <v>0</v>
      </c>
      <c r="H166" s="112" t="s">
        <v>1198</v>
      </c>
      <c r="I166" s="115"/>
      <c r="J166" s="27"/>
      <c r="K166" s="27"/>
      <c r="L166" s="27"/>
      <c r="M166" s="27"/>
      <c r="N166" s="27"/>
      <c r="O166" s="27"/>
      <c r="P166" s="27"/>
      <c r="Q166" s="27"/>
    </row>
    <row r="167" spans="1:17" ht="25.5">
      <c r="A167" t="str">
        <f t="shared" si="4"/>
        <v>Multi Family Weatherization - Insulate Attic - R-30 to R-38 - Heating Zone 3 (Electric FAF Heating System)Multi Family Weatherization - Insulate Attic - R-30 to R-38 - Heating Zone 3 (Electric FAF Heating System)</v>
      </c>
      <c r="B167" s="116" t="str">
        <f>Costs!$A9&amp;" - Heating Zone 3 (Electric FAF Heating System)"</f>
        <v>Multi Family Weatherization - Insulate Attic - R-30 to R-38 - Heating Zone 3 (Electric FAF Heating System)</v>
      </c>
      <c r="C167" s="116" t="str">
        <f>Costs!$A9&amp;" - Heating Zone 3 (Electric FAF Heating System)"</f>
        <v>Multi Family Weatherization - Insulate Attic - R-30 to R-38 - Heating Zone 3 (Electric FAF Heating System)</v>
      </c>
      <c r="D167" s="117">
        <f>VLOOKUP(C167,SEEMsavings!$A$5:$L$556,11,FALSE)+VLOOKUP(C167,SEEMsavings!$A$5:$L$556,12,FALSE)</f>
        <v>4.4247784520455233E-2</v>
      </c>
      <c r="E167" s="113">
        <v>45</v>
      </c>
      <c r="F167" s="115">
        <f t="shared" si="5"/>
        <v>0.2473644911578245</v>
      </c>
      <c r="G167" s="113">
        <v>0</v>
      </c>
      <c r="H167" s="112" t="s">
        <v>1198</v>
      </c>
      <c r="I167" s="115"/>
      <c r="J167" s="27"/>
      <c r="K167" s="27"/>
      <c r="L167" s="27"/>
      <c r="M167" s="27"/>
      <c r="N167" s="27"/>
      <c r="O167" s="27"/>
      <c r="P167" s="27"/>
      <c r="Q167" s="27"/>
    </row>
    <row r="168" spans="1:17" ht="25.5">
      <c r="A168" t="str">
        <f t="shared" si="4"/>
        <v>Multi Family Weatherization - Insulate Attic - R-30 to R-49 - Heating Zone 3 (Electric FAF Heating System)Multi Family Weatherization - Insulate Attic - R-30 to R-49 - Heating Zone 3 (Electric FAF Heating System)</v>
      </c>
      <c r="B168" s="116" t="str">
        <f>Costs!$A10&amp;" - Heating Zone 3 (Electric FAF Heating System)"</f>
        <v>Multi Family Weatherization - Insulate Attic - R-30 to R-49 - Heating Zone 3 (Electric FAF Heating System)</v>
      </c>
      <c r="C168" s="116" t="str">
        <f>Costs!$A10&amp;" - Heating Zone 3 (Electric FAF Heating System)"</f>
        <v>Multi Family Weatherization - Insulate Attic - R-30 to R-49 - Heating Zone 3 (Electric FAF Heating System)</v>
      </c>
      <c r="D168" s="117">
        <f>VLOOKUP(C168,SEEMsavings!$A$5:$L$556,11,FALSE)+VLOOKUP(C168,SEEMsavings!$A$5:$L$556,12,FALSE)</f>
        <v>8.1550743527273248E-2</v>
      </c>
      <c r="E168" s="113">
        <v>45</v>
      </c>
      <c r="F168" s="115">
        <f t="shared" si="5"/>
        <v>0.58749066649983317</v>
      </c>
      <c r="G168" s="113">
        <v>0</v>
      </c>
      <c r="H168" s="112" t="s">
        <v>1198</v>
      </c>
      <c r="I168" s="115"/>
      <c r="J168" s="27"/>
      <c r="K168" s="27"/>
      <c r="L168" s="27"/>
      <c r="M168" s="27"/>
      <c r="N168" s="27"/>
      <c r="O168" s="27"/>
      <c r="P168" s="27"/>
      <c r="Q168" s="27"/>
    </row>
    <row r="169" spans="1:17" ht="25.5">
      <c r="A169" t="str">
        <f t="shared" si="4"/>
        <v>Multi Family Weatherization - Insulate Attic - R-38 to R-49 - Heating Zone 3 (Electric FAF Heating System)Multi Family Weatherization - Insulate Attic - R-38 to R-49 - Heating Zone 3 (Electric FAF Heating System)</v>
      </c>
      <c r="B169" s="116" t="str">
        <f>Costs!$A11&amp;" - Heating Zone 3 (Electric FAF Heating System)"</f>
        <v>Multi Family Weatherization - Insulate Attic - R-38 to R-49 - Heating Zone 3 (Electric FAF Heating System)</v>
      </c>
      <c r="C169" s="116" t="str">
        <f>Costs!$A11&amp;" - Heating Zone 3 (Electric FAF Heating System)"</f>
        <v>Multi Family Weatherization - Insulate Attic - R-38 to R-49 - Heating Zone 3 (Electric FAF Heating System)</v>
      </c>
      <c r="D169" s="117">
        <f>VLOOKUP(C169,SEEMsavings!$A$5:$L$556,11,FALSE)+VLOOKUP(C169,SEEMsavings!$A$5:$L$556,12,FALSE)</f>
        <v>3.7302959006818015E-2</v>
      </c>
      <c r="E169" s="113">
        <v>45</v>
      </c>
      <c r="F169" s="115">
        <f t="shared" si="5"/>
        <v>0.34012617534200867</v>
      </c>
      <c r="G169" s="113">
        <v>0</v>
      </c>
      <c r="H169" s="112" t="s">
        <v>1198</v>
      </c>
      <c r="I169" s="115"/>
      <c r="J169" s="27"/>
      <c r="K169" s="27"/>
      <c r="L169" s="27"/>
      <c r="M169" s="27"/>
      <c r="N169" s="27"/>
      <c r="O169" s="27"/>
      <c r="P169" s="27"/>
      <c r="Q169" s="27"/>
    </row>
    <row r="170" spans="1:17" ht="25.5">
      <c r="A170" t="str">
        <f t="shared" si="4"/>
        <v>Multi Family Weatherization - Insulate Attic - R-19 to R-30 - Heating Zone 3 (Electric FAF Heating System)Multi Family Weatherization - Insulate Attic - R-19 to R-30 - Heating Zone 3 (Electric FAF Heating System)</v>
      </c>
      <c r="B170" s="116" t="str">
        <f>Costs!$A12&amp;" - Heating Zone 3 (Electric FAF Heating System)"</f>
        <v>Multi Family Weatherization - Insulate Attic - R-19 to R-30 - Heating Zone 3 (Electric FAF Heating System)</v>
      </c>
      <c r="C170" s="116" t="str">
        <f>Costs!$A12&amp;" - Heating Zone 3 (Electric FAF Heating System)"</f>
        <v>Multi Family Weatherization - Insulate Attic - R-19 to R-30 - Heating Zone 3 (Electric FAF Heating System)</v>
      </c>
      <c r="D170" s="117">
        <f>VLOOKUP(C170,SEEMsavings!$A$5:$L$556,11,FALSE)+VLOOKUP(C170,SEEMsavings!$A$5:$L$556,12,FALSE)</f>
        <v>0.11624279014318187</v>
      </c>
      <c r="E170" s="113">
        <v>45</v>
      </c>
      <c r="F170" s="115">
        <f t="shared" si="5"/>
        <v>0.34012617534200867</v>
      </c>
      <c r="G170" s="113">
        <v>0</v>
      </c>
      <c r="H170" s="112" t="s">
        <v>1198</v>
      </c>
      <c r="I170" s="115"/>
      <c r="J170" s="27"/>
      <c r="K170" s="27"/>
      <c r="L170" s="27"/>
      <c r="M170" s="27"/>
      <c r="N170" s="27"/>
      <c r="O170" s="27"/>
      <c r="P170" s="27"/>
      <c r="Q170" s="27"/>
    </row>
    <row r="171" spans="1:17" ht="25.5">
      <c r="A171" t="str">
        <f t="shared" si="4"/>
        <v>Multi Family Weatherization - Insulate Attic - R-19 to R-38 - Heating Zone 3 (Electric FAF Heating System)Multi Family Weatherization - Insulate Attic - R-19 to R-38 - Heating Zone 3 (Electric FAF Heating System)</v>
      </c>
      <c r="B171" s="116" t="str">
        <f>Costs!$A13&amp;" - Heating Zone 3 (Electric FAF Heating System)"</f>
        <v>Multi Family Weatherization - Insulate Attic - R-19 to R-38 - Heating Zone 3 (Electric FAF Heating System)</v>
      </c>
      <c r="C171" s="116" t="str">
        <f>Costs!$A13&amp;" - Heating Zone 3 (Electric FAF Heating System)"</f>
        <v>Multi Family Weatherization - Insulate Attic - R-19 to R-38 - Heating Zone 3 (Electric FAF Heating System)</v>
      </c>
      <c r="D171" s="117">
        <f>VLOOKUP(C171,SEEMsavings!$A$5:$L$556,11,FALSE)+VLOOKUP(C171,SEEMsavings!$A$5:$L$556,12,FALSE)</f>
        <v>0.16049057466363709</v>
      </c>
      <c r="E171" s="113">
        <v>45</v>
      </c>
      <c r="F171" s="115">
        <f t="shared" si="5"/>
        <v>0.58749066649983317</v>
      </c>
      <c r="G171" s="113">
        <v>0</v>
      </c>
      <c r="H171" s="112" t="s">
        <v>1198</v>
      </c>
      <c r="I171" s="115"/>
      <c r="J171" s="27"/>
      <c r="K171" s="27"/>
      <c r="L171" s="27"/>
      <c r="M171" s="27"/>
      <c r="N171" s="27"/>
      <c r="O171" s="27"/>
      <c r="P171" s="27"/>
      <c r="Q171" s="27"/>
    </row>
    <row r="172" spans="1:17" ht="25.5">
      <c r="A172" t="str">
        <f t="shared" si="4"/>
        <v>Multi Family Weatherization - Insulate Attic - R-19 to R-49 - Heating Zone 3 (Electric FAF Heating System)Multi Family Weatherization - Insulate Attic - R-19 to R-49 - Heating Zone 3 (Electric FAF Heating System)</v>
      </c>
      <c r="B172" s="116" t="str">
        <f>Costs!$A14&amp;" - Heating Zone 3 (Electric FAF Heating System)"</f>
        <v>Multi Family Weatherization - Insulate Attic - R-19 to R-49 - Heating Zone 3 (Electric FAF Heating System)</v>
      </c>
      <c r="C172" s="116" t="str">
        <f>Costs!$A14&amp;" - Heating Zone 3 (Electric FAF Heating System)"</f>
        <v>Multi Family Weatherization - Insulate Attic - R-19 to R-49 - Heating Zone 3 (Electric FAF Heating System)</v>
      </c>
      <c r="D172" s="117">
        <f>VLOOKUP(C172,SEEMsavings!$A$5:$L$556,11,FALSE)+VLOOKUP(C172,SEEMsavings!$A$5:$L$556,12,FALSE)</f>
        <v>0.1977935336704551</v>
      </c>
      <c r="E172" s="113">
        <v>45</v>
      </c>
      <c r="F172" s="115">
        <f t="shared" si="5"/>
        <v>0.9276168418418419</v>
      </c>
      <c r="G172" s="113">
        <v>0</v>
      </c>
      <c r="H172" s="112" t="s">
        <v>1198</v>
      </c>
      <c r="I172" s="115"/>
      <c r="J172" s="27"/>
      <c r="K172" s="27"/>
      <c r="L172" s="27"/>
      <c r="M172" s="27"/>
      <c r="N172" s="27"/>
      <c r="O172" s="27"/>
      <c r="P172" s="27"/>
      <c r="Q172" s="27"/>
    </row>
    <row r="173" spans="1:17">
      <c r="A173" t="str">
        <f t="shared" si="4"/>
        <v>Windows - Single Pane to Class 22 - Heating Zone 3 (Electric FAF Heating System)Windows - Single Pane to Class 22 - Heating Zone 3 (Electric FAF Heating System)</v>
      </c>
      <c r="B173" s="116" t="str">
        <f>Costs!$A15&amp;" - Heating Zone 3 (Electric FAF Heating System)"</f>
        <v>Windows - Single Pane to Class 22 - Heating Zone 3 (Electric FAF Heating System)</v>
      </c>
      <c r="C173" s="116" t="str">
        <f>Costs!$A15&amp;" - Heating Zone 3 (Electric FAF Heating System)"</f>
        <v>Windows - Single Pane to Class 22 - Heating Zone 3 (Electric FAF Heating System)</v>
      </c>
      <c r="D173" s="117">
        <f>VLOOKUP(C173,SEEMsavings!$A$5:$L$556,11,FALSE)+VLOOKUP(C173,SEEMsavings!$A$5:$L$556,12,FALSE)</f>
        <v>39.377109278117715</v>
      </c>
      <c r="E173" s="113">
        <v>45</v>
      </c>
      <c r="F173" s="115">
        <f t="shared" si="5"/>
        <v>23.573200327964955</v>
      </c>
      <c r="G173" s="113">
        <v>0</v>
      </c>
      <c r="H173" s="112" t="s">
        <v>1198</v>
      </c>
      <c r="I173" s="115"/>
      <c r="J173" s="27"/>
      <c r="K173" s="27"/>
      <c r="L173" s="27"/>
      <c r="M173" s="27"/>
      <c r="N173" s="27"/>
      <c r="O173" s="27"/>
      <c r="P173" s="27"/>
      <c r="Q173" s="27"/>
    </row>
    <row r="174" spans="1:17">
      <c r="A174" t="str">
        <f t="shared" si="4"/>
        <v>Windows - Double Pane to Class 22 - Heating Zone 3 (Electric FAF Heating System)Windows - Double Pane to Class 22 - Heating Zone 3 (Electric FAF Heating System)</v>
      </c>
      <c r="B174" s="116" t="str">
        <f>Costs!$A16&amp;" - Heating Zone 3 (Electric FAF Heating System)"</f>
        <v>Windows - Double Pane to Class 22 - Heating Zone 3 (Electric FAF Heating System)</v>
      </c>
      <c r="C174" s="116" t="str">
        <f>Costs!$A16&amp;" - Heating Zone 3 (Electric FAF Heating System)"</f>
        <v>Windows - Double Pane to Class 22 - Heating Zone 3 (Electric FAF Heating System)</v>
      </c>
      <c r="D174" s="117">
        <f>VLOOKUP(C174,SEEMsavings!$A$5:$L$556,11,FALSE)+VLOOKUP(C174,SEEMsavings!$A$5:$L$556,12,FALSE)</f>
        <v>23.769003469110334</v>
      </c>
      <c r="E174" s="113">
        <v>45</v>
      </c>
      <c r="F174" s="115">
        <f t="shared" si="5"/>
        <v>23.573200327964955</v>
      </c>
      <c r="G174" s="113">
        <v>0</v>
      </c>
      <c r="H174" s="112" t="s">
        <v>1198</v>
      </c>
      <c r="I174" s="115"/>
      <c r="J174" s="27"/>
      <c r="K174" s="27"/>
      <c r="L174" s="27"/>
      <c r="M174" s="27"/>
      <c r="N174" s="27"/>
      <c r="O174" s="27"/>
      <c r="P174" s="27"/>
      <c r="Q174" s="27"/>
    </row>
    <row r="175" spans="1:17">
      <c r="A175" t="str">
        <f t="shared" si="4"/>
        <v>Windows - Single Pane to Class 30 - Heating Zone 3 (Electric FAF Heating System)Windows - Single Pane to Class 30 - Heating Zone 3 (Electric FAF Heating System)</v>
      </c>
      <c r="B175" s="116" t="str">
        <f>Costs!$A17&amp;" - Heating Zone 3 (Electric FAF Heating System)"</f>
        <v>Windows - Single Pane to Class 30 - Heating Zone 3 (Electric FAF Heating System)</v>
      </c>
      <c r="C175" s="116" t="str">
        <f>Costs!$A17&amp;" - Heating Zone 3 (Electric FAF Heating System)"</f>
        <v>Windows - Single Pane to Class 30 - Heating Zone 3 (Electric FAF Heating System)</v>
      </c>
      <c r="D175" s="117">
        <f>VLOOKUP(C175,SEEMsavings!$A$5:$L$556,11,FALSE)+VLOOKUP(C175,SEEMsavings!$A$5:$L$556,12,FALSE)</f>
        <v>36.103945684943668</v>
      </c>
      <c r="E175" s="113">
        <v>45</v>
      </c>
      <c r="F175" s="115">
        <f t="shared" si="5"/>
        <v>22.213200327964955</v>
      </c>
      <c r="G175" s="113">
        <v>0</v>
      </c>
      <c r="H175" s="112" t="s">
        <v>1198</v>
      </c>
      <c r="I175" s="115"/>
      <c r="J175" s="27"/>
      <c r="K175" s="27"/>
      <c r="L175" s="27"/>
      <c r="M175" s="27"/>
      <c r="N175" s="27"/>
      <c r="O175" s="27"/>
      <c r="P175" s="27"/>
      <c r="Q175" s="27"/>
    </row>
    <row r="176" spans="1:17">
      <c r="A176" t="str">
        <f t="shared" si="4"/>
        <v>Windows - Double Pane to Class 30 - Heating Zone 3 (Electric FAF Heating System)Windows - Double Pane to Class 30 - Heating Zone 3 (Electric FAF Heating System)</v>
      </c>
      <c r="B176" s="116" t="str">
        <f>Costs!$A18&amp;" - Heating Zone 3 (Electric FAF Heating System)"</f>
        <v>Windows - Double Pane to Class 30 - Heating Zone 3 (Electric FAF Heating System)</v>
      </c>
      <c r="C176" s="116" t="str">
        <f>Costs!$A18&amp;" - Heating Zone 3 (Electric FAF Heating System)"</f>
        <v>Windows - Double Pane to Class 30 - Heating Zone 3 (Electric FAF Heating System)</v>
      </c>
      <c r="D176" s="117">
        <f>VLOOKUP(C176,SEEMsavings!$A$5:$L$556,11,FALSE)+VLOOKUP(C176,SEEMsavings!$A$5:$L$556,12,FALSE)</f>
        <v>20.495839875936287</v>
      </c>
      <c r="E176" s="113">
        <v>45</v>
      </c>
      <c r="F176" s="115">
        <f t="shared" si="5"/>
        <v>22.213200327964955</v>
      </c>
      <c r="G176" s="113">
        <v>0</v>
      </c>
      <c r="H176" s="112" t="s">
        <v>1198</v>
      </c>
      <c r="I176" s="115"/>
      <c r="J176" s="27"/>
      <c r="K176" s="27"/>
      <c r="L176" s="27"/>
      <c r="M176" s="27"/>
      <c r="N176" s="27"/>
      <c r="O176" s="27"/>
      <c r="P176" s="27"/>
      <c r="Q176" s="27"/>
    </row>
    <row r="177" spans="1:17">
      <c r="A177" t="str">
        <f t="shared" si="4"/>
        <v>Windows - Class 35 to Class 30 - Heating Zone 3 (Electric FAF Heating System)Windows - Class 35 to Class 30 - Heating Zone 3 (Electric FAF Heating System)</v>
      </c>
      <c r="B177" s="116" t="str">
        <f>Costs!$A19&amp;" - Heating Zone 3 (Electric FAF Heating System)"</f>
        <v>Windows - Class 35 to Class 30 - Heating Zone 3 (Electric FAF Heating System)</v>
      </c>
      <c r="C177" s="116" t="str">
        <f>Costs!$A19&amp;" - Heating Zone 3 (Electric FAF Heating System)"</f>
        <v>Windows - Class 35 to Class 30 - Heating Zone 3 (Electric FAF Heating System)</v>
      </c>
      <c r="D177" s="117">
        <f>VLOOKUP(C177,SEEMsavings!$A$5:$L$556,11,FALSE)+VLOOKUP(C177,SEEMsavings!$A$5:$L$556,12,FALSE)</f>
        <v>2.2045025039160864</v>
      </c>
      <c r="E177" s="113">
        <v>45</v>
      </c>
      <c r="F177" s="115">
        <f t="shared" si="5"/>
        <v>0.9632509724857734</v>
      </c>
      <c r="G177" s="113">
        <v>0</v>
      </c>
      <c r="H177" s="112" t="s">
        <v>1198</v>
      </c>
      <c r="I177" s="115"/>
      <c r="J177" s="27"/>
      <c r="K177" s="27"/>
      <c r="L177" s="27"/>
      <c r="M177" s="27"/>
      <c r="N177" s="27"/>
      <c r="O177" s="27"/>
      <c r="P177" s="27"/>
      <c r="Q177" s="27"/>
    </row>
    <row r="178" spans="1:17">
      <c r="A178" t="str">
        <f t="shared" si="4"/>
        <v>Windows - Class 35 to Class 22 - Heating Zone 3 (Electric FAF Heating System)Windows - Class 35 to Class 22 - Heating Zone 3 (Electric FAF Heating System)</v>
      </c>
      <c r="B178" s="116" t="str">
        <f>Costs!$A20&amp;" - Heating Zone 3 (Electric FAF Heating System)"</f>
        <v>Windows - Class 35 to Class 22 - Heating Zone 3 (Electric FAF Heating System)</v>
      </c>
      <c r="C178" s="116" t="str">
        <f>Costs!$A20&amp;" - Heating Zone 3 (Electric FAF Heating System)"</f>
        <v>Windows - Class 35 to Class 22 - Heating Zone 3 (Electric FAF Heating System)</v>
      </c>
      <c r="D178" s="117">
        <f>VLOOKUP(C178,SEEMsavings!$A$5:$L$556,11,FALSE)+VLOOKUP(C178,SEEMsavings!$A$5:$L$556,12,FALSE)</f>
        <v>5.4776660970901325</v>
      </c>
      <c r="E178" s="113">
        <v>45</v>
      </c>
      <c r="F178" s="115">
        <f t="shared" si="5"/>
        <v>2.3232509724857735</v>
      </c>
      <c r="G178" s="113">
        <v>0</v>
      </c>
      <c r="H178" s="112" t="s">
        <v>1198</v>
      </c>
      <c r="I178" s="115"/>
      <c r="J178" s="27"/>
      <c r="K178" s="27"/>
      <c r="L178" s="27"/>
      <c r="M178" s="27"/>
      <c r="N178" s="27"/>
      <c r="O178" s="27"/>
      <c r="P178" s="27"/>
      <c r="Q178" s="27"/>
    </row>
    <row r="179" spans="1:17" ht="25.5">
      <c r="A179" t="str">
        <f t="shared" si="4"/>
        <v>Multi Family Weatherization - Insulate Walls - R-0 to R-11 - Heating Zone 1 (Heat Pump Heating System)Multi Family Weatherization - Insulate Walls - R-0 to R-11 - Heating Zone 1 (Heat Pump Heating System)</v>
      </c>
      <c r="B179" s="116" t="str">
        <f>Costs!$A2&amp;" - Heating Zone 1 (Heat Pump Heating System)"</f>
        <v>Multi Family Weatherization - Insulate Walls - R-0 to R-11 - Heating Zone 1 (Heat Pump Heating System)</v>
      </c>
      <c r="C179" s="116" t="str">
        <f>Costs!$A2&amp;" - Heating Zone 1 (Heat Pump Heating System)"</f>
        <v>Multi Family Weatherization - Insulate Walls - R-0 to R-11 - Heating Zone 1 (Heat Pump Heating System)</v>
      </c>
      <c r="D179" s="117">
        <f>VLOOKUP(C179,SEEMsavings!$A$5:$L$556,11,FALSE)+VLOOKUP(C179,SEEMsavings!$A$5:$L$556,12,FALSE)</f>
        <v>0.56704099465606805</v>
      </c>
      <c r="E179" s="113">
        <v>45</v>
      </c>
      <c r="F179" s="115">
        <f t="shared" si="5"/>
        <v>0.85033582942530117</v>
      </c>
      <c r="G179" s="113">
        <v>0</v>
      </c>
      <c r="H179" s="112" t="s">
        <v>1198</v>
      </c>
      <c r="I179" s="115"/>
      <c r="J179" s="27"/>
      <c r="K179" s="27"/>
      <c r="L179" s="27"/>
      <c r="M179" s="27"/>
      <c r="N179" s="27"/>
      <c r="O179" s="27"/>
      <c r="P179" s="27"/>
      <c r="Q179" s="27"/>
    </row>
    <row r="180" spans="1:17" ht="25.5">
      <c r="A180" t="str">
        <f t="shared" si="4"/>
        <v>Multi Family Weatherization - Insulate Floors - R-0 to R-19 - Heating Zone 1 (Heat Pump Heating System)Multi Family Weatherization - Insulate Floors - R-0 to R-19 - Heating Zone 1 (Heat Pump Heating System)</v>
      </c>
      <c r="B180" s="116" t="str">
        <f>Costs!$A3&amp;" - Heating Zone 1 (Heat Pump Heating System)"</f>
        <v>Multi Family Weatherization - Insulate Floors - R-0 to R-19 - Heating Zone 1 (Heat Pump Heating System)</v>
      </c>
      <c r="C180" s="116" t="str">
        <f>Costs!$A3&amp;" - Heating Zone 1 (Heat Pump Heating System)"</f>
        <v>Multi Family Weatherization - Insulate Floors - R-0 to R-19 - Heating Zone 1 (Heat Pump Heating System)</v>
      </c>
      <c r="D180" s="117">
        <f>VLOOKUP(C180,SEEMsavings!$A$5:$L$556,11,FALSE)+VLOOKUP(C180,SEEMsavings!$A$5:$L$556,12,FALSE)</f>
        <v>0.14831121359689345</v>
      </c>
      <c r="E180" s="113">
        <v>45</v>
      </c>
      <c r="F180" s="115">
        <f t="shared" si="5"/>
        <v>1.1190178820234826</v>
      </c>
      <c r="G180" s="113">
        <v>0</v>
      </c>
      <c r="H180" s="112" t="s">
        <v>1198</v>
      </c>
      <c r="I180" s="115"/>
      <c r="J180" s="27"/>
      <c r="K180" s="27"/>
      <c r="L180" s="27"/>
      <c r="M180" s="27"/>
      <c r="N180" s="27"/>
      <c r="O180" s="27"/>
      <c r="P180" s="27"/>
      <c r="Q180" s="27"/>
    </row>
    <row r="181" spans="1:17" ht="25.5">
      <c r="A181" t="str">
        <f t="shared" si="4"/>
        <v>Multi Family Weatherization - Insulate Floors - R-0 to R-30 - Heating Zone 1 (Heat Pump Heating System)Multi Family Weatherization - Insulate Floors - R-0 to R-30 - Heating Zone 1 (Heat Pump Heating System)</v>
      </c>
      <c r="B181" s="116" t="str">
        <f>Costs!$A4&amp;" - Heating Zone 1 (Heat Pump Heating System)"</f>
        <v>Multi Family Weatherization - Insulate Floors - R-0 to R-30 - Heating Zone 1 (Heat Pump Heating System)</v>
      </c>
      <c r="C181" s="116" t="str">
        <f>Costs!$A4&amp;" - Heating Zone 1 (Heat Pump Heating System)"</f>
        <v>Multi Family Weatherization - Insulate Floors - R-0 to R-30 - Heating Zone 1 (Heat Pump Heating System)</v>
      </c>
      <c r="D181" s="117">
        <f>VLOOKUP(C181,SEEMsavings!$A$5:$L$556,11,FALSE)+VLOOKUP(C181,SEEMsavings!$A$5:$L$556,12,FALSE)</f>
        <v>0.19106876188479843</v>
      </c>
      <c r="E181" s="113">
        <v>45</v>
      </c>
      <c r="F181" s="115">
        <f t="shared" si="5"/>
        <v>1.766870340037078</v>
      </c>
      <c r="G181" s="113">
        <v>0</v>
      </c>
      <c r="H181" s="112" t="s">
        <v>1198</v>
      </c>
      <c r="I181" s="115"/>
      <c r="J181" s="27"/>
      <c r="K181" s="27"/>
      <c r="L181" s="27"/>
      <c r="M181" s="27"/>
      <c r="N181" s="27"/>
      <c r="O181" s="27"/>
      <c r="P181" s="27"/>
      <c r="Q181" s="27"/>
    </row>
    <row r="182" spans="1:17" ht="25.5">
      <c r="A182" t="str">
        <f t="shared" si="4"/>
        <v>Multi Family Weatherization - Insulate Floors - R-19 to R-30 - Heating Zone 1 (Heat Pump Heating System)Multi Family Weatherization - Insulate Floors - R-19 to R-30 - Heating Zone 1 (Heat Pump Heating System)</v>
      </c>
      <c r="B182" s="116" t="str">
        <f>Costs!$A5&amp;" - Heating Zone 1 (Heat Pump Heating System)"</f>
        <v>Multi Family Weatherization - Insulate Floors - R-19 to R-30 - Heating Zone 1 (Heat Pump Heating System)</v>
      </c>
      <c r="C182" s="116" t="str">
        <f>Costs!$A5&amp;" - Heating Zone 1 (Heat Pump Heating System)"</f>
        <v>Multi Family Weatherization - Insulate Floors - R-19 to R-30 - Heating Zone 1 (Heat Pump Heating System)</v>
      </c>
      <c r="D182" s="117">
        <f>VLOOKUP(C182,SEEMsavings!$A$5:$L$556,11,FALSE)+VLOOKUP(C182,SEEMsavings!$A$5:$L$556,12,FALSE)</f>
        <v>4.2757548287904956E-2</v>
      </c>
      <c r="E182" s="113">
        <v>45</v>
      </c>
      <c r="F182" s="115">
        <f t="shared" si="5"/>
        <v>0.64785245801359526</v>
      </c>
      <c r="G182" s="113">
        <v>0</v>
      </c>
      <c r="H182" s="112" t="s">
        <v>1198</v>
      </c>
      <c r="I182" s="115"/>
      <c r="J182" s="27"/>
      <c r="K182" s="27"/>
      <c r="L182" s="27"/>
      <c r="M182" s="27"/>
      <c r="N182" s="27"/>
      <c r="O182" s="27"/>
      <c r="P182" s="27"/>
      <c r="Q182" s="27"/>
    </row>
    <row r="183" spans="1:17" ht="25.5">
      <c r="A183" t="str">
        <f t="shared" si="4"/>
        <v>Multi Family Weatherization - Insulate Attic - R-0 to R-19 - Heating Zone 1 (Heat Pump Heating System)Multi Family Weatherization - Insulate Attic - R-0 to R-19 - Heating Zone 1 (Heat Pump Heating System)</v>
      </c>
      <c r="B183" s="116" t="str">
        <f>Costs!$A6&amp;" - Heating Zone 1 (Heat Pump Heating System)"</f>
        <v>Multi Family Weatherization - Insulate Attic - R-0 to R-19 - Heating Zone 1 (Heat Pump Heating System)</v>
      </c>
      <c r="C183" s="116" t="str">
        <f>Costs!$A6&amp;" - Heating Zone 1 (Heat Pump Heating System)"</f>
        <v>Multi Family Weatherization - Insulate Attic - R-0 to R-19 - Heating Zone 1 (Heat Pump Heating System)</v>
      </c>
      <c r="D183" s="117">
        <f>VLOOKUP(C183,SEEMsavings!$A$5:$L$556,11,FALSE)+VLOOKUP(C183,SEEMsavings!$A$5:$L$556,12,FALSE)</f>
        <v>0.2378419643350404</v>
      </c>
      <c r="E183" s="113">
        <v>45</v>
      </c>
      <c r="F183" s="115">
        <f t="shared" si="5"/>
        <v>0.58749066649983317</v>
      </c>
      <c r="G183" s="113">
        <v>0</v>
      </c>
      <c r="H183" s="112" t="s">
        <v>1198</v>
      </c>
      <c r="I183" s="115"/>
      <c r="J183" s="27"/>
      <c r="K183" s="27"/>
      <c r="L183" s="27"/>
      <c r="M183" s="27"/>
      <c r="N183" s="27"/>
      <c r="O183" s="27"/>
      <c r="P183" s="27"/>
      <c r="Q183" s="27"/>
    </row>
    <row r="184" spans="1:17" ht="25.5">
      <c r="A184" t="str">
        <f t="shared" si="4"/>
        <v>Multi Family Weatherization - Insulate Attic - R-0 to R-38 - Heating Zone 1 (Heat Pump Heating System)Multi Family Weatherization - Insulate Attic - R-0 to R-38 - Heating Zone 1 (Heat Pump Heating System)</v>
      </c>
      <c r="B184" s="116" t="str">
        <f>Costs!$A7&amp;" - Heating Zone 1 (Heat Pump Heating System)"</f>
        <v>Multi Family Weatherization - Insulate Attic - R-0 to R-38 - Heating Zone 1 (Heat Pump Heating System)</v>
      </c>
      <c r="C184" s="116" t="str">
        <f>Costs!$A7&amp;" - Heating Zone 1 (Heat Pump Heating System)"</f>
        <v>Multi Family Weatherization - Insulate Attic - R-0 to R-38 - Heating Zone 1 (Heat Pump Heating System)</v>
      </c>
      <c r="D184" s="117">
        <f>VLOOKUP(C184,SEEMsavings!$A$5:$L$556,11,FALSE)+VLOOKUP(C184,SEEMsavings!$A$5:$L$556,12,FALSE)</f>
        <v>0.32397243656769398</v>
      </c>
      <c r="E184" s="113">
        <v>45</v>
      </c>
      <c r="F184" s="115">
        <f t="shared" si="5"/>
        <v>1.1749813329996663</v>
      </c>
      <c r="G184" s="113">
        <v>0</v>
      </c>
      <c r="H184" s="112" t="s">
        <v>1198</v>
      </c>
      <c r="I184" s="115"/>
      <c r="J184" s="27"/>
      <c r="K184" s="27"/>
      <c r="L184" s="27"/>
      <c r="M184" s="27"/>
      <c r="N184" s="27"/>
      <c r="O184" s="27"/>
      <c r="P184" s="27"/>
      <c r="Q184" s="27"/>
    </row>
    <row r="185" spans="1:17" ht="25.5">
      <c r="A185" t="str">
        <f t="shared" si="4"/>
        <v>Multi Family Weatherization - Insulate Attic - R-0 to R-49 - Heating Zone 1 (Heat Pump Heating System)Multi Family Weatherization - Insulate Attic - R-0 to R-49 - Heating Zone 1 (Heat Pump Heating System)</v>
      </c>
      <c r="B185" s="116" t="str">
        <f>Costs!$A8&amp;" - Heating Zone 1 (Heat Pump Heating System)"</f>
        <v>Multi Family Weatherization - Insulate Attic - R-0 to R-49 - Heating Zone 1 (Heat Pump Heating System)</v>
      </c>
      <c r="C185" s="116" t="str">
        <f>Costs!$A8&amp;" - Heating Zone 1 (Heat Pump Heating System)"</f>
        <v>Multi Family Weatherization - Insulate Attic - R-0 to R-49 - Heating Zone 1 (Heat Pump Heating System)</v>
      </c>
      <c r="D185" s="117">
        <f>VLOOKUP(C185,SEEMsavings!$A$5:$L$556,11,FALSE)+VLOOKUP(C185,SEEMsavings!$A$5:$L$556,12,FALSE)</f>
        <v>0.34378132024225933</v>
      </c>
      <c r="E185" s="113">
        <v>45</v>
      </c>
      <c r="F185" s="115">
        <f t="shared" si="5"/>
        <v>1.515107508341675</v>
      </c>
      <c r="G185" s="113">
        <v>0</v>
      </c>
      <c r="H185" s="112" t="s">
        <v>1198</v>
      </c>
      <c r="I185" s="115"/>
      <c r="J185" s="27"/>
      <c r="K185" s="27"/>
      <c r="L185" s="27"/>
      <c r="M185" s="27"/>
      <c r="N185" s="27"/>
      <c r="O185" s="27"/>
      <c r="P185" s="27"/>
      <c r="Q185" s="27"/>
    </row>
    <row r="186" spans="1:17" ht="25.5">
      <c r="A186" t="str">
        <f t="shared" si="4"/>
        <v>Multi Family Weatherization - Insulate Attic - R-30 to R-38 - Heating Zone 1 (Heat Pump Heating System)Multi Family Weatherization - Insulate Attic - R-30 to R-38 - Heating Zone 1 (Heat Pump Heating System)</v>
      </c>
      <c r="B186" s="116" t="str">
        <f>Costs!$A9&amp;" - Heating Zone 1 (Heat Pump Heating System)"</f>
        <v>Multi Family Weatherization - Insulate Attic - R-30 to R-38 - Heating Zone 1 (Heat Pump Heating System)</v>
      </c>
      <c r="C186" s="116" t="str">
        <f>Costs!$A9&amp;" - Heating Zone 1 (Heat Pump Heating System)"</f>
        <v>Multi Family Weatherization - Insulate Attic - R-30 to R-38 - Heating Zone 1 (Heat Pump Heating System)</v>
      </c>
      <c r="D186" s="117">
        <f>VLOOKUP(C186,SEEMsavings!$A$5:$L$556,11,FALSE)+VLOOKUP(C186,SEEMsavings!$A$5:$L$556,12,FALSE)</f>
        <v>2.3819712888201908E-2</v>
      </c>
      <c r="E186" s="113">
        <v>45</v>
      </c>
      <c r="F186" s="115">
        <f t="shared" si="5"/>
        <v>0.2473644911578245</v>
      </c>
      <c r="G186" s="113">
        <v>0</v>
      </c>
      <c r="H186" s="112" t="s">
        <v>1198</v>
      </c>
      <c r="I186" s="115"/>
      <c r="J186" s="27"/>
      <c r="K186" s="27"/>
      <c r="L186" s="27"/>
      <c r="M186" s="27"/>
      <c r="N186" s="27"/>
      <c r="O186" s="27"/>
      <c r="P186" s="27"/>
      <c r="Q186" s="27"/>
    </row>
    <row r="187" spans="1:17" ht="25.5">
      <c r="A187" t="str">
        <f t="shared" si="4"/>
        <v>Multi Family Weatherization - Insulate Attic - R-30 to R-49 - Heating Zone 1 (Heat Pump Heating System)Multi Family Weatherization - Insulate Attic - R-30 to R-49 - Heating Zone 1 (Heat Pump Heating System)</v>
      </c>
      <c r="B187" s="116" t="str">
        <f>Costs!$A10&amp;" - Heating Zone 1 (Heat Pump Heating System)"</f>
        <v>Multi Family Weatherization - Insulate Attic - R-30 to R-49 - Heating Zone 1 (Heat Pump Heating System)</v>
      </c>
      <c r="C187" s="116" t="str">
        <f>Costs!$A10&amp;" - Heating Zone 1 (Heat Pump Heating System)"</f>
        <v>Multi Family Weatherization - Insulate Attic - R-30 to R-49 - Heating Zone 1 (Heat Pump Heating System)</v>
      </c>
      <c r="D187" s="117">
        <f>VLOOKUP(C187,SEEMsavings!$A$5:$L$556,11,FALSE)+VLOOKUP(C187,SEEMsavings!$A$5:$L$556,12,FALSE)</f>
        <v>4.3628596562767255E-2</v>
      </c>
      <c r="E187" s="113">
        <v>45</v>
      </c>
      <c r="F187" s="115">
        <f t="shared" si="5"/>
        <v>0.58749066649983317</v>
      </c>
      <c r="G187" s="113">
        <v>0</v>
      </c>
      <c r="H187" s="112" t="s">
        <v>1198</v>
      </c>
      <c r="I187" s="115"/>
      <c r="J187" s="27"/>
      <c r="K187" s="27"/>
      <c r="L187" s="27"/>
      <c r="M187" s="27"/>
      <c r="N187" s="27"/>
      <c r="O187" s="27"/>
      <c r="P187" s="27"/>
      <c r="Q187" s="27"/>
    </row>
    <row r="188" spans="1:17" ht="25.5">
      <c r="A188" t="str">
        <f t="shared" si="4"/>
        <v>Multi Family Weatherization - Insulate Attic - R-38 to R-49 - Heating Zone 1 (Heat Pump Heating System)Multi Family Weatherization - Insulate Attic - R-38 to R-49 - Heating Zone 1 (Heat Pump Heating System)</v>
      </c>
      <c r="B188" s="116" t="str">
        <f>Costs!$A11&amp;" - Heating Zone 1 (Heat Pump Heating System)"</f>
        <v>Multi Family Weatherization - Insulate Attic - R-38 to R-49 - Heating Zone 1 (Heat Pump Heating System)</v>
      </c>
      <c r="C188" s="116" t="str">
        <f>Costs!$A11&amp;" - Heating Zone 1 (Heat Pump Heating System)"</f>
        <v>Multi Family Weatherization - Insulate Attic - R-38 to R-49 - Heating Zone 1 (Heat Pump Heating System)</v>
      </c>
      <c r="D188" s="117">
        <f>VLOOKUP(C188,SEEMsavings!$A$5:$L$556,11,FALSE)+VLOOKUP(C188,SEEMsavings!$A$5:$L$556,12,FALSE)</f>
        <v>1.9808883674565347E-2</v>
      </c>
      <c r="E188" s="113">
        <v>45</v>
      </c>
      <c r="F188" s="115">
        <f t="shared" si="5"/>
        <v>0.34012617534200867</v>
      </c>
      <c r="G188" s="113">
        <v>0</v>
      </c>
      <c r="H188" s="112" t="s">
        <v>1198</v>
      </c>
      <c r="I188" s="115"/>
      <c r="J188" s="27"/>
      <c r="K188" s="27"/>
      <c r="L188" s="27"/>
      <c r="M188" s="27"/>
      <c r="N188" s="27"/>
      <c r="O188" s="27"/>
      <c r="P188" s="27"/>
      <c r="Q188" s="27"/>
    </row>
    <row r="189" spans="1:17" ht="25.5">
      <c r="A189" t="str">
        <f t="shared" si="4"/>
        <v>Multi Family Weatherization - Insulate Attic - R-19 to R-30 - Heating Zone 1 (Heat Pump Heating System)Multi Family Weatherization - Insulate Attic - R-19 to R-30 - Heating Zone 1 (Heat Pump Heating System)</v>
      </c>
      <c r="B189" s="116" t="str">
        <f>Costs!$A12&amp;" - Heating Zone 1 (Heat Pump Heating System)"</f>
        <v>Multi Family Weatherization - Insulate Attic - R-19 to R-30 - Heating Zone 1 (Heat Pump Heating System)</v>
      </c>
      <c r="C189" s="116" t="str">
        <f>Costs!$A12&amp;" - Heating Zone 1 (Heat Pump Heating System)"</f>
        <v>Multi Family Weatherization - Insulate Attic - R-19 to R-30 - Heating Zone 1 (Heat Pump Heating System)</v>
      </c>
      <c r="D189" s="117">
        <f>VLOOKUP(C189,SEEMsavings!$A$5:$L$556,11,FALSE)+VLOOKUP(C189,SEEMsavings!$A$5:$L$556,12,FALSE)</f>
        <v>6.2310759344451648E-2</v>
      </c>
      <c r="E189" s="113">
        <v>45</v>
      </c>
      <c r="F189" s="115">
        <f t="shared" si="5"/>
        <v>0.34012617534200867</v>
      </c>
      <c r="G189" s="113">
        <v>0</v>
      </c>
      <c r="H189" s="112" t="s">
        <v>1198</v>
      </c>
      <c r="I189" s="115"/>
      <c r="J189" s="27"/>
      <c r="K189" s="27"/>
      <c r="L189" s="27"/>
      <c r="M189" s="27"/>
      <c r="N189" s="27"/>
      <c r="O189" s="27"/>
      <c r="P189" s="27"/>
      <c r="Q189" s="27"/>
    </row>
    <row r="190" spans="1:17" ht="25.5">
      <c r="A190" t="str">
        <f t="shared" si="4"/>
        <v>Multi Family Weatherization - Insulate Attic - R-19 to R-38 - Heating Zone 1 (Heat Pump Heating System)Multi Family Weatherization - Insulate Attic - R-19 to R-38 - Heating Zone 1 (Heat Pump Heating System)</v>
      </c>
      <c r="B190" s="116" t="str">
        <f>Costs!$A13&amp;" - Heating Zone 1 (Heat Pump Heating System)"</f>
        <v>Multi Family Weatherization - Insulate Attic - R-19 to R-38 - Heating Zone 1 (Heat Pump Heating System)</v>
      </c>
      <c r="C190" s="116" t="str">
        <f>Costs!$A13&amp;" - Heating Zone 1 (Heat Pump Heating System)"</f>
        <v>Multi Family Weatherization - Insulate Attic - R-19 to R-38 - Heating Zone 1 (Heat Pump Heating System)</v>
      </c>
      <c r="D190" s="117">
        <f>VLOOKUP(C190,SEEMsavings!$A$5:$L$556,11,FALSE)+VLOOKUP(C190,SEEMsavings!$A$5:$L$556,12,FALSE)</f>
        <v>8.6130472232653535E-2</v>
      </c>
      <c r="E190" s="113">
        <v>45</v>
      </c>
      <c r="F190" s="115">
        <f t="shared" si="5"/>
        <v>0.58749066649983317</v>
      </c>
      <c r="G190" s="113">
        <v>0</v>
      </c>
      <c r="H190" s="112" t="s">
        <v>1198</v>
      </c>
      <c r="I190" s="115"/>
      <c r="J190" s="27"/>
      <c r="K190" s="27"/>
      <c r="L190" s="27"/>
      <c r="M190" s="27"/>
      <c r="N190" s="27"/>
      <c r="O190" s="27"/>
      <c r="P190" s="27"/>
      <c r="Q190" s="27"/>
    </row>
    <row r="191" spans="1:17" ht="25.5">
      <c r="A191" t="str">
        <f t="shared" si="4"/>
        <v>Multi Family Weatherization - Insulate Attic - R-19 to R-49 - Heating Zone 1 (Heat Pump Heating System)Multi Family Weatherization - Insulate Attic - R-19 to R-49 - Heating Zone 1 (Heat Pump Heating System)</v>
      </c>
      <c r="B191" s="116" t="str">
        <f>Costs!$A14&amp;" - Heating Zone 1 (Heat Pump Heating System)"</f>
        <v>Multi Family Weatherization - Insulate Attic - R-19 to R-49 - Heating Zone 1 (Heat Pump Heating System)</v>
      </c>
      <c r="C191" s="116" t="str">
        <f>Costs!$A14&amp;" - Heating Zone 1 (Heat Pump Heating System)"</f>
        <v>Multi Family Weatherization - Insulate Attic - R-19 to R-49 - Heating Zone 1 (Heat Pump Heating System)</v>
      </c>
      <c r="D191" s="117">
        <f>VLOOKUP(C191,SEEMsavings!$A$5:$L$556,11,FALSE)+VLOOKUP(C191,SEEMsavings!$A$5:$L$556,12,FALSE)</f>
        <v>0.1059393559072189</v>
      </c>
      <c r="E191" s="113">
        <v>45</v>
      </c>
      <c r="F191" s="115">
        <f t="shared" si="5"/>
        <v>0.9276168418418419</v>
      </c>
      <c r="G191" s="113">
        <v>0</v>
      </c>
      <c r="H191" s="112" t="s">
        <v>1198</v>
      </c>
      <c r="I191" s="115"/>
      <c r="J191" s="27"/>
      <c r="K191" s="27"/>
      <c r="L191" s="27"/>
      <c r="M191" s="27"/>
      <c r="N191" s="27"/>
      <c r="O191" s="27"/>
      <c r="P191" s="27"/>
      <c r="Q191" s="27"/>
    </row>
    <row r="192" spans="1:17">
      <c r="A192" t="str">
        <f t="shared" si="4"/>
        <v>Windows - Single Pane to Class 22 - Heating Zone 1 (Heat Pump Heating System)Windows - Single Pane to Class 22 - Heating Zone 1 (Heat Pump Heating System)</v>
      </c>
      <c r="B192" s="116" t="str">
        <f>Costs!$A15&amp;" - Heating Zone 1 (Heat Pump Heating System)"</f>
        <v>Windows - Single Pane to Class 22 - Heating Zone 1 (Heat Pump Heating System)</v>
      </c>
      <c r="C192" s="116" t="str">
        <f>Costs!$A15&amp;" - Heating Zone 1 (Heat Pump Heating System)"</f>
        <v>Windows - Single Pane to Class 22 - Heating Zone 1 (Heat Pump Heating System)</v>
      </c>
      <c r="D192" s="117">
        <f>VLOOKUP(C192,SEEMsavings!$A$5:$L$556,11,FALSE)+VLOOKUP(C192,SEEMsavings!$A$5:$L$556,12,FALSE)</f>
        <v>12.098422049953051</v>
      </c>
      <c r="E192" s="113">
        <v>45</v>
      </c>
      <c r="F192" s="115">
        <f t="shared" si="5"/>
        <v>23.573200327964955</v>
      </c>
      <c r="G192" s="113">
        <v>0</v>
      </c>
      <c r="H192" s="112" t="s">
        <v>1198</v>
      </c>
      <c r="I192" s="115"/>
      <c r="J192" s="27"/>
      <c r="K192" s="27"/>
      <c r="L192" s="27"/>
      <c r="M192" s="27"/>
      <c r="N192" s="27"/>
      <c r="O192" s="27"/>
      <c r="P192" s="27"/>
      <c r="Q192" s="27"/>
    </row>
    <row r="193" spans="1:17">
      <c r="A193" t="str">
        <f t="shared" si="4"/>
        <v>Windows - Double Pane to Class 22 - Heating Zone 1 (Heat Pump Heating System)Windows - Double Pane to Class 22 - Heating Zone 1 (Heat Pump Heating System)</v>
      </c>
      <c r="B193" s="116" t="str">
        <f>Costs!$A16&amp;" - Heating Zone 1 (Heat Pump Heating System)"</f>
        <v>Windows - Double Pane to Class 22 - Heating Zone 1 (Heat Pump Heating System)</v>
      </c>
      <c r="C193" s="116" t="str">
        <f>Costs!$A16&amp;" - Heating Zone 1 (Heat Pump Heating System)"</f>
        <v>Windows - Double Pane to Class 22 - Heating Zone 1 (Heat Pump Heating System)</v>
      </c>
      <c r="D193" s="117">
        <f>VLOOKUP(C193,SEEMsavings!$A$5:$L$556,11,FALSE)+VLOOKUP(C193,SEEMsavings!$A$5:$L$556,12,FALSE)</f>
        <v>7.9265206080719528</v>
      </c>
      <c r="E193" s="113">
        <v>45</v>
      </c>
      <c r="F193" s="115">
        <f t="shared" si="5"/>
        <v>23.573200327964955</v>
      </c>
      <c r="G193" s="113">
        <v>0</v>
      </c>
      <c r="H193" s="112" t="s">
        <v>1198</v>
      </c>
      <c r="I193" s="115"/>
      <c r="J193" s="27"/>
      <c r="K193" s="27"/>
      <c r="L193" s="27"/>
      <c r="M193" s="27"/>
      <c r="N193" s="27"/>
      <c r="O193" s="27"/>
      <c r="P193" s="27"/>
      <c r="Q193" s="27"/>
    </row>
    <row r="194" spans="1:17">
      <c r="A194" t="str">
        <f t="shared" si="4"/>
        <v>Windows - Single Pane to Class 30 - Heating Zone 1 (Heat Pump Heating System)Windows - Single Pane to Class 30 - Heating Zone 1 (Heat Pump Heating System)</v>
      </c>
      <c r="B194" s="116" t="str">
        <f>Costs!$A17&amp;" - Heating Zone 1 (Heat Pump Heating System)"</f>
        <v>Windows - Single Pane to Class 30 - Heating Zone 1 (Heat Pump Heating System)</v>
      </c>
      <c r="C194" s="116" t="str">
        <f>Costs!$A17&amp;" - Heating Zone 1 (Heat Pump Heating System)"</f>
        <v>Windows - Single Pane to Class 30 - Heating Zone 1 (Heat Pump Heating System)</v>
      </c>
      <c r="D194" s="117">
        <f>VLOOKUP(C194,SEEMsavings!$A$5:$L$556,11,FALSE)+VLOOKUP(C194,SEEMsavings!$A$5:$L$556,12,FALSE)</f>
        <v>11.203747332145323</v>
      </c>
      <c r="E194" s="113">
        <v>45</v>
      </c>
      <c r="F194" s="115">
        <f t="shared" si="5"/>
        <v>22.213200327964955</v>
      </c>
      <c r="G194" s="113">
        <v>0</v>
      </c>
      <c r="H194" s="112" t="s">
        <v>1198</v>
      </c>
      <c r="I194" s="115"/>
      <c r="J194" s="27"/>
      <c r="K194" s="27"/>
      <c r="L194" s="27"/>
      <c r="M194" s="27"/>
      <c r="N194" s="27"/>
      <c r="O194" s="27"/>
      <c r="P194" s="27"/>
      <c r="Q194" s="27"/>
    </row>
    <row r="195" spans="1:17">
      <c r="A195" t="str">
        <f t="shared" si="4"/>
        <v>Windows - Double Pane to Class 30 - Heating Zone 1 (Heat Pump Heating System)Windows - Double Pane to Class 30 - Heating Zone 1 (Heat Pump Heating System)</v>
      </c>
      <c r="B195" s="116" t="str">
        <f>Costs!$A18&amp;" - Heating Zone 1 (Heat Pump Heating System)"</f>
        <v>Windows - Double Pane to Class 30 - Heating Zone 1 (Heat Pump Heating System)</v>
      </c>
      <c r="C195" s="116" t="str">
        <f>Costs!$A18&amp;" - Heating Zone 1 (Heat Pump Heating System)"</f>
        <v>Windows - Double Pane to Class 30 - Heating Zone 1 (Heat Pump Heating System)</v>
      </c>
      <c r="D195" s="117">
        <f>VLOOKUP(C195,SEEMsavings!$A$5:$L$556,11,FALSE)+VLOOKUP(C195,SEEMsavings!$A$5:$L$556,12,FALSE)</f>
        <v>7.0318458902642256</v>
      </c>
      <c r="E195" s="113">
        <v>45</v>
      </c>
      <c r="F195" s="115">
        <f t="shared" si="5"/>
        <v>22.213200327964955</v>
      </c>
      <c r="G195" s="113">
        <v>0</v>
      </c>
      <c r="H195" s="112" t="s">
        <v>1198</v>
      </c>
      <c r="I195" s="115"/>
      <c r="J195" s="27"/>
      <c r="K195" s="27"/>
      <c r="L195" s="27"/>
      <c r="M195" s="27"/>
      <c r="N195" s="27"/>
      <c r="O195" s="27"/>
      <c r="P195" s="27"/>
      <c r="Q195" s="27"/>
    </row>
    <row r="196" spans="1:17">
      <c r="A196" t="str">
        <f t="shared" si="4"/>
        <v>Windows - Class 35 to Class 30 - Heating Zone 1 (Heat Pump Heating System)Windows - Class 35 to Class 30 - Heating Zone 1 (Heat Pump Heating System)</v>
      </c>
      <c r="B196" s="116" t="str">
        <f>Costs!$A19&amp;" - Heating Zone 1 (Heat Pump Heating System)"</f>
        <v>Windows - Class 35 to Class 30 - Heating Zone 1 (Heat Pump Heating System)</v>
      </c>
      <c r="C196" s="116" t="str">
        <f>Costs!$A19&amp;" - Heating Zone 1 (Heat Pump Heating System)"</f>
        <v>Windows - Class 35 to Class 30 - Heating Zone 1 (Heat Pump Heating System)</v>
      </c>
      <c r="D196" s="117">
        <f>VLOOKUP(C196,SEEMsavings!$A$5:$L$556,11,FALSE)+VLOOKUP(C196,SEEMsavings!$A$5:$L$556,12,FALSE)</f>
        <v>0.58409222793967908</v>
      </c>
      <c r="E196" s="113">
        <v>45</v>
      </c>
      <c r="F196" s="115">
        <f t="shared" si="5"/>
        <v>0.9632509724857734</v>
      </c>
      <c r="G196" s="113">
        <v>0</v>
      </c>
      <c r="H196" s="112" t="s">
        <v>1198</v>
      </c>
      <c r="I196" s="115"/>
      <c r="J196" s="27"/>
      <c r="K196" s="27"/>
      <c r="L196" s="27"/>
      <c r="M196" s="27"/>
      <c r="N196" s="27"/>
      <c r="O196" s="27"/>
      <c r="P196" s="27"/>
      <c r="Q196" s="27"/>
    </row>
    <row r="197" spans="1:17">
      <c r="A197" t="str">
        <f t="shared" si="4"/>
        <v>Windows - Class 35 to Class 22 - Heating Zone 1 (Heat Pump Heating System)Windows - Class 35 to Class 22 - Heating Zone 1 (Heat Pump Heating System)</v>
      </c>
      <c r="B197" s="116" t="str">
        <f>Costs!$A20&amp;" - Heating Zone 1 (Heat Pump Heating System)"</f>
        <v>Windows - Class 35 to Class 22 - Heating Zone 1 (Heat Pump Heating System)</v>
      </c>
      <c r="C197" s="116" t="str">
        <f>Costs!$A20&amp;" - Heating Zone 1 (Heat Pump Heating System)"</f>
        <v>Windows - Class 35 to Class 22 - Heating Zone 1 (Heat Pump Heating System)</v>
      </c>
      <c r="D197" s="353">
        <f>VLOOKUP(C197,SEEMsavings!$A$5:$L$556,11,FALSE)+VLOOKUP(C197,SEEMsavings!$A$5:$L$556,12,FALSE)</f>
        <v>1.478766945747406</v>
      </c>
      <c r="E197" s="354">
        <v>45</v>
      </c>
      <c r="F197" s="355">
        <f t="shared" si="5"/>
        <v>2.3232509724857735</v>
      </c>
      <c r="G197" s="110">
        <v>0</v>
      </c>
      <c r="H197" s="356" t="s">
        <v>1198</v>
      </c>
      <c r="I197" s="115"/>
      <c r="J197" s="27"/>
      <c r="K197" s="27"/>
      <c r="L197" s="27"/>
      <c r="M197" s="27"/>
      <c r="N197" s="27"/>
      <c r="O197" s="27"/>
      <c r="P197" s="27"/>
      <c r="Q197" s="27"/>
    </row>
    <row r="198" spans="1:17" ht="25.5">
      <c r="A198" t="str">
        <f t="shared" si="4"/>
        <v>Multi Family Weatherization - Insulate Walls - R-0 to R-11 - Heating Zone 2 (Heat Pump Heating System)Multi Family Weatherization - Insulate Walls - R-0 to R-11 - Heating Zone 2 (Heat Pump Heating System)</v>
      </c>
      <c r="B198" s="55" t="str">
        <f>Costs!$A2&amp;" - Heating Zone 2 (Heat Pump Heating System)"</f>
        <v>Multi Family Weatherization - Insulate Walls - R-0 to R-11 - Heating Zone 2 (Heat Pump Heating System)</v>
      </c>
      <c r="C198" s="55" t="str">
        <f>Costs!$A2&amp;" - Heating Zone 2 (Heat Pump Heating System)"</f>
        <v>Multi Family Weatherization - Insulate Walls - R-0 to R-11 - Heating Zone 2 (Heat Pump Heating System)</v>
      </c>
      <c r="D198" s="353">
        <f>VLOOKUP(C198,SEEMsavings!$A$5:$L$556,11,FALSE)+VLOOKUP(C198,SEEMsavings!$A$5:$L$556,12,FALSE)</f>
        <v>0.94615692756686232</v>
      </c>
      <c r="E198" s="354">
        <v>45</v>
      </c>
      <c r="F198" s="355">
        <f t="shared" si="5"/>
        <v>0.85033582942530117</v>
      </c>
      <c r="G198" s="110">
        <v>0</v>
      </c>
      <c r="H198" s="356" t="s">
        <v>1198</v>
      </c>
      <c r="I198" s="115"/>
      <c r="J198" s="27"/>
      <c r="K198" s="27"/>
      <c r="L198" s="27"/>
      <c r="M198" s="27"/>
      <c r="N198" s="27"/>
      <c r="O198" s="27"/>
      <c r="P198" s="27"/>
      <c r="Q198" s="27"/>
    </row>
    <row r="199" spans="1:17" ht="25.5">
      <c r="A199" t="str">
        <f t="shared" si="4"/>
        <v>Multi Family Weatherization - Insulate Floors - R-0 to R-19 - Heating Zone 2 (Heat Pump Heating System)Multi Family Weatherization - Insulate Floors - R-0 to R-19 - Heating Zone 2 (Heat Pump Heating System)</v>
      </c>
      <c r="B199" s="55" t="str">
        <f>Costs!$A3&amp;" - Heating Zone 2 (Heat Pump Heating System)"</f>
        <v>Multi Family Weatherization - Insulate Floors - R-0 to R-19 - Heating Zone 2 (Heat Pump Heating System)</v>
      </c>
      <c r="C199" s="55" t="str">
        <f>Costs!$A3&amp;" - Heating Zone 2 (Heat Pump Heating System)"</f>
        <v>Multi Family Weatherization - Insulate Floors - R-0 to R-19 - Heating Zone 2 (Heat Pump Heating System)</v>
      </c>
      <c r="D199" s="353">
        <f>VLOOKUP(C199,SEEMsavings!$A$5:$L$556,11,FALSE)+VLOOKUP(C199,SEEMsavings!$A$5:$L$556,12,FALSE)</f>
        <v>0.23201473628994176</v>
      </c>
      <c r="E199" s="354">
        <v>45</v>
      </c>
      <c r="F199" s="355">
        <f t="shared" si="5"/>
        <v>1.1190178820234826</v>
      </c>
      <c r="G199" s="110">
        <v>0</v>
      </c>
      <c r="H199" s="356" t="s">
        <v>1198</v>
      </c>
      <c r="I199" s="115"/>
      <c r="J199" s="27"/>
      <c r="K199" s="27"/>
      <c r="L199" s="27"/>
      <c r="M199" s="27"/>
      <c r="N199" s="27"/>
      <c r="O199" s="27"/>
      <c r="P199" s="27"/>
      <c r="Q199" s="27"/>
    </row>
    <row r="200" spans="1:17" ht="25.5">
      <c r="A200" t="str">
        <f t="shared" si="4"/>
        <v>Multi Family Weatherization - Insulate Floors - R-0 to R-30 - Heating Zone 2 (Heat Pump Heating System)Multi Family Weatherization - Insulate Floors - R-0 to R-30 - Heating Zone 2 (Heat Pump Heating System)</v>
      </c>
      <c r="B200" s="55" t="str">
        <f>Costs!$A4&amp;" - Heating Zone 2 (Heat Pump Heating System)"</f>
        <v>Multi Family Weatherization - Insulate Floors - R-0 to R-30 - Heating Zone 2 (Heat Pump Heating System)</v>
      </c>
      <c r="C200" s="55" t="str">
        <f>Costs!$A4&amp;" - Heating Zone 2 (Heat Pump Heating System)"</f>
        <v>Multi Family Weatherization - Insulate Floors - R-0 to R-30 - Heating Zone 2 (Heat Pump Heating System)</v>
      </c>
      <c r="D200" s="353">
        <f>VLOOKUP(C200,SEEMsavings!$A$5:$L$556,11,FALSE)+VLOOKUP(C200,SEEMsavings!$A$5:$L$556,12,FALSE)</f>
        <v>0.30129039106057726</v>
      </c>
      <c r="E200" s="354">
        <v>45</v>
      </c>
      <c r="F200" s="355">
        <f t="shared" si="5"/>
        <v>1.766870340037078</v>
      </c>
      <c r="G200" s="110">
        <v>0</v>
      </c>
      <c r="H200" s="356" t="s">
        <v>1198</v>
      </c>
      <c r="I200" s="115"/>
      <c r="J200" s="27"/>
      <c r="K200" s="27"/>
      <c r="L200" s="27"/>
      <c r="M200" s="27"/>
      <c r="N200" s="27"/>
      <c r="O200" s="27"/>
      <c r="P200" s="27"/>
      <c r="Q200" s="27"/>
    </row>
    <row r="201" spans="1:17" ht="25.5">
      <c r="A201" t="str">
        <f t="shared" ref="A201:A235" si="6">CONCATENATE(B201,C201)</f>
        <v>Multi Family Weatherization - Insulate Floors - R-19 to R-30 - Heating Zone 2 (Heat Pump Heating System)Multi Family Weatherization - Insulate Floors - R-19 to R-30 - Heating Zone 2 (Heat Pump Heating System)</v>
      </c>
      <c r="B201" s="55" t="str">
        <f>Costs!$A5&amp;" - Heating Zone 2 (Heat Pump Heating System)"</f>
        <v>Multi Family Weatherization - Insulate Floors - R-19 to R-30 - Heating Zone 2 (Heat Pump Heating System)</v>
      </c>
      <c r="C201" s="55" t="str">
        <f>Costs!$A5&amp;" - Heating Zone 2 (Heat Pump Heating System)"</f>
        <v>Multi Family Weatherization - Insulate Floors - R-19 to R-30 - Heating Zone 2 (Heat Pump Heating System)</v>
      </c>
      <c r="D201" s="353">
        <f>VLOOKUP(C201,SEEMsavings!$A$5:$L$556,11,FALSE)+VLOOKUP(C201,SEEMsavings!$A$5:$L$556,12,FALSE)</f>
        <v>6.9275654770635464E-2</v>
      </c>
      <c r="E201" s="354">
        <v>45</v>
      </c>
      <c r="F201" s="355">
        <f t="shared" si="5"/>
        <v>0.64785245801359526</v>
      </c>
      <c r="G201" s="110">
        <v>0</v>
      </c>
      <c r="H201" s="356" t="s">
        <v>1198</v>
      </c>
      <c r="I201" s="115"/>
      <c r="J201" s="27"/>
      <c r="K201" s="27"/>
      <c r="L201" s="27"/>
      <c r="M201" s="27"/>
      <c r="N201" s="27"/>
      <c r="O201" s="27"/>
      <c r="P201" s="27"/>
      <c r="Q201" s="27"/>
    </row>
    <row r="202" spans="1:17" ht="25.5">
      <c r="A202" t="str">
        <f t="shared" si="6"/>
        <v>Multi Family Weatherization - Insulate Attic - R-0 to R-19 - Heating Zone 2 (Heat Pump Heating System)Multi Family Weatherization - Insulate Attic - R-0 to R-19 - Heating Zone 2 (Heat Pump Heating System)</v>
      </c>
      <c r="B202" s="55" t="str">
        <f>Costs!$A6&amp;" - Heating Zone 2 (Heat Pump Heating System)"</f>
        <v>Multi Family Weatherization - Insulate Attic - R-0 to R-19 - Heating Zone 2 (Heat Pump Heating System)</v>
      </c>
      <c r="C202" s="55" t="str">
        <f>Costs!$A6&amp;" - Heating Zone 2 (Heat Pump Heating System)"</f>
        <v>Multi Family Weatherization - Insulate Attic - R-0 to R-19 - Heating Zone 2 (Heat Pump Heating System)</v>
      </c>
      <c r="D202" s="353">
        <f>VLOOKUP(C202,SEEMsavings!$A$5:$L$556,11,FALSE)+VLOOKUP(C202,SEEMsavings!$A$5:$L$556,12,FALSE)</f>
        <v>0.29017141751085562</v>
      </c>
      <c r="E202" s="354">
        <v>45</v>
      </c>
      <c r="F202" s="355">
        <f t="shared" si="5"/>
        <v>0.58749066649983317</v>
      </c>
      <c r="G202" s="110">
        <v>0</v>
      </c>
      <c r="H202" s="356" t="s">
        <v>1198</v>
      </c>
      <c r="I202" s="115"/>
      <c r="J202" s="27"/>
      <c r="K202" s="27"/>
      <c r="L202" s="27"/>
      <c r="M202" s="27"/>
      <c r="N202" s="27"/>
      <c r="O202" s="27"/>
      <c r="P202" s="27"/>
      <c r="Q202" s="27"/>
    </row>
    <row r="203" spans="1:17" ht="25.5">
      <c r="A203" t="str">
        <f t="shared" si="6"/>
        <v>Multi Family Weatherization - Insulate Attic - R-0 to R-38 - Heating Zone 2 (Heat Pump Heating System)Multi Family Weatherization - Insulate Attic - R-0 to R-38 - Heating Zone 2 (Heat Pump Heating System)</v>
      </c>
      <c r="B203" s="55" t="str">
        <f>Costs!$A7&amp;" - Heating Zone 2 (Heat Pump Heating System)"</f>
        <v>Multi Family Weatherization - Insulate Attic - R-0 to R-38 - Heating Zone 2 (Heat Pump Heating System)</v>
      </c>
      <c r="C203" s="55" t="str">
        <f>Costs!$A7&amp;" - Heating Zone 2 (Heat Pump Heating System)"</f>
        <v>Multi Family Weatherization - Insulate Attic - R-0 to R-38 - Heating Zone 2 (Heat Pump Heating System)</v>
      </c>
      <c r="D203" s="353">
        <f>VLOOKUP(C203,SEEMsavings!$A$5:$L$556,11,FALSE)+VLOOKUP(C203,SEEMsavings!$A$5:$L$556,12,FALSE)</f>
        <v>0.39657896165268069</v>
      </c>
      <c r="E203" s="354">
        <v>45</v>
      </c>
      <c r="F203" s="355">
        <f t="shared" si="5"/>
        <v>1.1749813329996663</v>
      </c>
      <c r="G203" s="110">
        <v>0</v>
      </c>
      <c r="H203" s="356" t="s">
        <v>1198</v>
      </c>
      <c r="I203" s="115"/>
      <c r="J203" s="27"/>
      <c r="K203" s="27"/>
      <c r="L203" s="27"/>
      <c r="M203" s="27"/>
      <c r="N203" s="27"/>
      <c r="O203" s="27"/>
      <c r="P203" s="27"/>
      <c r="Q203" s="27"/>
    </row>
    <row r="204" spans="1:17" ht="25.5">
      <c r="A204" t="str">
        <f t="shared" si="6"/>
        <v>Multi Family Weatherization - Insulate Attic - R-0 to R-49 - Heating Zone 2 (Heat Pump Heating System)Multi Family Weatherization - Insulate Attic - R-0 to R-49 - Heating Zone 2 (Heat Pump Heating System)</v>
      </c>
      <c r="B204" s="55" t="str">
        <f>Costs!$A8&amp;" - Heating Zone 2 (Heat Pump Heating System)"</f>
        <v>Multi Family Weatherization - Insulate Attic - R-0 to R-49 - Heating Zone 2 (Heat Pump Heating System)</v>
      </c>
      <c r="C204" s="55" t="str">
        <f>Costs!$A8&amp;" - Heating Zone 2 (Heat Pump Heating System)"</f>
        <v>Multi Family Weatherization - Insulate Attic - R-0 to R-49 - Heating Zone 2 (Heat Pump Heating System)</v>
      </c>
      <c r="D204" s="353">
        <f>VLOOKUP(C204,SEEMsavings!$A$5:$L$556,11,FALSE)+VLOOKUP(C204,SEEMsavings!$A$5:$L$556,12,FALSE)</f>
        <v>0.42126474119411056</v>
      </c>
      <c r="E204" s="354">
        <v>45</v>
      </c>
      <c r="F204" s="355">
        <f t="shared" si="5"/>
        <v>1.515107508341675</v>
      </c>
      <c r="G204" s="110">
        <v>0</v>
      </c>
      <c r="H204" s="356" t="s">
        <v>1198</v>
      </c>
      <c r="I204" s="115"/>
      <c r="J204" s="27"/>
      <c r="K204" s="27"/>
      <c r="L204" s="27"/>
      <c r="M204" s="27"/>
      <c r="N204" s="27"/>
      <c r="O204" s="27"/>
      <c r="P204" s="27"/>
      <c r="Q204" s="27"/>
    </row>
    <row r="205" spans="1:17" ht="25.5">
      <c r="A205" t="str">
        <f t="shared" si="6"/>
        <v>Multi Family Weatherization - Insulate Attic - R-30 to R-38 - Heating Zone 2 (Heat Pump Heating System)Multi Family Weatherization - Insulate Attic - R-30 to R-38 - Heating Zone 2 (Heat Pump Heating System)</v>
      </c>
      <c r="B205" s="55" t="str">
        <f>Costs!$A9&amp;" - Heating Zone 2 (Heat Pump Heating System)"</f>
        <v>Multi Family Weatherization - Insulate Attic - R-30 to R-38 - Heating Zone 2 (Heat Pump Heating System)</v>
      </c>
      <c r="C205" s="55" t="str">
        <f>Costs!$A9&amp;" - Heating Zone 2 (Heat Pump Heating System)"</f>
        <v>Multi Family Weatherization - Insulate Attic - R-30 to R-38 - Heating Zone 2 (Heat Pump Heating System)</v>
      </c>
      <c r="D205" s="353">
        <f>VLOOKUP(C205,SEEMsavings!$A$5:$L$556,11,FALSE)+VLOOKUP(C205,SEEMsavings!$A$5:$L$556,12,FALSE)</f>
        <v>2.9515372720762708E-2</v>
      </c>
      <c r="E205" s="354">
        <v>45</v>
      </c>
      <c r="F205" s="355">
        <f t="shared" si="5"/>
        <v>0.2473644911578245</v>
      </c>
      <c r="G205" s="110">
        <v>0</v>
      </c>
      <c r="H205" s="356" t="s">
        <v>1198</v>
      </c>
      <c r="I205" s="115"/>
      <c r="J205" s="27"/>
      <c r="K205" s="27"/>
      <c r="L205" s="27"/>
      <c r="M205" s="27"/>
      <c r="N205" s="27"/>
      <c r="O205" s="27"/>
      <c r="P205" s="27"/>
      <c r="Q205" s="27"/>
    </row>
    <row r="206" spans="1:17" ht="25.5">
      <c r="A206" t="str">
        <f t="shared" si="6"/>
        <v>Multi Family Weatherization - Insulate Attic - R-30 to R-49 - Heating Zone 2 (Heat Pump Heating System)Multi Family Weatherization - Insulate Attic - R-30 to R-49 - Heating Zone 2 (Heat Pump Heating System)</v>
      </c>
      <c r="B206" s="55" t="str">
        <f>Costs!$A10&amp;" - Heating Zone 2 (Heat Pump Heating System)"</f>
        <v>Multi Family Weatherization - Insulate Attic - R-30 to R-49 - Heating Zone 2 (Heat Pump Heating System)</v>
      </c>
      <c r="C206" s="55" t="str">
        <f>Costs!$A10&amp;" - Heating Zone 2 (Heat Pump Heating System)"</f>
        <v>Multi Family Weatherization - Insulate Attic - R-30 to R-49 - Heating Zone 2 (Heat Pump Heating System)</v>
      </c>
      <c r="D206" s="353">
        <f>VLOOKUP(C206,SEEMsavings!$A$5:$L$556,11,FALSE)+VLOOKUP(C206,SEEMsavings!$A$5:$L$556,12,FALSE)</f>
        <v>5.4201152262192638E-2</v>
      </c>
      <c r="E206" s="354">
        <v>45</v>
      </c>
      <c r="F206" s="355">
        <f t="shared" si="5"/>
        <v>0.58749066649983317</v>
      </c>
      <c r="G206" s="110">
        <v>0</v>
      </c>
      <c r="H206" s="356" t="s">
        <v>1198</v>
      </c>
      <c r="I206" s="115"/>
      <c r="J206" s="27"/>
      <c r="K206" s="27"/>
      <c r="L206" s="27"/>
      <c r="M206" s="27"/>
      <c r="N206" s="27"/>
      <c r="O206" s="27"/>
      <c r="P206" s="27"/>
      <c r="Q206" s="27"/>
    </row>
    <row r="207" spans="1:17" ht="25.5">
      <c r="A207" t="str">
        <f t="shared" si="6"/>
        <v>Multi Family Weatherization - Insulate Attic - R-38 to R-49 - Heating Zone 2 (Heat Pump Heating System)Multi Family Weatherization - Insulate Attic - R-38 to R-49 - Heating Zone 2 (Heat Pump Heating System)</v>
      </c>
      <c r="B207" s="55" t="str">
        <f>Costs!$A11&amp;" - Heating Zone 2 (Heat Pump Heating System)"</f>
        <v>Multi Family Weatherization - Insulate Attic - R-38 to R-49 - Heating Zone 2 (Heat Pump Heating System)</v>
      </c>
      <c r="C207" s="55" t="str">
        <f>Costs!$A11&amp;" - Heating Zone 2 (Heat Pump Heating System)"</f>
        <v>Multi Family Weatherization - Insulate Attic - R-38 to R-49 - Heating Zone 2 (Heat Pump Heating System)</v>
      </c>
      <c r="D207" s="353">
        <f>VLOOKUP(C207,SEEMsavings!$A$5:$L$556,11,FALSE)+VLOOKUP(C207,SEEMsavings!$A$5:$L$556,12,FALSE)</f>
        <v>2.468577954142993E-2</v>
      </c>
      <c r="E207" s="354">
        <v>45</v>
      </c>
      <c r="F207" s="355">
        <f t="shared" si="5"/>
        <v>0.34012617534200867</v>
      </c>
      <c r="G207" s="110">
        <v>0</v>
      </c>
      <c r="H207" s="356" t="s">
        <v>1198</v>
      </c>
      <c r="I207" s="115"/>
      <c r="J207" s="27"/>
      <c r="K207" s="27"/>
      <c r="L207" s="27"/>
      <c r="M207" s="27"/>
      <c r="N207" s="27"/>
      <c r="O207" s="27"/>
      <c r="P207" s="27"/>
      <c r="Q207" s="27"/>
    </row>
    <row r="208" spans="1:17" ht="25.5">
      <c r="A208" t="str">
        <f t="shared" si="6"/>
        <v>Multi Family Weatherization - Insulate Attic - R-19 to R-30 - Heating Zone 2 (Heat Pump Heating System)Multi Family Weatherization - Insulate Attic - R-19 to R-30 - Heating Zone 2 (Heat Pump Heating System)</v>
      </c>
      <c r="B208" s="55" t="str">
        <f>Costs!$A12&amp;" - Heating Zone 2 (Heat Pump Heating System)"</f>
        <v>Multi Family Weatherization - Insulate Attic - R-19 to R-30 - Heating Zone 2 (Heat Pump Heating System)</v>
      </c>
      <c r="C208" s="55" t="str">
        <f>Costs!$A12&amp;" - Heating Zone 2 (Heat Pump Heating System)"</f>
        <v>Multi Family Weatherization - Insulate Attic - R-19 to R-30 - Heating Zone 2 (Heat Pump Heating System)</v>
      </c>
      <c r="D208" s="353">
        <f>VLOOKUP(C208,SEEMsavings!$A$5:$L$556,11,FALSE)+VLOOKUP(C208,SEEMsavings!$A$5:$L$556,12,FALSE)</f>
        <v>7.6892171421062416E-2</v>
      </c>
      <c r="E208" s="354">
        <v>45</v>
      </c>
      <c r="F208" s="355">
        <f t="shared" si="5"/>
        <v>0.34012617534200867</v>
      </c>
      <c r="G208" s="110">
        <v>0</v>
      </c>
      <c r="H208" s="356" t="s">
        <v>1198</v>
      </c>
      <c r="I208" s="115"/>
      <c r="J208" s="27"/>
      <c r="K208" s="27"/>
      <c r="L208" s="27"/>
      <c r="M208" s="27"/>
      <c r="N208" s="27"/>
      <c r="O208" s="27"/>
      <c r="P208" s="27"/>
      <c r="Q208" s="27"/>
    </row>
    <row r="209" spans="1:17" ht="25.5">
      <c r="A209" t="str">
        <f t="shared" si="6"/>
        <v>Multi Family Weatherization - Insulate Attic - R-19 to R-38 - Heating Zone 2 (Heat Pump Heating System)Multi Family Weatherization - Insulate Attic - R-19 to R-38 - Heating Zone 2 (Heat Pump Heating System)</v>
      </c>
      <c r="B209" s="55" t="str">
        <f>Costs!$A13&amp;" - Heating Zone 2 (Heat Pump Heating System)"</f>
        <v>Multi Family Weatherization - Insulate Attic - R-19 to R-38 - Heating Zone 2 (Heat Pump Heating System)</v>
      </c>
      <c r="C209" s="55" t="str">
        <f>Costs!$A13&amp;" - Heating Zone 2 (Heat Pump Heating System)"</f>
        <v>Multi Family Weatherization - Insulate Attic - R-19 to R-38 - Heating Zone 2 (Heat Pump Heating System)</v>
      </c>
      <c r="D209" s="353">
        <f>VLOOKUP(C209,SEEMsavings!$A$5:$L$556,11,FALSE)+VLOOKUP(C209,SEEMsavings!$A$5:$L$556,12,FALSE)</f>
        <v>0.1064075441418251</v>
      </c>
      <c r="E209" s="354">
        <v>45</v>
      </c>
      <c r="F209" s="355">
        <f t="shared" si="5"/>
        <v>0.58749066649983317</v>
      </c>
      <c r="G209" s="110">
        <v>0</v>
      </c>
      <c r="H209" s="356" t="s">
        <v>1198</v>
      </c>
      <c r="I209" s="115"/>
      <c r="J209" s="27"/>
      <c r="K209" s="27"/>
      <c r="L209" s="27"/>
      <c r="M209" s="27"/>
      <c r="N209" s="27"/>
      <c r="O209" s="27"/>
      <c r="P209" s="27"/>
      <c r="Q209" s="27"/>
    </row>
    <row r="210" spans="1:17" ht="25.5">
      <c r="A210" t="str">
        <f t="shared" si="6"/>
        <v>Multi Family Weatherization - Insulate Attic - R-19 to R-49 - Heating Zone 2 (Heat Pump Heating System)Multi Family Weatherization - Insulate Attic - R-19 to R-49 - Heating Zone 2 (Heat Pump Heating System)</v>
      </c>
      <c r="B210" s="55" t="str">
        <f>Costs!$A14&amp;" - Heating Zone 2 (Heat Pump Heating System)"</f>
        <v>Multi Family Weatherization - Insulate Attic - R-19 to R-49 - Heating Zone 2 (Heat Pump Heating System)</v>
      </c>
      <c r="C210" s="55" t="str">
        <f>Costs!$A14&amp;" - Heating Zone 2 (Heat Pump Heating System)"</f>
        <v>Multi Family Weatherization - Insulate Attic - R-19 to R-49 - Heating Zone 2 (Heat Pump Heating System)</v>
      </c>
      <c r="D210" s="353">
        <f>VLOOKUP(C210,SEEMsavings!$A$5:$L$556,11,FALSE)+VLOOKUP(C210,SEEMsavings!$A$5:$L$556,12,FALSE)</f>
        <v>0.13109332368325505</v>
      </c>
      <c r="E210" s="354">
        <v>45</v>
      </c>
      <c r="F210" s="355">
        <f t="shared" si="5"/>
        <v>0.9276168418418419</v>
      </c>
      <c r="G210" s="110">
        <v>0</v>
      </c>
      <c r="H210" s="356" t="s">
        <v>1198</v>
      </c>
      <c r="I210" s="115"/>
      <c r="J210" s="27"/>
      <c r="K210" s="27"/>
      <c r="L210" s="27"/>
      <c r="M210" s="27"/>
      <c r="N210" s="27"/>
      <c r="O210" s="27"/>
      <c r="P210" s="27"/>
      <c r="Q210" s="27"/>
    </row>
    <row r="211" spans="1:17">
      <c r="A211" t="str">
        <f t="shared" si="6"/>
        <v>Windows - Single Pane to Class 22 - Heating Zone 2 (Heat Pump Heating System)Windows - Single Pane to Class 22 - Heating Zone 2 (Heat Pump Heating System)</v>
      </c>
      <c r="B211" s="55" t="str">
        <f>Costs!$A15&amp;" - Heating Zone 2 (Heat Pump Heating System)"</f>
        <v>Windows - Single Pane to Class 22 - Heating Zone 2 (Heat Pump Heating System)</v>
      </c>
      <c r="C211" s="55" t="str">
        <f>Costs!$A15&amp;" - Heating Zone 2 (Heat Pump Heating System)"</f>
        <v>Windows - Single Pane to Class 22 - Heating Zone 2 (Heat Pump Heating System)</v>
      </c>
      <c r="D211" s="353">
        <f>VLOOKUP(C211,SEEMsavings!$A$5:$L$556,11,FALSE)+VLOOKUP(C211,SEEMsavings!$A$5:$L$556,12,FALSE)</f>
        <v>20.171723506066453</v>
      </c>
      <c r="E211" s="354">
        <v>45</v>
      </c>
      <c r="F211" s="355">
        <f t="shared" si="5"/>
        <v>23.573200327964955</v>
      </c>
      <c r="G211" s="110">
        <v>0</v>
      </c>
      <c r="H211" s="356" t="s">
        <v>1198</v>
      </c>
      <c r="I211" s="115"/>
      <c r="J211" s="27"/>
      <c r="K211" s="27"/>
      <c r="L211" s="27"/>
      <c r="M211" s="27"/>
      <c r="N211" s="27"/>
      <c r="O211" s="27"/>
      <c r="P211" s="27"/>
      <c r="Q211" s="27"/>
    </row>
    <row r="212" spans="1:17">
      <c r="A212" t="str">
        <f t="shared" si="6"/>
        <v>Windows - Double Pane to Class 22 - Heating Zone 2 (Heat Pump Heating System)Windows - Double Pane to Class 22 - Heating Zone 2 (Heat Pump Heating System)</v>
      </c>
      <c r="B212" s="55" t="str">
        <f>Costs!$A16&amp;" - Heating Zone 2 (Heat Pump Heating System)"</f>
        <v>Windows - Double Pane to Class 22 - Heating Zone 2 (Heat Pump Heating System)</v>
      </c>
      <c r="C212" s="55" t="str">
        <f>Costs!$A16&amp;" - Heating Zone 2 (Heat Pump Heating System)"</f>
        <v>Windows - Double Pane to Class 22 - Heating Zone 2 (Heat Pump Heating System)</v>
      </c>
      <c r="D212" s="353">
        <f>VLOOKUP(C212,SEEMsavings!$A$5:$L$556,11,FALSE)+VLOOKUP(C212,SEEMsavings!$A$5:$L$556,12,FALSE)</f>
        <v>12.847438413151799</v>
      </c>
      <c r="E212" s="354">
        <v>45</v>
      </c>
      <c r="F212" s="355">
        <f t="shared" si="5"/>
        <v>23.573200327964955</v>
      </c>
      <c r="G212" s="110">
        <v>0</v>
      </c>
      <c r="H212" s="356" t="s">
        <v>1198</v>
      </c>
      <c r="I212" s="115"/>
      <c r="J212" s="27"/>
      <c r="K212" s="27"/>
      <c r="L212" s="27"/>
      <c r="M212" s="27"/>
      <c r="N212" s="27"/>
      <c r="O212" s="27"/>
      <c r="P212" s="27"/>
      <c r="Q212" s="27"/>
    </row>
    <row r="213" spans="1:17">
      <c r="A213" t="str">
        <f t="shared" si="6"/>
        <v>Windows - Single Pane to Class 30 - Heating Zone 2 (Heat Pump Heating System)Windows - Single Pane to Class 30 - Heating Zone 2 (Heat Pump Heating System)</v>
      </c>
      <c r="B213" s="55" t="str">
        <f>Costs!$A17&amp;" - Heating Zone 2 (Heat Pump Heating System)"</f>
        <v>Windows - Single Pane to Class 30 - Heating Zone 2 (Heat Pump Heating System)</v>
      </c>
      <c r="C213" s="55" t="str">
        <f>Costs!$A17&amp;" - Heating Zone 2 (Heat Pump Heating System)"</f>
        <v>Windows - Single Pane to Class 30 - Heating Zone 2 (Heat Pump Heating System)</v>
      </c>
      <c r="D213" s="353">
        <f>VLOOKUP(C213,SEEMsavings!$A$5:$L$556,11,FALSE)+VLOOKUP(C213,SEEMsavings!$A$5:$L$556,12,FALSE)</f>
        <v>18.694813712413456</v>
      </c>
      <c r="E213" s="354">
        <v>45</v>
      </c>
      <c r="F213" s="355">
        <f t="shared" si="5"/>
        <v>22.213200327964955</v>
      </c>
      <c r="G213" s="110">
        <v>0</v>
      </c>
      <c r="H213" s="356" t="s">
        <v>1198</v>
      </c>
      <c r="I213" s="115"/>
      <c r="J213" s="27"/>
      <c r="K213" s="27"/>
      <c r="L213" s="27"/>
      <c r="M213" s="27"/>
      <c r="N213" s="27"/>
      <c r="O213" s="27"/>
      <c r="P213" s="27"/>
      <c r="Q213" s="27"/>
    </row>
    <row r="214" spans="1:17">
      <c r="A214" t="str">
        <f t="shared" si="6"/>
        <v>Windows - Double Pane to Class 30 - Heating Zone 2 (Heat Pump Heating System)Windows - Double Pane to Class 30 - Heating Zone 2 (Heat Pump Heating System)</v>
      </c>
      <c r="B214" s="55" t="str">
        <f>Costs!$A18&amp;" - Heating Zone 2 (Heat Pump Heating System)"</f>
        <v>Windows - Double Pane to Class 30 - Heating Zone 2 (Heat Pump Heating System)</v>
      </c>
      <c r="C214" s="55" t="str">
        <f>Costs!$A18&amp;" - Heating Zone 2 (Heat Pump Heating System)"</f>
        <v>Windows - Double Pane to Class 30 - Heating Zone 2 (Heat Pump Heating System)</v>
      </c>
      <c r="D214" s="353">
        <f>VLOOKUP(C214,SEEMsavings!$A$5:$L$556,11,FALSE)+VLOOKUP(C214,SEEMsavings!$A$5:$L$556,12,FALSE)</f>
        <v>11.370528619498806</v>
      </c>
      <c r="E214" s="354">
        <v>45</v>
      </c>
      <c r="F214" s="355">
        <f t="shared" si="5"/>
        <v>22.213200327964955</v>
      </c>
      <c r="G214" s="110">
        <v>0</v>
      </c>
      <c r="H214" s="356" t="s">
        <v>1198</v>
      </c>
      <c r="I214" s="115"/>
      <c r="J214" s="27"/>
      <c r="K214" s="27"/>
      <c r="L214" s="27"/>
      <c r="M214" s="27"/>
      <c r="N214" s="27"/>
      <c r="O214" s="27"/>
      <c r="P214" s="27"/>
      <c r="Q214" s="27"/>
    </row>
    <row r="215" spans="1:17">
      <c r="A215" t="str">
        <f t="shared" si="6"/>
        <v>Windows - Class 35 to Class 30 - Heating Zone 2 (Heat Pump Heating System)Windows - Class 35 to Class 30 - Heating Zone 2 (Heat Pump Heating System)</v>
      </c>
      <c r="B215" s="55" t="str">
        <f>Costs!$A19&amp;" - Heating Zone 2 (Heat Pump Heating System)"</f>
        <v>Windows - Class 35 to Class 30 - Heating Zone 2 (Heat Pump Heating System)</v>
      </c>
      <c r="C215" s="55" t="str">
        <f>Costs!$A19&amp;" - Heating Zone 2 (Heat Pump Heating System)"</f>
        <v>Windows - Class 35 to Class 30 - Heating Zone 2 (Heat Pump Heating System)</v>
      </c>
      <c r="D215" s="353">
        <f>VLOOKUP(C215,SEEMsavings!$A$5:$L$556,11,FALSE)+VLOOKUP(C215,SEEMsavings!$A$5:$L$556,12,FALSE)</f>
        <v>0.97045218003755962</v>
      </c>
      <c r="E215" s="354">
        <v>45</v>
      </c>
      <c r="F215" s="355">
        <f t="shared" si="5"/>
        <v>0.9632509724857734</v>
      </c>
      <c r="G215" s="110">
        <v>0</v>
      </c>
      <c r="H215" s="356" t="s">
        <v>1198</v>
      </c>
      <c r="I215" s="115"/>
      <c r="J215" s="27"/>
      <c r="K215" s="27"/>
      <c r="L215" s="27"/>
      <c r="M215" s="27"/>
      <c r="N215" s="27"/>
      <c r="O215" s="27"/>
      <c r="P215" s="27"/>
      <c r="Q215" s="27"/>
    </row>
    <row r="216" spans="1:17">
      <c r="A216" t="str">
        <f t="shared" si="6"/>
        <v>Windows - Class 35 to Class 22 - Heating Zone 2 (Heat Pump Heating System)Windows - Class 35 to Class 22 - Heating Zone 2 (Heat Pump Heating System)</v>
      </c>
      <c r="B216" s="55" t="str">
        <f>Costs!$A20&amp;" - Heating Zone 2 (Heat Pump Heating System)"</f>
        <v>Windows - Class 35 to Class 22 - Heating Zone 2 (Heat Pump Heating System)</v>
      </c>
      <c r="C216" s="55" t="str">
        <f>Costs!$A20&amp;" - Heating Zone 2 (Heat Pump Heating System)"</f>
        <v>Windows - Class 35 to Class 22 - Heating Zone 2 (Heat Pump Heating System)</v>
      </c>
      <c r="D216" s="353">
        <f>VLOOKUP(C216,SEEMsavings!$A$5:$L$556,11,FALSE)+VLOOKUP(C216,SEEMsavings!$A$5:$L$556,12,FALSE)</f>
        <v>2.4473619736905534</v>
      </c>
      <c r="E216" s="354">
        <v>45</v>
      </c>
      <c r="F216" s="355">
        <f t="shared" si="5"/>
        <v>2.3232509724857735</v>
      </c>
      <c r="G216" s="110">
        <v>0</v>
      </c>
      <c r="H216" s="356" t="s">
        <v>1198</v>
      </c>
      <c r="I216" s="115"/>
      <c r="J216" s="27"/>
      <c r="K216" s="27"/>
      <c r="L216" s="27"/>
      <c r="M216" s="27"/>
      <c r="N216" s="27"/>
      <c r="O216" s="27"/>
      <c r="P216" s="27"/>
      <c r="Q216" s="27"/>
    </row>
    <row r="217" spans="1:17" ht="25.5">
      <c r="A217" t="str">
        <f t="shared" si="6"/>
        <v>Multi Family Weatherization - Insulate Walls - R-0 to R-11 - Heating Zone 3 (Heat Pump Heating System)Multi Family Weatherization - Insulate Walls - R-0 to R-11 - Heating Zone 3 (Heat Pump Heating System)</v>
      </c>
      <c r="B217" s="55" t="str">
        <f>Costs!$A2&amp;" - Heating Zone 3 (Heat Pump Heating System)"</f>
        <v>Multi Family Weatherization - Insulate Walls - R-0 to R-11 - Heating Zone 3 (Heat Pump Heating System)</v>
      </c>
      <c r="C217" s="55" t="str">
        <f>Costs!$A2&amp;" - Heating Zone 3 (Heat Pump Heating System)"</f>
        <v>Multi Family Weatherization - Insulate Walls - R-0 to R-11 - Heating Zone 3 (Heat Pump Heating System)</v>
      </c>
      <c r="D217" s="353">
        <f>VLOOKUP(C217,SEEMsavings!$A$5:$L$556,11,FALSE)+VLOOKUP(C217,SEEMsavings!$A$5:$L$556,12,FALSE)</f>
        <v>1.3213025861608312</v>
      </c>
      <c r="E217" s="354">
        <v>45</v>
      </c>
      <c r="F217" s="355">
        <f t="shared" si="5"/>
        <v>0.85033582942530117</v>
      </c>
      <c r="G217" s="110">
        <v>0</v>
      </c>
      <c r="H217" s="356" t="s">
        <v>1198</v>
      </c>
      <c r="I217" s="115"/>
      <c r="J217" s="27"/>
      <c r="K217" s="27"/>
      <c r="L217" s="27"/>
      <c r="M217" s="27"/>
      <c r="N217" s="27"/>
      <c r="O217" s="27"/>
      <c r="P217" s="27"/>
      <c r="Q217" s="27"/>
    </row>
    <row r="218" spans="1:17" ht="25.5">
      <c r="A218" t="str">
        <f t="shared" si="6"/>
        <v>Multi Family Weatherization - Insulate Floors - R-0 to R-19 - Heating Zone 3 (Heat Pump Heating System)Multi Family Weatherization - Insulate Floors - R-0 to R-19 - Heating Zone 3 (Heat Pump Heating System)</v>
      </c>
      <c r="B218" s="55" t="str">
        <f>Costs!$A3&amp;" - Heating Zone 3 (Heat Pump Heating System)"</f>
        <v>Multi Family Weatherization - Insulate Floors - R-0 to R-19 - Heating Zone 3 (Heat Pump Heating System)</v>
      </c>
      <c r="C218" s="55" t="str">
        <f>Costs!$A3&amp;" - Heating Zone 3 (Heat Pump Heating System)"</f>
        <v>Multi Family Weatherization - Insulate Floors - R-0 to R-19 - Heating Zone 3 (Heat Pump Heating System)</v>
      </c>
      <c r="D218" s="353">
        <f>VLOOKUP(C218,SEEMsavings!$A$5:$L$556,11,FALSE)+VLOOKUP(C218,SEEMsavings!$A$5:$L$556,12,FALSE)</f>
        <v>0.31001003183548304</v>
      </c>
      <c r="E218" s="354">
        <v>45</v>
      </c>
      <c r="F218" s="355">
        <f t="shared" si="5"/>
        <v>1.1190178820234826</v>
      </c>
      <c r="G218" s="110">
        <v>0</v>
      </c>
      <c r="H218" s="356" t="s">
        <v>1198</v>
      </c>
      <c r="I218" s="115"/>
      <c r="J218" s="27"/>
      <c r="K218" s="27"/>
      <c r="L218" s="27"/>
      <c r="M218" s="27"/>
      <c r="N218" s="27"/>
      <c r="O218" s="27"/>
      <c r="P218" s="27"/>
      <c r="Q218" s="27"/>
    </row>
    <row r="219" spans="1:17" ht="25.5">
      <c r="A219" t="str">
        <f t="shared" si="6"/>
        <v>Multi Family Weatherization - Insulate Floors - R-0 to R-30 - Heating Zone 3 (Heat Pump Heating System)Multi Family Weatherization - Insulate Floors - R-0 to R-30 - Heating Zone 3 (Heat Pump Heating System)</v>
      </c>
      <c r="B219" s="55" t="str">
        <f>Costs!$A4&amp;" - Heating Zone 3 (Heat Pump Heating System)"</f>
        <v>Multi Family Weatherization - Insulate Floors - R-0 to R-30 - Heating Zone 3 (Heat Pump Heating System)</v>
      </c>
      <c r="C219" s="55" t="str">
        <f>Costs!$A4&amp;" - Heating Zone 3 (Heat Pump Heating System)"</f>
        <v>Multi Family Weatherization - Insulate Floors - R-0 to R-30 - Heating Zone 3 (Heat Pump Heating System)</v>
      </c>
      <c r="D219" s="353">
        <f>VLOOKUP(C219,SEEMsavings!$A$5:$L$556,11,FALSE)+VLOOKUP(C219,SEEMsavings!$A$5:$L$556,12,FALSE)</f>
        <v>0.40151500277901819</v>
      </c>
      <c r="E219" s="354">
        <v>45</v>
      </c>
      <c r="F219" s="355">
        <f t="shared" ref="F219:F235" si="7">F200</f>
        <v>1.766870340037078</v>
      </c>
      <c r="G219" s="110">
        <v>0</v>
      </c>
      <c r="H219" s="356" t="s">
        <v>1198</v>
      </c>
      <c r="I219" s="115"/>
      <c r="J219" s="27"/>
      <c r="K219" s="27"/>
      <c r="L219" s="27"/>
      <c r="M219" s="27"/>
      <c r="N219" s="27"/>
      <c r="O219" s="27"/>
      <c r="P219" s="27"/>
      <c r="Q219" s="27"/>
    </row>
    <row r="220" spans="1:17" ht="25.5">
      <c r="A220" t="str">
        <f t="shared" si="6"/>
        <v>Multi Family Weatherization - Insulate Floors - R-19 to R-30 - Heating Zone 3 (Heat Pump Heating System)Multi Family Weatherization - Insulate Floors - R-19 to R-30 - Heating Zone 3 (Heat Pump Heating System)</v>
      </c>
      <c r="B220" s="55" t="str">
        <f>Costs!$A5&amp;" - Heating Zone 3 (Heat Pump Heating System)"</f>
        <v>Multi Family Weatherization - Insulate Floors - R-19 to R-30 - Heating Zone 3 (Heat Pump Heating System)</v>
      </c>
      <c r="C220" s="55" t="str">
        <f>Costs!$A5&amp;" - Heating Zone 3 (Heat Pump Heating System)"</f>
        <v>Multi Family Weatherization - Insulate Floors - R-19 to R-30 - Heating Zone 3 (Heat Pump Heating System)</v>
      </c>
      <c r="D220" s="353">
        <f>VLOOKUP(C220,SEEMsavings!$A$5:$L$556,11,FALSE)+VLOOKUP(C220,SEEMsavings!$A$5:$L$556,12,FALSE)</f>
        <v>9.1504970943535116E-2</v>
      </c>
      <c r="E220" s="354">
        <v>45</v>
      </c>
      <c r="F220" s="355">
        <f t="shared" si="7"/>
        <v>0.64785245801359526</v>
      </c>
      <c r="G220" s="110">
        <v>0</v>
      </c>
      <c r="H220" s="356" t="s">
        <v>1198</v>
      </c>
      <c r="I220" s="115"/>
      <c r="J220" s="27"/>
      <c r="K220" s="27"/>
      <c r="L220" s="27"/>
      <c r="M220" s="27"/>
      <c r="N220" s="27"/>
      <c r="O220" s="27"/>
      <c r="P220" s="27"/>
      <c r="Q220" s="27"/>
    </row>
    <row r="221" spans="1:17" ht="25.5">
      <c r="A221" t="str">
        <f t="shared" si="6"/>
        <v>Multi Family Weatherization - Insulate Attic - R-0 to R-19 - Heating Zone 3 (Heat Pump Heating System)Multi Family Weatherization - Insulate Attic - R-0 to R-19 - Heating Zone 3 (Heat Pump Heating System)</v>
      </c>
      <c r="B221" s="55" t="str">
        <f>Costs!$A6&amp;" - Heating Zone 3 (Heat Pump Heating System)"</f>
        <v>Multi Family Weatherization - Insulate Attic - R-0 to R-19 - Heating Zone 3 (Heat Pump Heating System)</v>
      </c>
      <c r="C221" s="55" t="str">
        <f>Costs!$A6&amp;" - Heating Zone 3 (Heat Pump Heating System)"</f>
        <v>Multi Family Weatherization - Insulate Attic - R-0 to R-19 - Heating Zone 3 (Heat Pump Heating System)</v>
      </c>
      <c r="D221" s="353">
        <f>VLOOKUP(C221,SEEMsavings!$A$5:$L$556,11,FALSE)+VLOOKUP(C221,SEEMsavings!$A$5:$L$556,12,FALSE)</f>
        <v>0.32811324606203218</v>
      </c>
      <c r="E221" s="354">
        <v>45</v>
      </c>
      <c r="F221" s="355">
        <f t="shared" si="7"/>
        <v>0.58749066649983317</v>
      </c>
      <c r="G221" s="110">
        <v>0</v>
      </c>
      <c r="H221" s="356" t="s">
        <v>1198</v>
      </c>
      <c r="I221" s="115"/>
      <c r="J221" s="27"/>
      <c r="K221" s="27"/>
      <c r="L221" s="27"/>
      <c r="M221" s="27"/>
      <c r="N221" s="27"/>
      <c r="O221" s="27"/>
      <c r="P221" s="27"/>
      <c r="Q221" s="27"/>
    </row>
    <row r="222" spans="1:17" ht="25.5">
      <c r="A222" t="str">
        <f t="shared" si="6"/>
        <v>Multi Family Weatherization - Insulate Attic - R-0 to R-38 - Heating Zone 3 (Heat Pump Heating System)Multi Family Weatherization - Insulate Attic - R-0 to R-38 - Heating Zone 3 (Heat Pump Heating System)</v>
      </c>
      <c r="B222" s="55" t="str">
        <f>Costs!$A7&amp;" - Heating Zone 3 (Heat Pump Heating System)"</f>
        <v>Multi Family Weatherization - Insulate Attic - R-0 to R-38 - Heating Zone 3 (Heat Pump Heating System)</v>
      </c>
      <c r="C222" s="55" t="str">
        <f>Costs!$A7&amp;" - Heating Zone 3 (Heat Pump Heating System)"</f>
        <v>Multi Family Weatherization - Insulate Attic - R-0 to R-38 - Heating Zone 3 (Heat Pump Heating System)</v>
      </c>
      <c r="D222" s="353">
        <f>VLOOKUP(C222,SEEMsavings!$A$5:$L$556,11,FALSE)+VLOOKUP(C222,SEEMsavings!$A$5:$L$556,12,FALSE)</f>
        <v>0.44943430794251288</v>
      </c>
      <c r="E222" s="354">
        <v>45</v>
      </c>
      <c r="F222" s="355">
        <f t="shared" si="7"/>
        <v>1.1749813329996663</v>
      </c>
      <c r="G222" s="110">
        <v>0</v>
      </c>
      <c r="H222" s="356" t="s">
        <v>1198</v>
      </c>
      <c r="I222" s="115"/>
      <c r="J222" s="27"/>
      <c r="K222" s="27"/>
      <c r="L222" s="27"/>
      <c r="M222" s="27"/>
      <c r="N222" s="27"/>
      <c r="O222" s="27"/>
      <c r="P222" s="27"/>
      <c r="Q222" s="27"/>
    </row>
    <row r="223" spans="1:17" ht="25.5">
      <c r="A223" t="str">
        <f t="shared" si="6"/>
        <v>Multi Family Weatherization - Insulate Attic - R-0 to R-49 - Heating Zone 3 (Heat Pump Heating System)Multi Family Weatherization - Insulate Attic - R-0 to R-49 - Heating Zone 3 (Heat Pump Heating System)</v>
      </c>
      <c r="B223" s="55" t="str">
        <f>Costs!$A8&amp;" - Heating Zone 3 (Heat Pump Heating System)"</f>
        <v>Multi Family Weatherization - Insulate Attic - R-0 to R-49 - Heating Zone 3 (Heat Pump Heating System)</v>
      </c>
      <c r="C223" s="55" t="str">
        <f>Costs!$A8&amp;" - Heating Zone 3 (Heat Pump Heating System)"</f>
        <v>Multi Family Weatherization - Insulate Attic - R-0 to R-49 - Heating Zone 3 (Heat Pump Heating System)</v>
      </c>
      <c r="D223" s="353">
        <f>VLOOKUP(C223,SEEMsavings!$A$5:$L$556,11,FALSE)+VLOOKUP(C223,SEEMsavings!$A$5:$L$556,12,FALSE)</f>
        <v>0.47788584691042801</v>
      </c>
      <c r="E223" s="354">
        <v>45</v>
      </c>
      <c r="F223" s="355">
        <f t="shared" si="7"/>
        <v>1.515107508341675</v>
      </c>
      <c r="G223" s="110">
        <v>0</v>
      </c>
      <c r="H223" s="356" t="s">
        <v>1198</v>
      </c>
      <c r="I223" s="115"/>
      <c r="J223" s="27"/>
      <c r="K223" s="27"/>
      <c r="L223" s="27"/>
      <c r="M223" s="27"/>
      <c r="N223" s="27"/>
      <c r="O223" s="27"/>
      <c r="P223" s="27"/>
      <c r="Q223" s="27"/>
    </row>
    <row r="224" spans="1:17" ht="25.5">
      <c r="A224" t="str">
        <f t="shared" si="6"/>
        <v>Multi Family Weatherization - Insulate Attic - R-30 to R-38 - Heating Zone 3 (Heat Pump Heating System)Multi Family Weatherization - Insulate Attic - R-30 to R-38 - Heating Zone 3 (Heat Pump Heating System)</v>
      </c>
      <c r="B224" s="55" t="str">
        <f>Costs!$A9&amp;" - Heating Zone 3 (Heat Pump Heating System)"</f>
        <v>Multi Family Weatherization - Insulate Attic - R-30 to R-38 - Heating Zone 3 (Heat Pump Heating System)</v>
      </c>
      <c r="C224" s="55" t="str">
        <f>Costs!$A9&amp;" - Heating Zone 3 (Heat Pump Heating System)"</f>
        <v>Multi Family Weatherization - Insulate Attic - R-30 to R-38 - Heating Zone 3 (Heat Pump Heating System)</v>
      </c>
      <c r="D224" s="353">
        <f>VLOOKUP(C224,SEEMsavings!$A$5:$L$556,11,FALSE)+VLOOKUP(C224,SEEMsavings!$A$5:$L$556,12,FALSE)</f>
        <v>3.3262599379144289E-2</v>
      </c>
      <c r="E224" s="354">
        <v>45</v>
      </c>
      <c r="F224" s="355">
        <f t="shared" si="7"/>
        <v>0.2473644911578245</v>
      </c>
      <c r="G224" s="110">
        <v>0</v>
      </c>
      <c r="H224" s="356" t="s">
        <v>1198</v>
      </c>
      <c r="I224" s="115"/>
      <c r="J224" s="27"/>
      <c r="K224" s="27"/>
      <c r="L224" s="27"/>
      <c r="M224" s="27"/>
      <c r="N224" s="27"/>
      <c r="O224" s="27"/>
      <c r="P224" s="27"/>
      <c r="Q224" s="27"/>
    </row>
    <row r="225" spans="1:17" ht="25.5">
      <c r="A225" t="str">
        <f t="shared" si="6"/>
        <v>Multi Family Weatherization - Insulate Attic - R-30 to R-49 - Heating Zone 3 (Heat Pump Heating System)Multi Family Weatherization - Insulate Attic - R-30 to R-49 - Heating Zone 3 (Heat Pump Heating System)</v>
      </c>
      <c r="B225" s="55" t="str">
        <f>Costs!$A10&amp;" - Heating Zone 3 (Heat Pump Heating System)"</f>
        <v>Multi Family Weatherization - Insulate Attic - R-30 to R-49 - Heating Zone 3 (Heat Pump Heating System)</v>
      </c>
      <c r="C225" s="55" t="str">
        <f>Costs!$A10&amp;" - Heating Zone 3 (Heat Pump Heating System)"</f>
        <v>Multi Family Weatherization - Insulate Attic - R-30 to R-49 - Heating Zone 3 (Heat Pump Heating System)</v>
      </c>
      <c r="D225" s="353">
        <f>VLOOKUP(C225,SEEMsavings!$A$5:$L$556,11,FALSE)+VLOOKUP(C225,SEEMsavings!$A$5:$L$556,12,FALSE)</f>
        <v>6.1714138347059404E-2</v>
      </c>
      <c r="E225" s="354">
        <v>45</v>
      </c>
      <c r="F225" s="355">
        <f t="shared" si="7"/>
        <v>0.58749066649983317</v>
      </c>
      <c r="G225" s="110">
        <v>0</v>
      </c>
      <c r="H225" s="356" t="s">
        <v>1198</v>
      </c>
      <c r="I225" s="115"/>
      <c r="J225" s="27"/>
      <c r="K225" s="27"/>
      <c r="L225" s="27"/>
      <c r="M225" s="27"/>
      <c r="N225" s="27"/>
      <c r="O225" s="27"/>
      <c r="P225" s="27"/>
      <c r="Q225" s="27"/>
    </row>
    <row r="226" spans="1:17" ht="25.5">
      <c r="A226" t="str">
        <f t="shared" si="6"/>
        <v>Multi Family Weatherization - Insulate Attic - R-38 to R-49 - Heating Zone 3 (Heat Pump Heating System)Multi Family Weatherization - Insulate Attic - R-38 to R-49 - Heating Zone 3 (Heat Pump Heating System)</v>
      </c>
      <c r="B226" s="55" t="str">
        <f>Costs!$A11&amp;" - Heating Zone 3 (Heat Pump Heating System)"</f>
        <v>Multi Family Weatherization - Insulate Attic - R-38 to R-49 - Heating Zone 3 (Heat Pump Heating System)</v>
      </c>
      <c r="C226" s="55" t="str">
        <f>Costs!$A11&amp;" - Heating Zone 3 (Heat Pump Heating System)"</f>
        <v>Multi Family Weatherization - Insulate Attic - R-38 to R-49 - Heating Zone 3 (Heat Pump Heating System)</v>
      </c>
      <c r="D226" s="353">
        <f>VLOOKUP(C226,SEEMsavings!$A$5:$L$556,11,FALSE)+VLOOKUP(C226,SEEMsavings!$A$5:$L$556,12,FALSE)</f>
        <v>2.8451538967915121E-2</v>
      </c>
      <c r="E226" s="354">
        <v>45</v>
      </c>
      <c r="F226" s="355">
        <f t="shared" si="7"/>
        <v>0.34012617534200867</v>
      </c>
      <c r="G226" s="110">
        <v>0</v>
      </c>
      <c r="H226" s="356" t="s">
        <v>1198</v>
      </c>
      <c r="I226" s="115"/>
      <c r="J226" s="27"/>
      <c r="K226" s="27"/>
      <c r="L226" s="27"/>
      <c r="M226" s="27"/>
      <c r="N226" s="27"/>
      <c r="O226" s="27"/>
      <c r="P226" s="27"/>
      <c r="Q226" s="27"/>
    </row>
    <row r="227" spans="1:17" ht="25.5">
      <c r="A227" t="str">
        <f t="shared" si="6"/>
        <v>Multi Family Weatherization - Insulate Attic - R-19 to R-30 - Heating Zone 3 (Heat Pump Heating System)Multi Family Weatherization - Insulate Attic - R-19 to R-30 - Heating Zone 3 (Heat Pump Heating System)</v>
      </c>
      <c r="B227" s="55" t="str">
        <f>Costs!$A12&amp;" - Heating Zone 3 (Heat Pump Heating System)"</f>
        <v>Multi Family Weatherization - Insulate Attic - R-19 to R-30 - Heating Zone 3 (Heat Pump Heating System)</v>
      </c>
      <c r="C227" s="55" t="str">
        <f>Costs!$A12&amp;" - Heating Zone 3 (Heat Pump Heating System)"</f>
        <v>Multi Family Weatherization - Insulate Attic - R-19 to R-30 - Heating Zone 3 (Heat Pump Heating System)</v>
      </c>
      <c r="D227" s="353">
        <f>VLOOKUP(C227,SEEMsavings!$A$5:$L$556,11,FALSE)+VLOOKUP(C227,SEEMsavings!$A$5:$L$556,12,FALSE)</f>
        <v>8.8058462501336421E-2</v>
      </c>
      <c r="E227" s="354">
        <v>45</v>
      </c>
      <c r="F227" s="355">
        <f t="shared" si="7"/>
        <v>0.34012617534200867</v>
      </c>
      <c r="G227" s="110">
        <v>0</v>
      </c>
      <c r="H227" s="356" t="s">
        <v>1198</v>
      </c>
      <c r="I227" s="115"/>
      <c r="J227" s="27"/>
      <c r="K227" s="27"/>
      <c r="L227" s="27"/>
      <c r="M227" s="27"/>
      <c r="N227" s="27"/>
      <c r="O227" s="27"/>
      <c r="P227" s="27"/>
      <c r="Q227" s="27"/>
    </row>
    <row r="228" spans="1:17" ht="25.5">
      <c r="A228" t="str">
        <f t="shared" si="6"/>
        <v>Multi Family Weatherization - Insulate Attic - R-19 to R-38 - Heating Zone 3 (Heat Pump Heating System)Multi Family Weatherization - Insulate Attic - R-19 to R-38 - Heating Zone 3 (Heat Pump Heating System)</v>
      </c>
      <c r="B228" s="55" t="str">
        <f>Costs!$A13&amp;" - Heating Zone 3 (Heat Pump Heating System)"</f>
        <v>Multi Family Weatherization - Insulate Attic - R-19 to R-38 - Heating Zone 3 (Heat Pump Heating System)</v>
      </c>
      <c r="C228" s="55" t="str">
        <f>Costs!$A13&amp;" - Heating Zone 3 (Heat Pump Heating System)"</f>
        <v>Multi Family Weatherization - Insulate Attic - R-19 to R-38 - Heating Zone 3 (Heat Pump Heating System)</v>
      </c>
      <c r="D228" s="353">
        <f>VLOOKUP(C228,SEEMsavings!$A$5:$L$556,11,FALSE)+VLOOKUP(C228,SEEMsavings!$A$5:$L$556,12,FALSE)</f>
        <v>0.1213210618804807</v>
      </c>
      <c r="E228" s="354">
        <v>45</v>
      </c>
      <c r="F228" s="355">
        <f t="shared" si="7"/>
        <v>0.58749066649983317</v>
      </c>
      <c r="G228" s="110">
        <v>0</v>
      </c>
      <c r="H228" s="356" t="s">
        <v>1198</v>
      </c>
      <c r="I228" s="115"/>
      <c r="J228" s="27"/>
      <c r="K228" s="27"/>
      <c r="L228" s="27"/>
      <c r="M228" s="27"/>
      <c r="N228" s="27"/>
      <c r="O228" s="27"/>
      <c r="P228" s="27"/>
      <c r="Q228" s="27"/>
    </row>
    <row r="229" spans="1:17" ht="25.5">
      <c r="A229" t="str">
        <f t="shared" si="6"/>
        <v>Multi Family Weatherization - Insulate Attic - R-19 to R-49 - Heating Zone 3 (Heat Pump Heating System)Multi Family Weatherization - Insulate Attic - R-19 to R-49 - Heating Zone 3 (Heat Pump Heating System)</v>
      </c>
      <c r="B229" s="55" t="str">
        <f>Costs!$A14&amp;" - Heating Zone 3 (Heat Pump Heating System)"</f>
        <v>Multi Family Weatherization - Insulate Attic - R-19 to R-49 - Heating Zone 3 (Heat Pump Heating System)</v>
      </c>
      <c r="C229" s="55" t="str">
        <f>Costs!$A14&amp;" - Heating Zone 3 (Heat Pump Heating System)"</f>
        <v>Multi Family Weatherization - Insulate Attic - R-19 to R-49 - Heating Zone 3 (Heat Pump Heating System)</v>
      </c>
      <c r="D229" s="353">
        <f>VLOOKUP(C229,SEEMsavings!$A$5:$L$556,11,FALSE)+VLOOKUP(C229,SEEMsavings!$A$5:$L$556,12,FALSE)</f>
        <v>0.14977260084839583</v>
      </c>
      <c r="E229" s="354">
        <v>45</v>
      </c>
      <c r="F229" s="355">
        <f t="shared" si="7"/>
        <v>0.9276168418418419</v>
      </c>
      <c r="G229" s="110">
        <v>0</v>
      </c>
      <c r="H229" s="356" t="s">
        <v>1198</v>
      </c>
      <c r="I229" s="115"/>
      <c r="J229" s="27"/>
      <c r="K229" s="27"/>
      <c r="L229" s="27"/>
      <c r="M229" s="27"/>
      <c r="N229" s="27"/>
      <c r="O229" s="27"/>
      <c r="P229" s="27"/>
      <c r="Q229" s="27"/>
    </row>
    <row r="230" spans="1:17">
      <c r="A230" t="str">
        <f t="shared" si="6"/>
        <v>Windows - Single Pane to Class 22 - Heating Zone 3 (Heat Pump Heating System)Windows - Single Pane to Class 22 - Heating Zone 3 (Heat Pump Heating System)</v>
      </c>
      <c r="B230" s="55" t="str">
        <f>Costs!$A15&amp;" - Heating Zone 3 (Heat Pump Heating System)"</f>
        <v>Windows - Single Pane to Class 22 - Heating Zone 3 (Heat Pump Heating System)</v>
      </c>
      <c r="C230" s="55" t="str">
        <f>Costs!$A15&amp;" - Heating Zone 3 (Heat Pump Heating System)"</f>
        <v>Windows - Single Pane to Class 22 - Heating Zone 3 (Heat Pump Heating System)</v>
      </c>
      <c r="D230" s="353">
        <f>VLOOKUP(C230,SEEMsavings!$A$5:$L$556,11,FALSE)+VLOOKUP(C230,SEEMsavings!$A$5:$L$556,12,FALSE)</f>
        <v>28.377542926404658</v>
      </c>
      <c r="E230" s="354">
        <v>45</v>
      </c>
      <c r="F230" s="355">
        <f t="shared" si="7"/>
        <v>23.573200327964955</v>
      </c>
      <c r="G230" s="110">
        <v>0</v>
      </c>
      <c r="H230" s="356" t="s">
        <v>1198</v>
      </c>
      <c r="I230" s="115"/>
      <c r="J230" s="27"/>
      <c r="K230" s="27"/>
      <c r="L230" s="27"/>
      <c r="M230" s="27"/>
      <c r="N230" s="27"/>
      <c r="O230" s="27"/>
      <c r="P230" s="27"/>
      <c r="Q230" s="27"/>
    </row>
    <row r="231" spans="1:17">
      <c r="A231" t="str">
        <f t="shared" si="6"/>
        <v>Windows - Double Pane to Class 22 - Heating Zone 3 (Heat Pump Heating System)Windows - Double Pane to Class 22 - Heating Zone 3 (Heat Pump Heating System)</v>
      </c>
      <c r="B231" s="55" t="str">
        <f>Costs!$A16&amp;" - Heating Zone 3 (Heat Pump Heating System)"</f>
        <v>Windows - Double Pane to Class 22 - Heating Zone 3 (Heat Pump Heating System)</v>
      </c>
      <c r="C231" s="55" t="str">
        <f>Costs!$A16&amp;" - Heating Zone 3 (Heat Pump Heating System)"</f>
        <v>Windows - Double Pane to Class 22 - Heating Zone 3 (Heat Pump Heating System)</v>
      </c>
      <c r="D231" s="353">
        <f>VLOOKUP(C231,SEEMsavings!$A$5:$L$556,11,FALSE)+VLOOKUP(C231,SEEMsavings!$A$5:$L$556,12,FALSE)</f>
        <v>18.222844820244529</v>
      </c>
      <c r="E231" s="354">
        <v>45</v>
      </c>
      <c r="F231" s="355">
        <f t="shared" si="7"/>
        <v>23.573200327964955</v>
      </c>
      <c r="G231" s="110">
        <v>0</v>
      </c>
      <c r="H231" s="356" t="s">
        <v>1198</v>
      </c>
      <c r="I231" s="115"/>
      <c r="J231" s="27"/>
      <c r="K231" s="27"/>
      <c r="L231" s="27"/>
      <c r="M231" s="27"/>
      <c r="N231" s="27"/>
      <c r="O231" s="27"/>
      <c r="P231" s="27"/>
      <c r="Q231" s="27"/>
    </row>
    <row r="232" spans="1:17">
      <c r="A232" t="str">
        <f t="shared" si="6"/>
        <v>Windows - Single Pane to Class 30 - Heating Zone 3 (Heat Pump Heating System)Windows - Single Pane to Class 30 - Heating Zone 3 (Heat Pump Heating System)</v>
      </c>
      <c r="B232" s="55" t="str">
        <f>Costs!$A17&amp;" - Heating Zone 3 (Heat Pump Heating System)"</f>
        <v>Windows - Single Pane to Class 30 - Heating Zone 3 (Heat Pump Heating System)</v>
      </c>
      <c r="C232" s="55" t="str">
        <f>Costs!$A17&amp;" - Heating Zone 3 (Heat Pump Heating System)"</f>
        <v>Windows - Single Pane to Class 30 - Heating Zone 3 (Heat Pump Heating System)</v>
      </c>
      <c r="D232" s="353">
        <f>VLOOKUP(C232,SEEMsavings!$A$5:$L$556,11,FALSE)+VLOOKUP(C232,SEEMsavings!$A$5:$L$556,12,FALSE)</f>
        <v>26.302150292425615</v>
      </c>
      <c r="E232" s="354">
        <v>45</v>
      </c>
      <c r="F232" s="355">
        <f t="shared" si="7"/>
        <v>22.213200327964955</v>
      </c>
      <c r="G232" s="110">
        <v>0</v>
      </c>
      <c r="H232" s="356" t="s">
        <v>1198</v>
      </c>
      <c r="I232" s="115"/>
      <c r="J232" s="27"/>
      <c r="K232" s="27"/>
      <c r="L232" s="27"/>
      <c r="M232" s="27"/>
      <c r="N232" s="27"/>
      <c r="O232" s="27"/>
      <c r="P232" s="27"/>
      <c r="Q232" s="27"/>
    </row>
    <row r="233" spans="1:17">
      <c r="A233" t="str">
        <f t="shared" si="6"/>
        <v>Windows - Double Pane to Class 30 - Heating Zone 3 (Heat Pump Heating System)Windows - Double Pane to Class 30 - Heating Zone 3 (Heat Pump Heating System)</v>
      </c>
      <c r="B233" s="55" t="str">
        <f>Costs!$A18&amp;" - Heating Zone 3 (Heat Pump Heating System)"</f>
        <v>Windows - Double Pane to Class 30 - Heating Zone 3 (Heat Pump Heating System)</v>
      </c>
      <c r="C233" s="55" t="str">
        <f>Costs!$A18&amp;" - Heating Zone 3 (Heat Pump Heating System)"</f>
        <v>Windows - Double Pane to Class 30 - Heating Zone 3 (Heat Pump Heating System)</v>
      </c>
      <c r="D233" s="353">
        <f>VLOOKUP(C233,SEEMsavings!$A$5:$L$556,11,FALSE)+VLOOKUP(C233,SEEMsavings!$A$5:$L$556,12,FALSE)</f>
        <v>16.147452186265483</v>
      </c>
      <c r="E233" s="354">
        <v>45</v>
      </c>
      <c r="F233" s="355">
        <f t="shared" si="7"/>
        <v>22.213200327964955</v>
      </c>
      <c r="G233" s="110">
        <v>0</v>
      </c>
      <c r="H233" s="356" t="s">
        <v>1198</v>
      </c>
      <c r="I233" s="115"/>
      <c r="J233" s="27"/>
      <c r="K233" s="27"/>
      <c r="L233" s="27"/>
      <c r="M233" s="27"/>
      <c r="N233" s="27"/>
      <c r="O233" s="27"/>
      <c r="P233" s="27"/>
      <c r="Q233" s="27"/>
    </row>
    <row r="234" spans="1:17">
      <c r="A234" t="str">
        <f t="shared" si="6"/>
        <v>Windows - Class 35 to Class 30 - Heating Zone 3 (Heat Pump Heating System)Windows - Class 35 to Class 30 - Heating Zone 3 (Heat Pump Heating System)</v>
      </c>
      <c r="B234" s="55" t="str">
        <f>Costs!$A19&amp;" - Heating Zone 3 (Heat Pump Heating System)"</f>
        <v>Windows - Class 35 to Class 30 - Heating Zone 3 (Heat Pump Heating System)</v>
      </c>
      <c r="C234" s="55" t="str">
        <f>Costs!$A19&amp;" - Heating Zone 3 (Heat Pump Heating System)"</f>
        <v>Windows - Class 35 to Class 30 - Heating Zone 3 (Heat Pump Heating System)</v>
      </c>
      <c r="D234" s="353">
        <f>VLOOKUP(C234,SEEMsavings!$A$5:$L$556,11,FALSE)+VLOOKUP(C234,SEEMsavings!$A$5:$L$556,12,FALSE)</f>
        <v>1.3591343352183594</v>
      </c>
      <c r="E234" s="354">
        <v>45</v>
      </c>
      <c r="F234" s="355">
        <f t="shared" si="7"/>
        <v>0.9632509724857734</v>
      </c>
      <c r="G234" s="110">
        <v>0</v>
      </c>
      <c r="H234" s="356" t="s">
        <v>1198</v>
      </c>
      <c r="I234" s="115"/>
      <c r="J234" s="27"/>
      <c r="K234" s="27"/>
      <c r="L234" s="27"/>
      <c r="M234" s="27"/>
      <c r="N234" s="27"/>
      <c r="O234" s="27"/>
      <c r="P234" s="27"/>
      <c r="Q234" s="27"/>
    </row>
    <row r="235" spans="1:17">
      <c r="A235" t="str">
        <f t="shared" si="6"/>
        <v>Windows - Class 35 to Class 22 - Heating Zone 3 (Heat Pump Heating System)Windows - Class 35 to Class 22 - Heating Zone 3 (Heat Pump Heating System)</v>
      </c>
      <c r="B235" s="55" t="str">
        <f>Costs!$A20&amp;" - Heating Zone 3 (Heat Pump Heating System)"</f>
        <v>Windows - Class 35 to Class 22 - Heating Zone 3 (Heat Pump Heating System)</v>
      </c>
      <c r="C235" s="55" t="str">
        <f>Costs!$A20&amp;" - Heating Zone 3 (Heat Pump Heating System)"</f>
        <v>Windows - Class 35 to Class 22 - Heating Zone 3 (Heat Pump Heating System)</v>
      </c>
      <c r="D235" s="353">
        <f>VLOOKUP(C235,SEEMsavings!$A$5:$L$556,11,FALSE)+VLOOKUP(C235,SEEMsavings!$A$5:$L$556,12,FALSE)</f>
        <v>3.4345269691974041</v>
      </c>
      <c r="E235" s="354">
        <v>45</v>
      </c>
      <c r="F235" s="355">
        <f t="shared" si="7"/>
        <v>2.3232509724857735</v>
      </c>
      <c r="G235" s="110">
        <v>0</v>
      </c>
      <c r="H235" s="356" t="s">
        <v>1198</v>
      </c>
      <c r="I235" s="115"/>
      <c r="J235" s="27"/>
      <c r="K235" s="27"/>
      <c r="L235" s="27"/>
      <c r="M235" s="27"/>
      <c r="N235" s="27"/>
      <c r="O235" s="27"/>
      <c r="P235" s="27"/>
      <c r="Q235" s="27"/>
    </row>
  </sheetData>
  <autoFilter ref="A7:DB463"/>
  <mergeCells count="2">
    <mergeCell ref="J6:O6"/>
    <mergeCell ref="P6:Q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7</vt:i4>
      </vt:variant>
    </vt:vector>
  </HeadingPairs>
  <TitlesOfParts>
    <vt:vector size="28" baseType="lpstr">
      <vt:lpstr>7PSourceSummary</vt:lpstr>
      <vt:lpstr>forRPM</vt:lpstr>
      <vt:lpstr>SC-Retro</vt:lpstr>
      <vt:lpstr>M_Input_Out</vt:lpstr>
      <vt:lpstr>M_Input</vt:lpstr>
      <vt:lpstr>Segmented</vt:lpstr>
      <vt:lpstr>Weighting</vt:lpstr>
      <vt:lpstr>Composite</vt:lpstr>
      <vt:lpstr>Raw RTF</vt:lpstr>
      <vt:lpstr>Attic</vt:lpstr>
      <vt:lpstr>Window</vt:lpstr>
      <vt:lpstr>FlCrawl</vt:lpstr>
      <vt:lpstr>MFMaster</vt:lpstr>
      <vt:lpstr>Achievements</vt:lpstr>
      <vt:lpstr>SEEMsavings</vt:lpstr>
      <vt:lpstr>Results</vt:lpstr>
      <vt:lpstr>MeasureInputsANDResults</vt:lpstr>
      <vt:lpstr>inputWeightings</vt:lpstr>
      <vt:lpstr>Costs</vt:lpstr>
      <vt:lpstr>ETO MF Insulation Cost</vt:lpstr>
      <vt:lpstr>ETO MF Window Cost</vt:lpstr>
      <vt:lpstr>Areas</vt:lpstr>
      <vt:lpstr>AtticCost</vt:lpstr>
      <vt:lpstr>Deflator</vt:lpstr>
      <vt:lpstr>FloorCost</vt:lpstr>
      <vt:lpstr>Heating</vt:lpstr>
      <vt:lpstr>MeasureOutput</vt:lpstr>
      <vt:lpstr>WallCost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2014-08-14T17:54:07Z</dcterms:created>
  <dcterms:modified xsi:type="dcterms:W3CDTF">2015-01-29T23:32:32Z</dcterms:modified>
</cp:coreProperties>
</file>